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omments18.xml" ContentType="application/vnd.openxmlformats-officedocument.spreadsheetml.comments+xml"/>
  <Default Extension="vml" ContentType="application/vnd.openxmlformats-officedocument.vmlDrawing"/>
  <Override PartName="/xl/worksheets/sheet18.xml" ContentType="application/vnd.openxmlformats-officedocument.spreadsheetml.worksheet+xml"/>
  <Override PartName="/xl/comments19.xml" ContentType="application/vnd.openxmlformats-officedocument.spreadsheetml.comments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2"/>
  <fileSharing userName="Герасимов А.А." reservationPassword="CF66"/>
  <workbookPr defaultThemeVersion="124226"/>
  <bookViews>
    <workbookView xWindow="-120" yWindow="-120" windowWidth="29040" windowHeight="15840" tabRatio="931" firstSheet="6" activeTab="11"/>
  </bookViews>
  <sheets>
    <sheet name="100R !2020" sheetId="24" r:id="rId3"/>
    <sheet name="150R !2020" sheetId="43" r:id="rId4"/>
    <sheet name="200R !2020" sheetId="55" r:id="rId5"/>
    <sheet name="250R !2020" sheetId="56" r:id="rId6"/>
    <sheet name="300R !2020" sheetId="57" r:id="rId7"/>
    <sheet name="350R !2020" sheetId="46" r:id="rId8"/>
    <sheet name="400R !2020" sheetId="58" r:id="rId9"/>
    <sheet name="450R !2020" sheetId="53" r:id="rId10"/>
    <sheet name="500R !2020" sheetId="59" r:id="rId11"/>
    <sheet name="600R !2020" sheetId="48" r:id="rId12"/>
    <sheet name="700R !2020" sheetId="50" r:id="rId13"/>
    <sheet name="800R !2020" sheetId="60" r:id="rId14"/>
    <sheet name="900R !2020" sheetId="54" r:id="rId15"/>
    <sheet name="1000R !2020" sheetId="61" r:id="rId16"/>
    <sheet name="1250R !2020" sheetId="42" r:id="rId17"/>
    <sheet name="1500R !2020" sheetId="41" r:id="rId18"/>
    <sheet name="1600R !2020" sheetId="62" r:id="rId19"/>
    <sheet name="Интерполяция" sheetId="15" r:id="rId20"/>
    <sheet name="Интерполяция М" sheetId="28" r:id="rId21"/>
    <sheet name="1250R ---" sheetId="11" state="hidden" r:id="rId22"/>
  </sheets>
  <definedNames>
    <definedName name="_xlnm._FilterDatabase" localSheetId="13" hidden="1">'1000R !2020'!$A$4:$P$186</definedName>
    <definedName name="_xlnm._FilterDatabase" localSheetId="0" hidden="1">'100R !2020'!$A$4:$Q$144</definedName>
    <definedName name="_xlnm._FilterDatabase" localSheetId="14" hidden="1">'1250R !2020'!$A$4:$P$192</definedName>
    <definedName name="_xlnm._FilterDatabase" localSheetId="15" hidden="1">'1500R !2020'!$A$4:$P$193</definedName>
    <definedName name="_xlnm._FilterDatabase" localSheetId="1" hidden="1">'150R !2020'!$A$4:$P$155</definedName>
    <definedName name="_xlnm._FilterDatabase" localSheetId="2" hidden="1">'200R !2020'!$A$4:$P$157</definedName>
    <definedName name="_xlnm._FilterDatabase" localSheetId="3" hidden="1">'250R !2020'!$A$4:$P$156</definedName>
    <definedName name="_xlnm._FilterDatabase" localSheetId="4" hidden="1">'300R !2020'!$A$4:$P$157</definedName>
    <definedName name="_xlnm._FilterDatabase" localSheetId="5" hidden="1">'350R !2020'!$A$4:$P$155</definedName>
    <definedName name="_xlnm._FilterDatabase" localSheetId="6" hidden="1">'400R !2020'!$A$4:$P$157</definedName>
    <definedName name="_xlnm._FilterDatabase" localSheetId="7" hidden="1">'450R !2020'!$A$4:$P$155</definedName>
    <definedName name="_xlnm._FilterDatabase" localSheetId="8" hidden="1">'500R !2020'!$A$4:$P$163</definedName>
    <definedName name="_xlnm._FilterDatabase" localSheetId="9" hidden="1">'600R !2020'!$A$4:$P$163</definedName>
    <definedName name="_xlnm._FilterDatabase" localSheetId="10" hidden="1">'700R !2020'!$A$4:$P$166</definedName>
    <definedName name="_xlnm._FilterDatabase" localSheetId="11" hidden="1">'800R !2020'!$A$4:$O$166</definedName>
    <definedName name="_xlnm._FilterDatabase" localSheetId="12" hidden="1">'900R !2020'!$A$4:$P$184</definedName>
    <definedName name="_xlnm._FilterDatabase" localSheetId="18" hidden="1">'Интерполяция М'!$A$5:$AG$5</definedName>
  </definedNames>
  <calcPr calcId="145621"/>
</workbook>
</file>

<file path=xl/calcChain.xml><?xml version="1.0" encoding="utf-8"?>
<calcChain xmlns="http://schemas.openxmlformats.org/spreadsheetml/2006/main">
  <c r="G2" i="59" l="1"/>
</calcChain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Сакс В.И.</author>
  </authors>
  <commentList>
    <comment ref="G202" authorId="0">
      <text>
        <r>
          <rPr>
            <b/>
            <sz val="9"/>
            <color rgb="FF000000"/>
            <rFont val="Tahoma"/>
            <family val="2"/>
          </rPr>
          <t>Сакс В.И.:</t>
        </r>
        <r>
          <rPr>
            <sz val="9"/>
            <color rgb="FF000000"/>
            <rFont val="Tahoma"/>
            <family val="2"/>
          </rPr>
          <t xml:space="preserve">
В котле 350R длина 3347мм</t>
        </r>
      </text>
    </comment>
    <comment ref="K202" authorId="0">
      <text>
        <r>
          <rPr>
            <b/>
            <sz val="9"/>
            <color rgb="FF000000"/>
            <rFont val="Tahoma"/>
            <family val="2"/>
          </rPr>
          <t>Сакс В.И.:</t>
        </r>
        <r>
          <rPr>
            <sz val="9"/>
            <color rgb="FF000000"/>
            <rFont val="Tahoma"/>
            <family val="2"/>
          </rPr>
          <t xml:space="preserve">
Такая же длина котле 450R</t>
        </r>
      </text>
    </comment>
    <comment ref="G204" authorId="0">
      <text>
        <r>
          <rPr>
            <b/>
            <sz val="9"/>
            <color rgb="FF000000"/>
            <rFont val="Tahoma"/>
            <family val="2"/>
          </rPr>
          <t>Сакс В.И.:</t>
        </r>
        <r>
          <rPr>
            <sz val="9"/>
            <color rgb="FF000000"/>
            <rFont val="Tahoma"/>
            <family val="2"/>
          </rPr>
          <t xml:space="preserve">
В котле 350R длина 3347мм</t>
        </r>
      </text>
    </comment>
    <comment ref="K204" authorId="0">
      <text>
        <r>
          <rPr>
            <b/>
            <sz val="9"/>
            <color rgb="FF000000"/>
            <rFont val="Tahoma"/>
            <family val="2"/>
          </rPr>
          <t>Сакс В.И.:</t>
        </r>
        <r>
          <rPr>
            <sz val="9"/>
            <color rgb="FF000000"/>
            <rFont val="Tahoma"/>
            <family val="2"/>
          </rPr>
          <t xml:space="preserve">
Такая же длина котле 450R</t>
        </r>
      </text>
    </comment>
    <comment ref="G236" authorId="0">
      <text>
        <r>
          <rPr>
            <b/>
            <sz val="9"/>
            <color rgb="FF000000"/>
            <rFont val="Tahoma"/>
            <family val="2"/>
          </rPr>
          <t>Сакс В.И.:</t>
        </r>
        <r>
          <rPr>
            <sz val="9"/>
            <color rgb="FF000000"/>
            <rFont val="Tahoma"/>
            <family val="2"/>
          </rPr>
          <t xml:space="preserve">
В котел 350R длина 3340мм</t>
        </r>
      </text>
    </comment>
    <comment ref="K236" authorId="0">
      <text>
        <r>
          <rPr>
            <b/>
            <sz val="9"/>
            <color rgb="FF000000"/>
            <rFont val="Tahoma"/>
            <family val="2"/>
          </rPr>
          <t>Сакс В.И.:</t>
        </r>
        <r>
          <rPr>
            <sz val="9"/>
            <color rgb="FF000000"/>
            <rFont val="Tahoma"/>
            <family val="2"/>
          </rPr>
          <t xml:space="preserve">
Такая же длина котле 450R</t>
        </r>
      </text>
    </comment>
    <comment ref="G238" authorId="0">
      <text>
        <r>
          <rPr>
            <b/>
            <sz val="9"/>
            <color rgb="FF000000"/>
            <rFont val="Tahoma"/>
            <family val="2"/>
          </rPr>
          <t>Сакс В.И.:</t>
        </r>
        <r>
          <rPr>
            <sz val="9"/>
            <color rgb="FF000000"/>
            <rFont val="Tahoma"/>
            <family val="2"/>
          </rPr>
          <t xml:space="preserve">
В котел 350R длина 3340мм</t>
        </r>
      </text>
    </comment>
    <comment ref="K238" authorId="0">
      <text>
        <r>
          <rPr>
            <b/>
            <sz val="9"/>
            <color rgb="FF000000"/>
            <rFont val="Tahoma"/>
            <family val="2"/>
          </rPr>
          <t>Сакс В.И.:</t>
        </r>
        <r>
          <rPr>
            <sz val="9"/>
            <color rgb="FF000000"/>
            <rFont val="Tahoma"/>
            <family val="2"/>
          </rPr>
          <t xml:space="preserve">
Такая же длина котле 450R</t>
        </r>
      </text>
    </comment>
    <comment ref="R281" authorId="0">
      <text>
        <r>
          <rPr>
            <b/>
            <sz val="9"/>
            <color rgb="FF000000"/>
            <rFont val="Tahoma"/>
            <family val="2"/>
          </rPr>
          <t>Денищик В.С.:</t>
        </r>
        <r>
          <rPr>
            <sz val="9"/>
            <color rgb="FF000000"/>
            <rFont val="Tahoma"/>
            <family val="2"/>
          </rPr>
          <t xml:space="preserve">
1600М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Сакс В.И.</author>
  </authors>
  <commentList>
    <comment ref="AF264" authorId="0">
      <text>
        <r>
          <rPr>
            <b/>
            <sz val="9"/>
            <color rgb="FF000000"/>
            <rFont val="Tahoma"/>
            <family val="2"/>
          </rPr>
          <t>Денищик В.С.:</t>
        </r>
        <r>
          <rPr>
            <sz val="9"/>
            <color rgb="FF000000"/>
            <rFont val="Tahoma"/>
            <family val="2"/>
          </rPr>
          <t xml:space="preserve">
разница с обычнм стыком обчайки, 30.20
время стыковки 11000М 8 часов по сменному заданию (7 по расчету)
</t>
        </r>
      </text>
    </comment>
  </commentList>
</comments>
</file>

<file path=xl/sharedStrings.xml><?xml version="1.0" encoding="utf-8"?>
<sst xmlns="http://schemas.openxmlformats.org/spreadsheetml/2006/main" count="14865" uniqueCount="1763">
  <si>
    <t>Наименование работ</t>
  </si>
  <si>
    <t>Рабочий центр</t>
  </si>
  <si>
    <t>ед.изм.</t>
  </si>
  <si>
    <t>Объём работ (максимальный в смену)</t>
  </si>
  <si>
    <t>Трудоёмкость в смену, час</t>
  </si>
  <si>
    <t>Численность, чел.</t>
  </si>
  <si>
    <t>Трудоёмкость на 1 ед./заготовку, чел/час</t>
  </si>
  <si>
    <t>Трудоёмкость на 1 котел, чел/час</t>
  </si>
  <si>
    <t>Загрузка оборудования на 1 котел, часов</t>
  </si>
  <si>
    <t>Колонна флюс</t>
  </si>
  <si>
    <t>пог.м.</t>
  </si>
  <si>
    <t>узел = жаровая труба+корпус</t>
  </si>
  <si>
    <t>котел</t>
  </si>
  <si>
    <t>дверь</t>
  </si>
  <si>
    <t>Участок окраски</t>
  </si>
  <si>
    <t>ИТОГО сварочно-сборочный участок</t>
  </si>
  <si>
    <t>чел./час на 1 котел.</t>
  </si>
  <si>
    <t>часов</t>
  </si>
  <si>
    <t>Трудоёмкость на 1 тн</t>
  </si>
  <si>
    <t>час. на 1 тн.</t>
  </si>
  <si>
    <t>п/п</t>
  </si>
  <si>
    <t>Теплоизоляция и обшивка котла</t>
  </si>
  <si>
    <t>Вес котла</t>
  </si>
  <si>
    <t>т</t>
  </si>
  <si>
    <t>Участок сборки (сборка)</t>
  </si>
  <si>
    <t>Участок сборки (сварка)</t>
  </si>
  <si>
    <t>Сборка-сварка розлива</t>
  </si>
  <si>
    <t>розлив</t>
  </si>
  <si>
    <t>Монтажная плита (сборка)</t>
  </si>
  <si>
    <t>Участок опрессовки</t>
  </si>
  <si>
    <t>Пневмоиспытания корпуса</t>
  </si>
  <si>
    <t>Грунтовка котла под обшивку</t>
  </si>
  <si>
    <t>Подготовил: Инженер-технолог Сакс В.И.</t>
  </si>
  <si>
    <t>Участок сборки</t>
  </si>
  <si>
    <t>кантовка</t>
  </si>
  <si>
    <t>ГОСТ и тип сварочного шва</t>
  </si>
  <si>
    <t>ГОСТ 8713-79 С21АФш</t>
  </si>
  <si>
    <t>Сборка-сварка днища с обечайкой топочной камеры</t>
  </si>
  <si>
    <t>узел = обечайка + днище</t>
  </si>
  <si>
    <t>Вращатель (сборка)</t>
  </si>
  <si>
    <t>узел = обечайка + тр. доска</t>
  </si>
  <si>
    <t>ГОСТ 14771-76 У7</t>
  </si>
  <si>
    <t>компенсатор</t>
  </si>
  <si>
    <t>ГОСТ 14771-76 С7</t>
  </si>
  <si>
    <t>ГОСТ 8713-79 С7</t>
  </si>
  <si>
    <t>узел = обечайка + обечайка</t>
  </si>
  <si>
    <t>ГОСТ 14771-76 Т1-К5</t>
  </si>
  <si>
    <t>Кондуктор (сборка)</t>
  </si>
  <si>
    <t>Кондуктор+полуавтомат (сварка)</t>
  </si>
  <si>
    <t>Монтажная плита+полуавтомат (сварка)</t>
  </si>
  <si>
    <t>узел = днище + труб. доска</t>
  </si>
  <si>
    <t>Кондуктор+УШМ (разделка после подварочного шва)</t>
  </si>
  <si>
    <t>узел = корпус + зад. труб. доска</t>
  </si>
  <si>
    <t>ГОСТ 14771-76 Т6</t>
  </si>
  <si>
    <t>Монтажная плита+полуавтомат</t>
  </si>
  <si>
    <t>Пневмоиспытания двери</t>
  </si>
  <si>
    <t>Гидроиспытания двери</t>
  </si>
  <si>
    <t>Грунтовка двери под утепление</t>
  </si>
  <si>
    <t>м2</t>
  </si>
  <si>
    <t>дымогарник</t>
  </si>
  <si>
    <t>Подготовка к окраске. Шпаклевавние двери. Грунтовка.</t>
  </si>
  <si>
    <t>Набивка котла конвективной трубой (51х3,5мм)</t>
  </si>
  <si>
    <t>Кондуктор+полуавтомат</t>
  </si>
  <si>
    <t>труба конвективная 51х3,5мм, шт.</t>
  </si>
  <si>
    <t>Сварка компенсатора с днищем и диском</t>
  </si>
  <si>
    <t>ГОСТ 14771-76 Т1-К8</t>
  </si>
  <si>
    <t>Сборка-сварка временных рымов с корпусом котла</t>
  </si>
  <si>
    <t>рым</t>
  </si>
  <si>
    <t>Кантователь</t>
  </si>
  <si>
    <t>Кондуктор, кантователь</t>
  </si>
  <si>
    <t>ГОСТ 14771-76 У5</t>
  </si>
  <si>
    <t>Кантовка котла</t>
  </si>
  <si>
    <t>Кондуктор+полуавтомат (сборка)</t>
  </si>
  <si>
    <t>ГОСТ 14771-76 Н1-К8</t>
  </si>
  <si>
    <t>узел = компенсатор+диск</t>
  </si>
  <si>
    <t>узел = перед. кольцо+обечайка</t>
  </si>
  <si>
    <t>Участок сборки+полуавтомат (сборка)</t>
  </si>
  <si>
    <t>Участок сборки+полуавтомат (сварка)</t>
  </si>
  <si>
    <t>узел = опора+кольц. корпуса</t>
  </si>
  <si>
    <t>ГОСТ 14771-76 Т3-К8</t>
  </si>
  <si>
    <t>Сборка-сварка заднего кольца корпуса и ребер с обечайкой. Зачистка швов</t>
  </si>
  <si>
    <t>Сборка-сварка опор с кольцами корпуса. Зачистка швов</t>
  </si>
  <si>
    <t>узел = корпус+патрубок</t>
  </si>
  <si>
    <t>Участок сборки+полуавтомат</t>
  </si>
  <si>
    <t>узел = корпус+трубы омывания</t>
  </si>
  <si>
    <t>Установка двери на котел. Установка кронштейнов двери, скоб, швеллера со шпилькой под дверь.</t>
  </si>
  <si>
    <t>Монтажная плита+УШМ</t>
  </si>
  <si>
    <t>Монтажная плита+УШМ+газовый резак</t>
  </si>
  <si>
    <t>кронштейн</t>
  </si>
  <si>
    <t>узел = дверь+трубы омывания</t>
  </si>
  <si>
    <t>узел = корпус+патрубок слива</t>
  </si>
  <si>
    <t>Сборка дымогарника</t>
  </si>
  <si>
    <t>Сварка дымогарника. Зачистка швов</t>
  </si>
  <si>
    <t>Сборка двери. Сварка внутренних швов</t>
  </si>
  <si>
    <t>Сварка двери (внешние швы). Зачистка швов</t>
  </si>
  <si>
    <t>Сборка-сварка листа в нижней части котла</t>
  </si>
  <si>
    <t>узел = дымогарник+корпус</t>
  </si>
  <si>
    <t>Изготовление и установка бандажей. Подготовка к обшивке</t>
  </si>
  <si>
    <t>Измерение площадки обслуживания</t>
  </si>
  <si>
    <t>Гибка бортов площадки обслуживания</t>
  </si>
  <si>
    <t>гиб</t>
  </si>
  <si>
    <t>Установка площадки обслуживания</t>
  </si>
  <si>
    <t>Установка турбулятора в котел</t>
  </si>
  <si>
    <t>турбулятор</t>
  </si>
  <si>
    <t>Установка таблички, наклеек и т.д. Упаковка котла</t>
  </si>
  <si>
    <t>Установка двери на котел. Установка набивки АС.</t>
  </si>
  <si>
    <t>Полуавтомат (подварочный шов)</t>
  </si>
  <si>
    <t>Сборка-сварка трубной доски с обечайкой топочной камеры. Разделка шва</t>
  </si>
  <si>
    <t>Расценка за объем работ, руб.</t>
  </si>
  <si>
    <t>Стоимость часа, руб</t>
  </si>
  <si>
    <t>Сборка-сварка розлива и фальштрубной доски с корпусом котла</t>
  </si>
  <si>
    <t>узел = корпус + розлив+ фальштр.</t>
  </si>
  <si>
    <t>Сборка-сварка задней трубной доски с днищем. Зачистка швов</t>
  </si>
  <si>
    <t>Сборка-сварка задней трубной доски с корпусом котла. Разделка шва</t>
  </si>
  <si>
    <t>Утепление двери. Установка декоративной панели и фланца горелки</t>
  </si>
  <si>
    <t>Установка котла в кондуктор. Сборка-сварка переднего кольца корпуса и ребер с обечайкой. Зачистка швов</t>
  </si>
  <si>
    <t>Сборка-сварка рымов и накладок под рымы с корпусом котла</t>
  </si>
  <si>
    <t>УШМ</t>
  </si>
  <si>
    <t>Сварка продольных швов обечаек топочной камеры</t>
  </si>
  <si>
    <t>Сборка-сварка обечаек топочной камеры</t>
  </si>
  <si>
    <t>Сборка-сварка перехода с обечайкой топочной камеры</t>
  </si>
  <si>
    <t>Сборка-сварка трубной доски с переходом. Разделка шва</t>
  </si>
  <si>
    <t>ГОСТ 14771-76 С21</t>
  </si>
  <si>
    <r>
      <t xml:space="preserve">Сборка-сварка компенсатора </t>
    </r>
    <r>
      <rPr>
        <sz val="11"/>
        <color theme="1"/>
        <rFont val="Calibri"/>
        <family val="2"/>
        <charset val="204"/>
      </rPr>
      <t>Ø426</t>
    </r>
  </si>
  <si>
    <t>Сварка продольных швов обечаек корпуса</t>
  </si>
  <si>
    <t>Снять дверь с котла. Установка ребер. Обварка кронштейнов</t>
  </si>
  <si>
    <t>Сборка-сварка среднего ребра с корпусом котла</t>
  </si>
  <si>
    <t>ребро</t>
  </si>
  <si>
    <t>Кол-во ед./заготовок на 1 котел 1250R</t>
  </si>
  <si>
    <t>Сборка корпуса с жаровой трубой (свадьба). Сварка передней трубной доски с корпусом котла. Разделка шва</t>
  </si>
  <si>
    <t>20. Топочная камера</t>
  </si>
  <si>
    <t>30. Корпус</t>
  </si>
  <si>
    <t>40. Дверь</t>
  </si>
  <si>
    <t>60. Сборка котла</t>
  </si>
  <si>
    <t>70. Установка дымогарника, бандажей. Обшивка, упаковка и окраска котла</t>
  </si>
  <si>
    <t>50. Сборка дополнительных узлов</t>
  </si>
  <si>
    <t>50.90</t>
  </si>
  <si>
    <t>Сборка-сварка переходной плиты</t>
  </si>
  <si>
    <t>Монтажная плита</t>
  </si>
  <si>
    <t>переходная плита</t>
  </si>
  <si>
    <t>45. Дымогарник</t>
  </si>
  <si>
    <t>20.17</t>
  </si>
  <si>
    <t>нет норм</t>
  </si>
  <si>
    <t>20.18</t>
  </si>
  <si>
    <t>Вальцовка обечаек топочной камеры</t>
  </si>
  <si>
    <t>Вальцы. Обечайка №2 L=1480мм, Ø824*12</t>
  </si>
  <si>
    <t>20.30</t>
  </si>
  <si>
    <t>Колонна флюс. Обечайка №2 L=1480мм</t>
  </si>
  <si>
    <t>20.31</t>
  </si>
  <si>
    <t>Калибровка обечаек топочной камеры после сварки</t>
  </si>
  <si>
    <t>20.40</t>
  </si>
  <si>
    <t>Колонна флюс. Стык №1</t>
  </si>
  <si>
    <t>20.42</t>
  </si>
  <si>
    <t>Штамповка днища топочной камеры</t>
  </si>
  <si>
    <t>Пресс</t>
  </si>
  <si>
    <t>20.44</t>
  </si>
  <si>
    <t>Фланжирование днища топочной камеры. Подрезка, торцовка</t>
  </si>
  <si>
    <t>Фланжер. Манипулятор+ручная плазма</t>
  </si>
  <si>
    <t>20.45</t>
  </si>
  <si>
    <t>Сварка технологического отверстия в днище топочной камеры</t>
  </si>
  <si>
    <t>Полуавтомат</t>
  </si>
  <si>
    <t>ГОСТ 14771-76 С15</t>
  </si>
  <si>
    <t>20.50</t>
  </si>
  <si>
    <t>20.55</t>
  </si>
  <si>
    <t>Изготовление перехода</t>
  </si>
  <si>
    <t>Профилегиб (гибка перехода)</t>
  </si>
  <si>
    <t>Профилегиб (калибровка перехода)</t>
  </si>
  <si>
    <t>Ручная плазма+манимулятор (резка)</t>
  </si>
  <si>
    <t>Участок зачистки (снять фаску под сборку)</t>
  </si>
  <si>
    <t>20.60</t>
  </si>
  <si>
    <t>узел = жаровая труба + переход</t>
  </si>
  <si>
    <t>Вращатель (полуавтомат, подварочный)</t>
  </si>
  <si>
    <t>20.100</t>
  </si>
  <si>
    <t>узел = переход + тр. доска</t>
  </si>
  <si>
    <t>Вращатель (сварка)</t>
  </si>
  <si>
    <t>Вращатель (зачистка под сварку)</t>
  </si>
  <si>
    <t>20.130</t>
  </si>
  <si>
    <t>20.150</t>
  </si>
  <si>
    <t>Сборка-сварка компенсатора с днищем топочной камеры</t>
  </si>
  <si>
    <t>узел = компенсатор + днище</t>
  </si>
  <si>
    <t>Вращатель+полуавтомат</t>
  </si>
  <si>
    <t>ГОСТ 14771-76 Т1 К8</t>
  </si>
  <si>
    <t>30.06</t>
  </si>
  <si>
    <t>Вальцовка обечаек корпуса</t>
  </si>
  <si>
    <t>Вальцы. Обечайка №1 L=1480мм</t>
  </si>
  <si>
    <t>30.07</t>
  </si>
  <si>
    <t>Вальцовка накладок под патрубки (воротников), накладок под рымы</t>
  </si>
  <si>
    <t>Вальцы</t>
  </si>
  <si>
    <t>30.10</t>
  </si>
  <si>
    <t>Колонна флюс. Обечайка №1 L=1480мм</t>
  </si>
  <si>
    <t>30.20</t>
  </si>
  <si>
    <t>Сборка-сварка обечаек корпуса. Зачистка торцов обечаек</t>
  </si>
  <si>
    <t>стык обечаек</t>
  </si>
  <si>
    <t>30.62</t>
  </si>
  <si>
    <t>Штамповка днища корпуса</t>
  </si>
  <si>
    <t>30.30</t>
  </si>
  <si>
    <t>Участок сварки (полуавтомат)</t>
  </si>
  <si>
    <t>30.40</t>
  </si>
  <si>
    <t>30.70</t>
  </si>
  <si>
    <t>30.80</t>
  </si>
  <si>
    <t>40.02</t>
  </si>
  <si>
    <t>Вальцовка обечаек двери</t>
  </si>
  <si>
    <t>Вальцы. Обечайка №1 L=276мм</t>
  </si>
  <si>
    <t>Вальцы. Обечайка №2 L=128мм</t>
  </si>
  <si>
    <t>Вальцы. Обечайка №3 L=22мм</t>
  </si>
  <si>
    <t>40.10</t>
  </si>
  <si>
    <t>40.20</t>
  </si>
  <si>
    <t>40.30</t>
  </si>
  <si>
    <t>40.40</t>
  </si>
  <si>
    <t>40.50</t>
  </si>
  <si>
    <t>40.80</t>
  </si>
  <si>
    <t>40.90</t>
  </si>
  <si>
    <t>45.10</t>
  </si>
  <si>
    <t>Вальцовка обечаек дымогарника</t>
  </si>
  <si>
    <t>45.42</t>
  </si>
  <si>
    <t>Сборка-сварка уголков для гибки бандажа на профилегибе</t>
  </si>
  <si>
    <t>45.44</t>
  </si>
  <si>
    <t>Гибка бандажа</t>
  </si>
  <si>
    <t>Профилегиб</t>
  </si>
  <si>
    <t>45.50</t>
  </si>
  <si>
    <t>45.60</t>
  </si>
  <si>
    <t>60.10</t>
  </si>
  <si>
    <t>60.15</t>
  </si>
  <si>
    <t>Сборка компенсатора с диском (заглушкой)</t>
  </si>
  <si>
    <t>Вращатель+полуавтомат (сборка)</t>
  </si>
  <si>
    <t>60.30</t>
  </si>
  <si>
    <t>Токарный станок</t>
  </si>
  <si>
    <t>шт.</t>
  </si>
  <si>
    <t>60.40</t>
  </si>
  <si>
    <t>труба конвективная, шт</t>
  </si>
  <si>
    <t>Вальцовка+калибровка конвективной трубы (51х3,5мм)</t>
  </si>
  <si>
    <t>Зачистка конвективной трубы (51х3,5мм)</t>
  </si>
  <si>
    <t>60.60</t>
  </si>
  <si>
    <t>60.70</t>
  </si>
  <si>
    <t>60.190</t>
  </si>
  <si>
    <t>Сборка-сварка накладок (воротников) с корпусом котла. Зачистка шва</t>
  </si>
  <si>
    <t>узел = накладки + корпус</t>
  </si>
  <si>
    <t>60.90</t>
  </si>
  <si>
    <t>Кантовка котла (снять верхнюю часть кондуктора)</t>
  </si>
  <si>
    <t>60.100</t>
  </si>
  <si>
    <t>Сварка конвективных труб на передней части котла. Зачистка замков (нижнее положение)</t>
  </si>
  <si>
    <t>60.110</t>
  </si>
  <si>
    <t>Сварка (заполнение) кольцевого шва трубной доски с переходом. 1 проход</t>
  </si>
  <si>
    <t>60.120</t>
  </si>
  <si>
    <t>Сварка кольцевого шва корпуса с передней трубной доской. Зачистка замков</t>
  </si>
  <si>
    <t>60.140</t>
  </si>
  <si>
    <t>Сварка конвективных труб на задней части котла. Зачистка замков (нижнее положение)</t>
  </si>
  <si>
    <t>60.150</t>
  </si>
  <si>
    <t>Сварка кольцевого шва корпуса с задней трубной доской. Зачистка замков</t>
  </si>
  <si>
    <t>60.145</t>
  </si>
  <si>
    <t>60.160</t>
  </si>
  <si>
    <t>Зачистка конвективных труб на передней части котла</t>
  </si>
  <si>
    <t>60.170</t>
  </si>
  <si>
    <t>Зачистка конвективных труб на задней части котла</t>
  </si>
  <si>
    <t>60.180</t>
  </si>
  <si>
    <t>60.173</t>
  </si>
  <si>
    <t>60.176</t>
  </si>
  <si>
    <t>60.200</t>
  </si>
  <si>
    <t>Сборка-сварка фланца с трубой (изготовление патрубка)</t>
  </si>
  <si>
    <t>Участок сборки, Ду250</t>
  </si>
  <si>
    <t>ГОСТ 16037-80-У5</t>
  </si>
  <si>
    <t>патрубок</t>
  </si>
  <si>
    <t>Участок сборки, Ду125</t>
  </si>
  <si>
    <t>Участок сборки, Ду40</t>
  </si>
  <si>
    <t>ГОСТ 14771-76 Т1-К5+облицовка</t>
  </si>
  <si>
    <t>60.210</t>
  </si>
  <si>
    <t>Сборка-сварка патрубков с корпусом котла. Зачистка шва</t>
  </si>
  <si>
    <t>60.240</t>
  </si>
  <si>
    <t>60.250</t>
  </si>
  <si>
    <t>60.260</t>
  </si>
  <si>
    <t>Гибка кронштейнов двери</t>
  </si>
  <si>
    <t>60.270</t>
  </si>
  <si>
    <t>60.280</t>
  </si>
  <si>
    <t>60.290</t>
  </si>
  <si>
    <t>60.300</t>
  </si>
  <si>
    <t>Изготовление сливного патрубка</t>
  </si>
  <si>
    <t>патрубок слива</t>
  </si>
  <si>
    <t>60.305</t>
  </si>
  <si>
    <t>Сборка-сварка сливного патрубка с котлом</t>
  </si>
  <si>
    <t>60.310</t>
  </si>
  <si>
    <t>Подготовка к опресовке</t>
  </si>
  <si>
    <t>60.320</t>
  </si>
  <si>
    <t>60.330</t>
  </si>
  <si>
    <t>Гидроиспытания корпуса. Снять фланцы после опресовки</t>
  </si>
  <si>
    <t>60.340</t>
  </si>
  <si>
    <t>60.350</t>
  </si>
  <si>
    <t>60.360</t>
  </si>
  <si>
    <t>Газовый резак+УШМ</t>
  </si>
  <si>
    <t>Срезать временные рымы. Зачистка</t>
  </si>
  <si>
    <t>70.40</t>
  </si>
  <si>
    <t>70.80</t>
  </si>
  <si>
    <t>70.60</t>
  </si>
  <si>
    <t>70.90</t>
  </si>
  <si>
    <t>70.110</t>
  </si>
  <si>
    <t>70.160</t>
  </si>
  <si>
    <t>70.170</t>
  </si>
  <si>
    <t>70.140</t>
  </si>
  <si>
    <t>70.10</t>
  </si>
  <si>
    <t>Установка дымогарника на котел. Приварить болты, снять дымогарник</t>
  </si>
  <si>
    <t>70.14</t>
  </si>
  <si>
    <t>Установка набивки АС в дымогарник. Установка дымогарника на котел.</t>
  </si>
  <si>
    <t>70.70</t>
  </si>
  <si>
    <t>70.45</t>
  </si>
  <si>
    <t>70.100</t>
  </si>
  <si>
    <t>Изготовление турбуляторов</t>
  </si>
  <si>
    <t>70.120</t>
  </si>
  <si>
    <t>70.130</t>
  </si>
  <si>
    <t>Подготовка передней части котла к окраске. Шпаклевание, ошкуривание. Грунтовка</t>
  </si>
  <si>
    <t>70.150</t>
  </si>
  <si>
    <t>Закрыть обшитый котел укрывным материалом</t>
  </si>
  <si>
    <t>Подготовка к окраске, окраска котла с дверью. Покрытие лаком</t>
  </si>
  <si>
    <t>Сборка-сварка заготовок обечаек топочной камеры перед вальцовкой</t>
  </si>
  <si>
    <t>Кондуктор+УШМ (зачистка под сварку)</t>
  </si>
  <si>
    <t>Колонна газ</t>
  </si>
  <si>
    <t>20.110</t>
  </si>
  <si>
    <t>Вальцы. Обечайка №1 L=112мм</t>
  </si>
  <si>
    <t>Сварка (заполнение) кольцевого шва трубной доски с обечайкой топочной камеры. 1 проход</t>
  </si>
  <si>
    <t>60.111</t>
  </si>
  <si>
    <t>Участок сборки, Ду65</t>
  </si>
  <si>
    <t>Участок сборки, Ду20</t>
  </si>
  <si>
    <r>
      <t xml:space="preserve">Вальцы. Обечайка №1 L=400мм, </t>
    </r>
    <r>
      <rPr>
        <sz val="11"/>
        <color theme="1"/>
        <rFont val="Calibri"/>
        <family val="2"/>
        <charset val="204"/>
      </rPr>
      <t>Ø824*12</t>
    </r>
  </si>
  <si>
    <t>Колонна флюс. Обечайка №1 L=400мм</t>
  </si>
  <si>
    <t>Вальцы. Обечайка №2 L=707мм</t>
  </si>
  <si>
    <t>Колонна флюс. Обечайка №2 L=707мм</t>
  </si>
  <si>
    <t>Вальцы. Обечайка №2 L=58мм, Ø400*4</t>
  </si>
  <si>
    <t>30.35</t>
  </si>
  <si>
    <t>Кондуктор</t>
  </si>
  <si>
    <t>Установить корпус в кондуктор</t>
  </si>
  <si>
    <t>№ изм.</t>
  </si>
  <si>
    <t>Что изменено</t>
  </si>
  <si>
    <t>Старое значение</t>
  </si>
  <si>
    <t>Новое значение</t>
  </si>
  <si>
    <t>Подпись</t>
  </si>
  <si>
    <t>Дата</t>
  </si>
  <si>
    <t>Изготовление труб омывания котла</t>
  </si>
  <si>
    <t>60.252</t>
  </si>
  <si>
    <t>Сборка-сварка труб омывания котла с корпусом</t>
  </si>
  <si>
    <t>Изготовление труб омывания двери</t>
  </si>
  <si>
    <t>Сборка-сварка труб омывания двери с корпусом двери</t>
  </si>
  <si>
    <t>60.282</t>
  </si>
  <si>
    <t>Вращатель+УШМ (разделка шва)</t>
  </si>
  <si>
    <t>Вращатель+полуавтомат (сварка 2 прохода)</t>
  </si>
  <si>
    <t>Вращатель+полуавтомат (подварочный шов)</t>
  </si>
  <si>
    <t>Подготовка дымогарника к покраске</t>
  </si>
  <si>
    <t>50.92</t>
  </si>
  <si>
    <t>Установка переходной плиты</t>
  </si>
  <si>
    <t>50.91</t>
  </si>
  <si>
    <t>Окраска переходной плиты</t>
  </si>
  <si>
    <t>30.28</t>
  </si>
  <si>
    <t>Вальцовка пластины розлива</t>
  </si>
  <si>
    <t>Добавлена операция 30.28. Вальцовка пластины розлива</t>
  </si>
  <si>
    <t>Согласовал: Руководитель ПЭО Горбонос Д.Н.</t>
  </si>
  <si>
    <t>Расценки на работы по котлу 1250R</t>
  </si>
  <si>
    <t>обечайка</t>
  </si>
  <si>
    <t>днище</t>
  </si>
  <si>
    <t>100R</t>
  </si>
  <si>
    <t>200R</t>
  </si>
  <si>
    <t>300R</t>
  </si>
  <si>
    <t>400R</t>
  </si>
  <si>
    <t>500R</t>
  </si>
  <si>
    <t>600R</t>
  </si>
  <si>
    <t>700R</t>
  </si>
  <si>
    <t>800R</t>
  </si>
  <si>
    <t>1000R</t>
  </si>
  <si>
    <t>1250R</t>
  </si>
  <si>
    <t>1500R</t>
  </si>
  <si>
    <t>1750R</t>
  </si>
  <si>
    <t>2000R</t>
  </si>
  <si>
    <t>2500R</t>
  </si>
  <si>
    <t>3000R</t>
  </si>
  <si>
    <t>3500R</t>
  </si>
  <si>
    <t>4000R</t>
  </si>
  <si>
    <t>4500R</t>
  </si>
  <si>
    <t>5000R</t>
  </si>
  <si>
    <t>Параметр</t>
  </si>
  <si>
    <t>диаметр топки</t>
  </si>
  <si>
    <t>норматив</t>
  </si>
  <si>
    <t>цена</t>
  </si>
  <si>
    <t>расч цена</t>
  </si>
  <si>
    <t>расч норматив</t>
  </si>
  <si>
    <t>Ø компенсатора</t>
  </si>
  <si>
    <t>Ø426</t>
  </si>
  <si>
    <t>Ø325</t>
  </si>
  <si>
    <t>Ø273</t>
  </si>
  <si>
    <t>Ø трубы</t>
  </si>
  <si>
    <t>Сборка-сварка обечаек корпуса. Зачистка торцов обечаек (сборка)</t>
  </si>
  <si>
    <t>чел/час</t>
  </si>
  <si>
    <t>площадь обшивки, м2</t>
  </si>
  <si>
    <t>расценка, руб.</t>
  </si>
  <si>
    <t>норма времени, час</t>
  </si>
  <si>
    <t>норматив расчетный</t>
  </si>
  <si>
    <t>площадь, м2</t>
  </si>
  <si>
    <t>цена за шт</t>
  </si>
  <si>
    <t>труд-ть</t>
  </si>
  <si>
    <t>длина площадки, мм</t>
  </si>
  <si>
    <t>коэфф</t>
  </si>
  <si>
    <t>площадь дымогарника, м2</t>
  </si>
  <si>
    <t>кол-во болтов</t>
  </si>
  <si>
    <t>длина шнура</t>
  </si>
  <si>
    <t>61 м2 в смену</t>
  </si>
  <si>
    <t>площадка</t>
  </si>
  <si>
    <t>55,2 м2 в смену</t>
  </si>
  <si>
    <t>площадь окраски, м2</t>
  </si>
  <si>
    <t>23,16 м2 в смену</t>
  </si>
  <si>
    <t>числ-ть</t>
  </si>
  <si>
    <t>Труд-ть</t>
  </si>
  <si>
    <t>70.92</t>
  </si>
  <si>
    <t>Грунтовка внутренней части площадки обслуживания</t>
  </si>
  <si>
    <t>Добавлена операция 70.92. Грунтовка внутренней части площадки обслуживания</t>
  </si>
  <si>
    <t>Вальцы. Обечайка L=582мм, R=414*5мм</t>
  </si>
  <si>
    <t>Сварка (заполнение) кольцевого шва трубной доски с переходом. 2 прохода</t>
  </si>
  <si>
    <t>Сварка продольных швов обечаек топочной камеры на колонне флюс</t>
  </si>
  <si>
    <t>Сварка продольных швов обечаек топочной камеры на колонне газ</t>
  </si>
  <si>
    <t>Полуавтомат. Обечайка №2 L=1480мм</t>
  </si>
  <si>
    <t>Разделка шва. Обечайка №2 L=1480мм</t>
  </si>
  <si>
    <t>Колонна газ. Обечайка №2 L=1480мм</t>
  </si>
  <si>
    <t>Добавлена операция 20.30. Сварка продольных швов обечаек топочной камеры на колонне газ</t>
  </si>
  <si>
    <t>Изменено название операция 20.30</t>
  </si>
  <si>
    <t>Полуавтомат. Обечайка №1 L=400мм</t>
  </si>
  <si>
    <t>Разделка шва. Обечайка №1 L=400мм</t>
  </si>
  <si>
    <t>Колонна газ. Обечайка №1 L=400мм</t>
  </si>
  <si>
    <t>20.32</t>
  </si>
  <si>
    <t>20.39</t>
  </si>
  <si>
    <t>Сборка обечаек топочной камеры</t>
  </si>
  <si>
    <t>Сварка обечаек топочной камеры на колонне флюс</t>
  </si>
  <si>
    <t>20.41</t>
  </si>
  <si>
    <t>Сварка обечаек топочной камеры на колонне газ</t>
  </si>
  <si>
    <t>20.49</t>
  </si>
  <si>
    <t>Сборка днища с обечайкой топочной камеры</t>
  </si>
  <si>
    <t>Сварка днища с обечайкой топочной камеры на колонне флюс</t>
  </si>
  <si>
    <t>20.51</t>
  </si>
  <si>
    <t>Сварка днища с обечайкой топочной камеры на колонне газ</t>
  </si>
  <si>
    <t>20.59</t>
  </si>
  <si>
    <t>Сборка перехода с обечайкой топочной камеры</t>
  </si>
  <si>
    <t>20.61</t>
  </si>
  <si>
    <t>Сварка перехода с обечайкой топочной камеры на колонне флюс</t>
  </si>
  <si>
    <t>Сварка перехода с обечайкой топочной камеры на колонне газ</t>
  </si>
  <si>
    <t>30.11</t>
  </si>
  <si>
    <t>Сварка продольных швов обечаек корпуса на колонне флюс</t>
  </si>
  <si>
    <t>Сварка продольных швов обечаек корпуса на колонне газ</t>
  </si>
  <si>
    <t>Ставка</t>
  </si>
  <si>
    <t>точки</t>
  </si>
  <si>
    <t>Сборка-сварка заготовок обечаек топочной камеры перед вальцовкой (сварка с одной стороны)</t>
  </si>
  <si>
    <t>20 стыков/смена, 1 человек</t>
  </si>
  <si>
    <t>Норматив 27м/смену</t>
  </si>
  <si>
    <t>Считается по длине сварного шва. Норматив полуавтомат 40м/смену</t>
  </si>
  <si>
    <t>Считается по длине сварного шва. Норматив трактор/колонна флюс 27м/смену</t>
  </si>
  <si>
    <t>Считается по длине сварного шва. Норматив колонна газ 28,5м/смену</t>
  </si>
  <si>
    <t>Считается по длине сварного шва. Норматив разделки шва 25м/смену</t>
  </si>
  <si>
    <t>нет</t>
  </si>
  <si>
    <t>Считается по длине сварного шва (4 прохода). Норматив полуавтомат 15,4м/смену</t>
  </si>
  <si>
    <t>Изготовление перехода (гибка по данным расценкам, остальные операции умножить на 2)</t>
  </si>
  <si>
    <t>нет перехода</t>
  </si>
  <si>
    <t>нет операции</t>
  </si>
  <si>
    <t>Сборка-сварка трубной доски с переходом. Разделка шва (для котлов с переходом)</t>
  </si>
  <si>
    <t>Сборка-сварка трубной доски с обечайкой топочной камеры. Разделка шва (для котлов без перехода)</t>
  </si>
  <si>
    <t>Сборка-сварка компенсатора</t>
  </si>
  <si>
    <t>сварка</t>
  </si>
  <si>
    <t>Сварка считается по длине сварного шва. Норматив полуавтомат 40м/смену. 2 прохода</t>
  </si>
  <si>
    <t>Интерполяция котлы серии R (овал)</t>
  </si>
  <si>
    <t>Норматив 55 шт/смену</t>
  </si>
  <si>
    <t>Сборка 20 шт/смена, 2 человека</t>
  </si>
  <si>
    <t>Расчет в интерполяции котлы серии R (круг)</t>
  </si>
  <si>
    <t>k объёма</t>
  </si>
  <si>
    <t>объем, м3</t>
  </si>
  <si>
    <t>площ. Листа, м2</t>
  </si>
  <si>
    <t>площ. двери, м2</t>
  </si>
  <si>
    <t>коэф.сложности (высота, малый объём работ, подготовительные работы)</t>
  </si>
  <si>
    <t>руб/м2</t>
  </si>
  <si>
    <t>Норматив 18,3м2/смену</t>
  </si>
  <si>
    <t>м2/смена</t>
  </si>
  <si>
    <t>40 стыков/смена, 2 человека</t>
  </si>
  <si>
    <t>10 бандажей/смена, 1 человек</t>
  </si>
  <si>
    <t>10 плит/смена, 2 человека</t>
  </si>
  <si>
    <t>Считается по площади фланца горелки. Результат умножаем на 4. Норматив окраски 23,16м2/смену</t>
  </si>
  <si>
    <t>40 плит/смена, 2 человека</t>
  </si>
  <si>
    <t>20 шт/смена, 2 человека</t>
  </si>
  <si>
    <t>Вальцовка+калибровка конвективной трубы</t>
  </si>
  <si>
    <t>240 шт/смена, 2 человека</t>
  </si>
  <si>
    <t>200 шт/смена, 2 человека</t>
  </si>
  <si>
    <t>150 шт/смена, 2 человека</t>
  </si>
  <si>
    <t>не вальцуется</t>
  </si>
  <si>
    <t>Ø трубки</t>
  </si>
  <si>
    <t>Зачистка конвективной трубы</t>
  </si>
  <si>
    <t>Набивка котла конвективной трубой</t>
  </si>
  <si>
    <t>80 шт/смена, 2 человека</t>
  </si>
  <si>
    <t>10 шт/смена, 2 человека</t>
  </si>
  <si>
    <t>20 шт/смена, 2 чел.</t>
  </si>
  <si>
    <t>30 шт/смена, 2 чел.</t>
  </si>
  <si>
    <t>По таблице сварки конвективных труб</t>
  </si>
  <si>
    <t>600 шт/смена, 1 человек</t>
  </si>
  <si>
    <t>Считается по таблице "Трудоёмкость изготовления патрубков"</t>
  </si>
  <si>
    <t>57-2шт</t>
  </si>
  <si>
    <t>76-2шт</t>
  </si>
  <si>
    <t>89-2шт</t>
  </si>
  <si>
    <t>108-2шт</t>
  </si>
  <si>
    <t>133-2шт</t>
  </si>
  <si>
    <t>159-2шт</t>
  </si>
  <si>
    <t>219-2шт</t>
  </si>
  <si>
    <t>273-3шт</t>
  </si>
  <si>
    <t>патрубки</t>
  </si>
  <si>
    <t>219-1шт</t>
  </si>
  <si>
    <t>273-1шт</t>
  </si>
  <si>
    <t>Сварка считается по длине сварного шва. Норматив полуавтомат 40м/смену. 3 прохода</t>
  </si>
  <si>
    <t>Считается по площади листа двери. Результат умножаем на 2, т.к. грунтуется декор двери внутри. Норматив грунтовки 61м2/смену</t>
  </si>
  <si>
    <t>мин на трубы</t>
  </si>
  <si>
    <t>k труб</t>
  </si>
  <si>
    <t>труб</t>
  </si>
  <si>
    <t>минобъёма</t>
  </si>
  <si>
    <t>Сборка-сварка уголков для гибки ложемента на профилегибе</t>
  </si>
  <si>
    <t>уголок</t>
  </si>
  <si>
    <t>Разделка шва</t>
  </si>
  <si>
    <t xml:space="preserve">Кол-во ед./заготовок на 1 котел </t>
  </si>
  <si>
    <t>корпус</t>
  </si>
  <si>
    <t>20.56</t>
  </si>
  <si>
    <t>40 м/смену</t>
  </si>
  <si>
    <t>Изготовление плавного перехода на переходе.</t>
  </si>
  <si>
    <t>х</t>
  </si>
  <si>
    <t>600 шт/смена, 2 человека</t>
  </si>
  <si>
    <t>Сборка-сварка рыма и накладки под рым с корпусом котла</t>
  </si>
  <si>
    <t>ГОСТ 14771-76 Т1-К5, К6, Т1-К6-100/200</t>
  </si>
  <si>
    <t>Подготовка к окраске, окраска котла с дверью.</t>
  </si>
  <si>
    <t>накладки</t>
  </si>
  <si>
    <t>Листогибочный станок</t>
  </si>
  <si>
    <t>Гибка скоб</t>
  </si>
  <si>
    <t>скоба</t>
  </si>
  <si>
    <t>60.259</t>
  </si>
  <si>
    <t>Участок сборки, Ду50</t>
  </si>
  <si>
    <t>Участок сборки, Ду15</t>
  </si>
  <si>
    <t>ГОСТ 14771-76 Н1-К5</t>
  </si>
  <si>
    <t>70.242</t>
  </si>
  <si>
    <t>Подготовка опор к окраске. Зачистка швов</t>
  </si>
  <si>
    <t>Станок лентопильный ARG 220</t>
  </si>
  <si>
    <t>шт</t>
  </si>
  <si>
    <t>10.05</t>
  </si>
  <si>
    <t>10.10</t>
  </si>
  <si>
    <t>60.61</t>
  </si>
  <si>
    <t>Развальцовка конвективных труб.</t>
  </si>
  <si>
    <t>Участок развальцовки</t>
  </si>
  <si>
    <t>смена, ч</t>
  </si>
  <si>
    <t>Интерполяция</t>
  </si>
  <si>
    <t>800М</t>
  </si>
  <si>
    <t>1000М</t>
  </si>
  <si>
    <t>1250М</t>
  </si>
  <si>
    <t>1500М</t>
  </si>
  <si>
    <t>1750М</t>
  </si>
  <si>
    <t>2000М</t>
  </si>
  <si>
    <t>2500М</t>
  </si>
  <si>
    <t>3000М</t>
  </si>
  <si>
    <t>3500М</t>
  </si>
  <si>
    <t>4000М</t>
  </si>
  <si>
    <t>4500М</t>
  </si>
  <si>
    <t>5000М</t>
  </si>
  <si>
    <t>5500М</t>
  </si>
  <si>
    <t>6000М</t>
  </si>
  <si>
    <t>6500М</t>
  </si>
  <si>
    <t>7000М</t>
  </si>
  <si>
    <t>7500М</t>
  </si>
  <si>
    <t>8000М</t>
  </si>
  <si>
    <t>8500М</t>
  </si>
  <si>
    <t>9000М</t>
  </si>
  <si>
    <t>9500М</t>
  </si>
  <si>
    <t>10000М</t>
  </si>
  <si>
    <t>11000М</t>
  </si>
  <si>
    <t>12000М</t>
  </si>
  <si>
    <t>13000М</t>
  </si>
  <si>
    <t>14000М</t>
  </si>
  <si>
    <t>15000М</t>
  </si>
  <si>
    <t>Параметры</t>
  </si>
  <si>
    <t>Ст. часа</t>
  </si>
  <si>
    <t>10. Передняя поворотная камера</t>
  </si>
  <si>
    <t>Вальцовка радиусов поворотной камеры</t>
  </si>
  <si>
    <t>Гибка радиусов поворотной камеры</t>
  </si>
  <si>
    <t>10.20</t>
  </si>
  <si>
    <t>Сборка передней поворотной камеры</t>
  </si>
  <si>
    <t>10.21</t>
  </si>
  <si>
    <r>
      <t>Сварка внутренней части передней поворотной камеры</t>
    </r>
    <r>
      <rPr>
        <sz val="11"/>
        <rFont val="Calibri"/>
        <family val="2"/>
        <charset val="204"/>
        <scheme val="minor"/>
      </rPr>
      <t>. Зачистка внутр. Части</t>
    </r>
  </si>
  <si>
    <t>Считается по периметру трубной доски, уточнять кол-во проход сварки</t>
  </si>
  <si>
    <t>10.30</t>
  </si>
  <si>
    <t>Зачистка наружней части поворотной камеры</t>
  </si>
  <si>
    <t>Считается по периметру трубной доски, норматив 50 м.п в смену</t>
  </si>
  <si>
    <t>10.40</t>
  </si>
  <si>
    <t>Сварка передней поворотной камеры (наружнняя часть). Зачистка шва</t>
  </si>
  <si>
    <t>Считается по периметру трубной доски, уточнять кол-во проходов сварки</t>
  </si>
  <si>
    <t>10.50</t>
  </si>
  <si>
    <t>Сборка-сварка передней поворотной камеры и ребер с обечайкой корпуса. Зачистка шва</t>
  </si>
  <si>
    <t>Ø корпуса</t>
  </si>
  <si>
    <t>Сварка считается по диаметру обечайки и длине ребер жесткост, уточнить кол-во проходов</t>
  </si>
  <si>
    <t>20.01</t>
  </si>
  <si>
    <t>Вальцовка обечайки стакана горелки</t>
  </si>
  <si>
    <t>Нет операций</t>
  </si>
  <si>
    <t>Ø720</t>
  </si>
  <si>
    <t>Ø1020</t>
  </si>
  <si>
    <t>Ø стакана</t>
  </si>
  <si>
    <t>20.02</t>
  </si>
  <si>
    <t>Сварка продольного шва обечайки стакана горелки</t>
  </si>
  <si>
    <t>Считается по длине сварного шва обечайки стакана горелки</t>
  </si>
  <si>
    <t>20.03</t>
  </si>
  <si>
    <t>Калибровка обечайки стакана горелки</t>
  </si>
  <si>
    <t>20.04</t>
  </si>
  <si>
    <t>Сборка-сварка частей днища жаровой трубы под фланжер</t>
  </si>
  <si>
    <t>20.05</t>
  </si>
  <si>
    <t>Фланжирование днища жаровой трубы. Торцовка, зачистка</t>
  </si>
  <si>
    <t>Ø топки</t>
  </si>
  <si>
    <t>20.06</t>
  </si>
  <si>
    <t>Изготовление перехода стакана горелки</t>
  </si>
  <si>
    <t>20.10</t>
  </si>
  <si>
    <t>Сборка-сварка стакана горелки с переходом</t>
  </si>
  <si>
    <t>20.12</t>
  </si>
  <si>
    <t>Сборка-сварка перехода с глушкой жаровой трубы</t>
  </si>
  <si>
    <t>20.15</t>
  </si>
  <si>
    <t>Сборка-сварка стакана горелки с глушкой жаровой трубы. Разделка шва</t>
  </si>
  <si>
    <t>20.14</t>
  </si>
  <si>
    <t>Изготовление плавного перехода на глушке жаровой трубы с 1 стороны</t>
  </si>
  <si>
    <t>20.16</t>
  </si>
  <si>
    <t>Изготовление плавного перехода на обечайке жаровой трубы. 2 обечайки</t>
  </si>
  <si>
    <t>Нет</t>
  </si>
  <si>
    <t>Считается по длине сварного шва обечаек топочной камеры</t>
  </si>
  <si>
    <t>Сборка-сварка усиливающего кольца с обечайкой топочной камеры</t>
  </si>
  <si>
    <t>Сборка-сварка глушки жаровой с обечайкой топочной камеры</t>
  </si>
  <si>
    <t>Аналогично операции 20.40</t>
  </si>
  <si>
    <t>Изготовление перехода делителя (гибка по данным расценкам, остальные операции умножить на 2)</t>
  </si>
  <si>
    <t>коэф</t>
  </si>
  <si>
    <t>Сборка-сварка перехода делителя с обечайкой топочной камеры</t>
  </si>
  <si>
    <t>20.64</t>
  </si>
  <si>
    <t>Сборка-сварка заготовок обечайки делителя</t>
  </si>
  <si>
    <t>20.65</t>
  </si>
  <si>
    <t>Вальцовка обечайки делителя</t>
  </si>
  <si>
    <t>Аналогично операции 20.18</t>
  </si>
  <si>
    <t>20.70</t>
  </si>
  <si>
    <t>Сварка продольного шва обечайки делителя</t>
  </si>
  <si>
    <t>Считается по длине сварного шва обечайки делителя</t>
  </si>
  <si>
    <t>20.71</t>
  </si>
  <si>
    <t>Сварка продольного шва обечайки делителя на колонне газ</t>
  </si>
  <si>
    <t>20.72</t>
  </si>
  <si>
    <t>Калибровка обечайки делителя после сварки</t>
  </si>
  <si>
    <t>Аналогично операции 20.31</t>
  </si>
  <si>
    <t>20.80</t>
  </si>
  <si>
    <t>Сборка-сварка частей трубной доски делителя</t>
  </si>
  <si>
    <t>20.90</t>
  </si>
  <si>
    <t>Сборка-сварка трубной доски с обечайкой делителя. Зачистка шва</t>
  </si>
  <si>
    <t>Ø делителя</t>
  </si>
  <si>
    <t>Сборка-сварка перехода с трубной доской делителя (подварочный шов)</t>
  </si>
  <si>
    <t>20.102</t>
  </si>
  <si>
    <t>Вальцовка обечайки розлива</t>
  </si>
  <si>
    <t>Аналогично операции 20.18. Радиус умножаем на 2 и смотри на диаметр обечайки, норматив умножаем на 2</t>
  </si>
  <si>
    <t>Сборка-сварка обечайки розлива с фальштрубной доской</t>
  </si>
  <si>
    <t>внутр. Ø об. Розлива</t>
  </si>
  <si>
    <t>20.120</t>
  </si>
  <si>
    <t>Сборка-сварка фальштрубной доски с обечайкой делителя. Вырезать фрагмент обечайки делителя, зачистить</t>
  </si>
  <si>
    <t>30. Сборка корпуса</t>
  </si>
  <si>
    <t>30.05</t>
  </si>
  <si>
    <t>Сборка-сварка заготовок обечаек корпуса перед вальцовкой (сварка с одной стороны)</t>
  </si>
  <si>
    <t>Норма 55 шт в смену</t>
  </si>
  <si>
    <t>Считается по длине сварного шва</t>
  </si>
  <si>
    <t>Сборка-сварка розлива с корпусом котла</t>
  </si>
  <si>
    <t>30.50</t>
  </si>
  <si>
    <t>Сварка продольных швов на обечайках передней поворотной камеры. Сварка ребер</t>
  </si>
  <si>
    <t>40. Сборка двери</t>
  </si>
  <si>
    <t>40.01</t>
  </si>
  <si>
    <t>Сборка-сварка частей днища двери под фланжер</t>
  </si>
  <si>
    <t>40.03</t>
  </si>
  <si>
    <t>40.05</t>
  </si>
  <si>
    <t>Фланжирование днища двери</t>
  </si>
  <si>
    <t>Ø днища</t>
  </si>
  <si>
    <t>40.07</t>
  </si>
  <si>
    <t>40.09</t>
  </si>
  <si>
    <t>Гибка ложемента</t>
  </si>
  <si>
    <t>Сборка-сварка двери. Сборка нержавеющего экрана</t>
  </si>
  <si>
    <t>Ø двери</t>
  </si>
  <si>
    <t>Набивка двери утеплителем</t>
  </si>
  <si>
    <t>м3 в смену</t>
  </si>
  <si>
    <t>объем утеплителя, м3</t>
  </si>
  <si>
    <t>40.22</t>
  </si>
  <si>
    <t>Зачистка наружнего кольцевого шва двери</t>
  </si>
  <si>
    <t>Считается по длине сварного шва, норматив 30м в смену</t>
  </si>
  <si>
    <t>Установка нержавеющего экрана на дверь</t>
  </si>
  <si>
    <t>50.10</t>
  </si>
  <si>
    <t>Сборка внутренней части дымогарника, установка ребер жесткости</t>
  </si>
  <si>
    <t>50.20</t>
  </si>
  <si>
    <t>Сборка наружней части дымогарника, установка бандажа под обшивку</t>
  </si>
  <si>
    <t>50.28</t>
  </si>
  <si>
    <t>Вальцовка обечайки взрывного клапана</t>
  </si>
  <si>
    <t>добавляются начиная с котла 11000М</t>
  </si>
  <si>
    <t>50.29</t>
  </si>
  <si>
    <t>Сварка продольного шва обечайки взрывного клапана</t>
  </si>
  <si>
    <t>50.30</t>
  </si>
  <si>
    <t>Сборка-сварка взрывного клапана. Набивка вермикулитом, установка асбестовых пластин</t>
  </si>
  <si>
    <t>50.40</t>
  </si>
  <si>
    <t>Сборка-сварка кожуха взрывного клапана</t>
  </si>
  <si>
    <t>50.80</t>
  </si>
  <si>
    <t>Сборка-сварка шибера ШХХХ</t>
  </si>
  <si>
    <t>По отдельному техпроцессу</t>
  </si>
  <si>
    <t>50.87</t>
  </si>
  <si>
    <t>Вальцовка обечайки переходной плиты</t>
  </si>
  <si>
    <t>Если диаметр трубы превышает 530мм аналогично операции 20,18</t>
  </si>
  <si>
    <t>50.88</t>
  </si>
  <si>
    <t>Калибровка обечайки переходной плиты</t>
  </si>
  <si>
    <t>Если диаметр трубы превышает 530мм аналогично операции 20.31</t>
  </si>
  <si>
    <t>50.89</t>
  </si>
  <si>
    <t>Термоправка переходной плиты</t>
  </si>
  <si>
    <t>50.100</t>
  </si>
  <si>
    <t>Изготовление фаски на грибке для кантовки</t>
  </si>
  <si>
    <t>25 Шт в смену</t>
  </si>
  <si>
    <t>50.110</t>
  </si>
  <si>
    <t>Изготовление усиленных опор котла. Установка дополнительных частей колец корпуса (опция)</t>
  </si>
  <si>
    <t>Участок сборки (сборка опор)</t>
  </si>
  <si>
    <t>Участок сборки (сварка опор)</t>
  </si>
  <si>
    <t>Участок сборки (сборка колец с бандажем)</t>
  </si>
  <si>
    <t>Участок сборки (сборка колец с котлом)</t>
  </si>
  <si>
    <t>Участок сборки (сварка колец с котлом)</t>
  </si>
  <si>
    <t>50.112</t>
  </si>
  <si>
    <t>Сверление отверстий в опорах котла для упаковки</t>
  </si>
  <si>
    <t>50.140</t>
  </si>
  <si>
    <t>Сборка-сварка рымов для увязки с котлом</t>
  </si>
  <si>
    <t>Сборка корпуса с жаровой трубой (свадьба)</t>
  </si>
  <si>
    <t>60.20</t>
  </si>
  <si>
    <t>Измерение конвективных труб 1-го прохода (76х3,5мм) и передних стяжных (57х3,5мм)</t>
  </si>
  <si>
    <t>По кол-ву труб</t>
  </si>
  <si>
    <t>Сборка-сварка передних стяжных с глушками</t>
  </si>
  <si>
    <t>Зачистка конвективной трубы 1-го прохода</t>
  </si>
  <si>
    <t>60.50</t>
  </si>
  <si>
    <t>Набивка котла передними стяжными</t>
  </si>
  <si>
    <t>Набивка конвективной трубой 1-го прохода, прихватка</t>
  </si>
  <si>
    <t>60.80</t>
  </si>
  <si>
    <t>Сборка-сварка кронштейнов для кантовки с котлом (грибков)</t>
  </si>
  <si>
    <t>Сварка конвективных труб 1-го прохода в делителе (нижнее положение)</t>
  </si>
  <si>
    <t>Сварка предних стяжных внутри котла (нижнее положение)</t>
  </si>
  <si>
    <t>Резка кронштейнов для кантовки котла (грибков)</t>
  </si>
  <si>
    <t>60.130</t>
  </si>
  <si>
    <t>Зачистка конвективных труб труб 1-го прохода в делителе</t>
  </si>
  <si>
    <t>60.135</t>
  </si>
  <si>
    <t>Сборка-сварка частей глушки делителя под фланжер</t>
  </si>
  <si>
    <t>60.137</t>
  </si>
  <si>
    <t>Фланжирование глушки делителя. Торцовка, зачистка</t>
  </si>
  <si>
    <t>Ø глушки</t>
  </si>
  <si>
    <t>Сборка-сварка глушки делителя с обечайкой делителя</t>
  </si>
  <si>
    <t>Сборка-сварка частей трубной доски корпуса</t>
  </si>
  <si>
    <t>60.146</t>
  </si>
  <si>
    <t>Срезать временные ребера жесткости с трубной доски корпуса, зачистка прихваток</t>
  </si>
  <si>
    <t>Нет операции</t>
  </si>
  <si>
    <t>60.147</t>
  </si>
  <si>
    <t>Термоправка трубной доски корпуса после сварки</t>
  </si>
  <si>
    <t xml:space="preserve">Вальцовка </t>
  </si>
  <si>
    <t xml:space="preserve">Термоправка </t>
  </si>
  <si>
    <t>Сборка-сварка трубной доски корпуса с последней обечайкой корпуса. Зачистка шва</t>
  </si>
  <si>
    <t>Сборка корпуса с последней обечайкой</t>
  </si>
  <si>
    <t>Сборка-сварка задних стяжных с глушками</t>
  </si>
  <si>
    <t>Измерение конвективных труб 2-го прохода и задних стяжных (57х3,5мм)</t>
  </si>
  <si>
    <t>Набивка котла задними стяжными. Прихватка</t>
  </si>
  <si>
    <t>Выбивание временных распорок</t>
  </si>
  <si>
    <t>Зачистка конвективной трубы 2-го прохода</t>
  </si>
  <si>
    <t>Набивка конвективной трубой 2-го прохода (57х3,5мм)</t>
  </si>
  <si>
    <t>Сварка конвективных труб на передней части котла (вертикальное положение)</t>
  </si>
  <si>
    <t>60.220</t>
  </si>
  <si>
    <t>Сварка предних стяжных (вертикальное положение)</t>
  </si>
  <si>
    <t>60.230</t>
  </si>
  <si>
    <t>Сварка задних стяжных внутри котла (вертикальное положение)</t>
  </si>
  <si>
    <t>Сварка продольного шва плиты передней поворотной камеры</t>
  </si>
  <si>
    <t>2 прохода</t>
  </si>
  <si>
    <t>3 прохода</t>
  </si>
  <si>
    <t>Сварка кольцевого шва стакана горелки с плитой. 3 прохода</t>
  </si>
  <si>
    <t>60.308</t>
  </si>
  <si>
    <t>Сборка глазка, сливной трубки (Вертикальное положене)</t>
  </si>
  <si>
    <t>60.309</t>
  </si>
  <si>
    <t>Сборка глазка, сливной трубки (Нижнее положение)</t>
  </si>
  <si>
    <t>Сварка конвективных труб и стяжных на задней части котла (вертикальное положение)</t>
  </si>
  <si>
    <t>Зачистка конвективных труб на передней части котла и поворотной камеры</t>
  </si>
  <si>
    <t>Сборка-сварка бандажа с нижними частями колец корпуса</t>
  </si>
  <si>
    <t>Сборка-сварка колец корпуса с котлом</t>
  </si>
  <si>
    <t>60.370</t>
  </si>
  <si>
    <t>60.385</t>
  </si>
  <si>
    <t>60.386</t>
  </si>
  <si>
    <t>Срезать временные трубы с поворотной камеры. Зачистка</t>
  </si>
  <si>
    <t>4 шт</t>
  </si>
  <si>
    <t>8 шт</t>
  </si>
  <si>
    <t>60.390</t>
  </si>
  <si>
    <t>60.400</t>
  </si>
  <si>
    <t>60.410</t>
  </si>
  <si>
    <t>Сборка-сварка внутренней части дымогарника с корпусом котла</t>
  </si>
  <si>
    <t>70.20</t>
  </si>
  <si>
    <t>Установка трубки обдува смотрового глазка</t>
  </si>
  <si>
    <t>70.30</t>
  </si>
  <si>
    <t>Сборка-сварка наружней части дымогарника с корпусом котла</t>
  </si>
  <si>
    <t>Аналогично операции 70.10</t>
  </si>
  <si>
    <t>Установка декоративных воротников</t>
  </si>
  <si>
    <t>70.50</t>
  </si>
  <si>
    <t>Подготовка дымогарника к покраске. Шпаклевание, ошкуривание. Грунтовка</t>
  </si>
  <si>
    <t>площадь</t>
  </si>
  <si>
    <t>70.52</t>
  </si>
  <si>
    <t>Вальцовка обечайки под взрывной клапан</t>
  </si>
  <si>
    <t>30 шт в смену</t>
  </si>
  <si>
    <t>25 шт в смену</t>
  </si>
  <si>
    <t>159 труба</t>
  </si>
  <si>
    <t>219 труба</t>
  </si>
  <si>
    <t>тип клапана</t>
  </si>
  <si>
    <t>70.53</t>
  </si>
  <si>
    <t>Сварка продольного шва обечайки под взрывной клапан</t>
  </si>
  <si>
    <t>Считается по длине сварочного шва</t>
  </si>
  <si>
    <t>Подготовка к установке взрывного клапана (установка болтов, колец под асбест). Зачистка шва</t>
  </si>
  <si>
    <t>Установка взрывного клапана</t>
  </si>
  <si>
    <t>Установка кожуха взрывного клапана</t>
  </si>
  <si>
    <t>Установка фланца дымогарника</t>
  </si>
  <si>
    <t>Установка лючков чистки котла</t>
  </si>
  <si>
    <t>Сборка-сварка накладок под рымы с корпусом котла</t>
  </si>
  <si>
    <t>Сборка-сварка рымов с корпусом котла</t>
  </si>
  <si>
    <t>70.200</t>
  </si>
  <si>
    <t>Установка двери на котел (бобышки, кронштейны, ребра, шип, капельки и тд)</t>
  </si>
  <si>
    <t>70.210</t>
  </si>
  <si>
    <t>Сборка-сварка фланца горелки со стаканом. Установка кольца под утеплитель с такан горелки</t>
  </si>
  <si>
    <t>70.220</t>
  </si>
  <si>
    <t>Зачистка шва стакана с фланцем горелки</t>
  </si>
  <si>
    <t>70.240</t>
  </si>
  <si>
    <t>Установка опор котла (швеллеров). Зачистка шва</t>
  </si>
  <si>
    <t>70.250</t>
  </si>
  <si>
    <t>Установка бандажей, подготовка к обшивке</t>
  </si>
  <si>
    <t>площ. обш.</t>
  </si>
  <si>
    <t>70.260</t>
  </si>
  <si>
    <t>площ. корп.</t>
  </si>
  <si>
    <t>70.270</t>
  </si>
  <si>
    <t>время, час</t>
  </si>
  <si>
    <t>70.280</t>
  </si>
  <si>
    <t>Подготовка дверей к покраске. Шпаклевание дверей, ошкуривание. Грунтовка</t>
  </si>
  <si>
    <t>70.290</t>
  </si>
  <si>
    <t>площ. плиты пов. Камеры</t>
  </si>
  <si>
    <t>70.292</t>
  </si>
  <si>
    <t>70.294</t>
  </si>
  <si>
    <t>70.300</t>
  </si>
  <si>
    <t>Установка двери на котел. Установка асбестового шнура. Закрыть дверь на болты</t>
  </si>
  <si>
    <t>70.310</t>
  </si>
  <si>
    <t>70.320</t>
  </si>
  <si>
    <t>70.330</t>
  </si>
  <si>
    <t>Установка шильдиков. Упаковка котла</t>
  </si>
  <si>
    <t>900R</t>
  </si>
  <si>
    <t>05. Резка металлопроката</t>
  </si>
  <si>
    <t>05.01</t>
  </si>
  <si>
    <t>05.02</t>
  </si>
  <si>
    <t>05.03</t>
  </si>
  <si>
    <t>05.04</t>
  </si>
  <si>
    <t>05.05</t>
  </si>
  <si>
    <t>05.06</t>
  </si>
  <si>
    <t>05.07</t>
  </si>
  <si>
    <t>05.08</t>
  </si>
  <si>
    <t>05.09</t>
  </si>
  <si>
    <t>05.10</t>
  </si>
  <si>
    <t>05.11</t>
  </si>
  <si>
    <t>05.12</t>
  </si>
  <si>
    <t>05.13</t>
  </si>
  <si>
    <t>Проверил: Инженер-технолог Сакс В.И.</t>
  </si>
  <si>
    <t>Согласовал: Богатырев И.Д.</t>
  </si>
  <si>
    <t>Резка. Круг 16 (кол-во резов ≥ 5)</t>
  </si>
  <si>
    <t>Резка. Круг 30 (кол-во резов ≥ 5)</t>
  </si>
  <si>
    <t>Резка. Труба 21,3х2,8 (кол-во резов ≥ 5)</t>
  </si>
  <si>
    <t>Резка. Труба 219х8 (кол-во резов ≥ 5)</t>
  </si>
  <si>
    <t>Резка. Уголок 25х25х3 (кол-во резов ≥ 5)</t>
  </si>
  <si>
    <t>Резка. Уголок 40х40х4 (кол-во резов ≥ 5)</t>
  </si>
  <si>
    <t>Резка. Труба 51х3,5 (кол-во резов ≥ 5)</t>
  </si>
  <si>
    <t>Резка. Труба 42,3х3,2 (кол-во резов ≥ 5)</t>
  </si>
  <si>
    <t>Подготовил: Инженер-технолог Гришечко И.И.</t>
  </si>
  <si>
    <t>Резка. Круг 20 (кол-во резов ≥ 5)</t>
  </si>
  <si>
    <t>Резка. Труба 57х3 (кол-во резов ≥ 5)</t>
  </si>
  <si>
    <t>Резка. Швеллер 10У (кол-во резов ≥ 5)</t>
  </si>
  <si>
    <t>Гибочный станок</t>
  </si>
  <si>
    <t>Вальцы. Обечайка №1 L=820мм</t>
  </si>
  <si>
    <t>Полуавтомат. Обечайка №1 L=820мм</t>
  </si>
  <si>
    <t>Колонна флюс. Обечайка №1 L=820мм</t>
  </si>
  <si>
    <t>Разделка шва. Обечайка №1 L=820мм</t>
  </si>
  <si>
    <t>Колонна газ. Обечайка №1 L=820мм</t>
  </si>
  <si>
    <t>узел = глушка+швеллера+пластина</t>
  </si>
  <si>
    <t>ГОСТ 14771-76-Т1-К8</t>
  </si>
  <si>
    <t>узел = корпус + глушка корпуса</t>
  </si>
  <si>
    <t>Гибка обечаек двери</t>
  </si>
  <si>
    <t>Гибочный станок. Обечайка №1 L=244мм</t>
  </si>
  <si>
    <t>Гибочный станок. Обечайка №3 L=22мм</t>
  </si>
  <si>
    <t>Гибочный станок. Обечайка №2 L=106мм</t>
  </si>
  <si>
    <t xml:space="preserve">Сборка двери. </t>
  </si>
  <si>
    <t>Сварка двери (внутренние швы). Зачистка швов</t>
  </si>
  <si>
    <t>40.15</t>
  </si>
  <si>
    <t>45.15</t>
  </si>
  <si>
    <t>Вальцы. Обечайка №1 L=54мм, Ø200*4</t>
  </si>
  <si>
    <t xml:space="preserve">Гибочный станок. </t>
  </si>
  <si>
    <t>Гибка обечайки дымогарника</t>
  </si>
  <si>
    <t>Вальцовка газохода дымогарника</t>
  </si>
  <si>
    <t>Сборка-сварка уголков бандажа дымогарника</t>
  </si>
  <si>
    <t>Сборка-сварка опор с глушкой корпуса и трубной доской. Зачистка швов</t>
  </si>
  <si>
    <t>Вращатель. Ручная плазма</t>
  </si>
  <si>
    <t>Резка трубы Ø426 в размер для обечайки топочной камеры. Зачистка торцов</t>
  </si>
  <si>
    <t>Гибка трубной доски 100R.1500.002</t>
  </si>
  <si>
    <t>30.45</t>
  </si>
  <si>
    <t>Сборка-сварка глушки корпуса с пластиной компенсатора и швеллерами</t>
  </si>
  <si>
    <t>Сборка глушки корпуса с корпусом котла</t>
  </si>
  <si>
    <t>Гибка экрана двери 100R.2000.001</t>
  </si>
  <si>
    <t>Грунтовка двери под утепление и внутренней части экрана</t>
  </si>
  <si>
    <t>45.05</t>
  </si>
  <si>
    <t>Закрепить котел на монтажной плите под сварку передней  трубной доски с корпусом</t>
  </si>
  <si>
    <t>Закрепить котел на монтажной плите под сварку задней трубной доски с корпусом</t>
  </si>
  <si>
    <t>60.95</t>
  </si>
  <si>
    <t>60.125</t>
  </si>
  <si>
    <t>Гибка скобы под дверь</t>
  </si>
  <si>
    <t>Гибка панели 100R.0000.002</t>
  </si>
  <si>
    <t>панель</t>
  </si>
  <si>
    <t>Сборка-сварка панели в нижней части котла</t>
  </si>
  <si>
    <t>60.335</t>
  </si>
  <si>
    <t>Гибка площадки обслуживания</t>
  </si>
  <si>
    <t>Расценки на работы по котлу 100R (серия 2020)</t>
  </si>
  <si>
    <r>
      <t xml:space="preserve">Вальцы. Обечайка №1 L=770мм, </t>
    </r>
    <r>
      <rPr>
        <sz val="11"/>
        <color theme="1"/>
        <rFont val="Calibri"/>
        <family val="2"/>
        <charset val="204"/>
      </rPr>
      <t>Ø530*8</t>
    </r>
  </si>
  <si>
    <t>Полуавтомат. Обечайка №1 L=770мм</t>
  </si>
  <si>
    <t>Разделка шва. Обечайка №1 L=770мм</t>
  </si>
  <si>
    <t>Колонна газ. Обечайка №1 L=770мм</t>
  </si>
  <si>
    <t>Полуавтомат Обечайка №1 L=770мм</t>
  </si>
  <si>
    <t>Колонна флюс Обечайка №1 L=770мм</t>
  </si>
  <si>
    <t>ГОСТ 8713-79 С21 Афш</t>
  </si>
  <si>
    <t>Вальцы. Обечайка №1 L=985мм</t>
  </si>
  <si>
    <t>Полуавтомат. Обечайка №1 L=985мм</t>
  </si>
  <si>
    <t>Колонна флюс. Обечайка №1 L=985мм</t>
  </si>
  <si>
    <t>Разделка шва. Обечайка №1 L=985мм</t>
  </si>
  <si>
    <t>Колонна газ. Обечайка №1 L=985мм</t>
  </si>
  <si>
    <t>Вальцы. Обечайка №1 L=54мм, Ø250*4</t>
  </si>
  <si>
    <t>60.265</t>
  </si>
  <si>
    <t>Резка. Труба 76х3,5 (кол-во резов ≤ 4)</t>
  </si>
  <si>
    <t>Резка. Труба 26,8х2,8 (кол-во резов ≥ 5)</t>
  </si>
  <si>
    <t>Расценки на работы по котлу 200R (серия 2020)</t>
  </si>
  <si>
    <t>Гибка глушки дымогарника 100R.3000.003</t>
  </si>
  <si>
    <t>Гибка трубной доски 200R.1500.002</t>
  </si>
  <si>
    <t>Гибочный станок. Обечайка №1 L=246мм</t>
  </si>
  <si>
    <t>Гибка экрана двери 200R.2000.001</t>
  </si>
  <si>
    <t>Гибка глушки дымогарника 200R.3000.003</t>
  </si>
  <si>
    <t>Гибка панели 200R.0000.002</t>
  </si>
  <si>
    <t>Расценки на работы по котлу 400R (серия 2020)</t>
  </si>
  <si>
    <t>Резка. Труба 219х5 (кол-во резов ≥ 5)</t>
  </si>
  <si>
    <t>Резка. Труба 22х3 (кол-во резов ≥ 5)</t>
  </si>
  <si>
    <t>Резка. Труба 32х3 (кол-во резов ≥ 5)</t>
  </si>
  <si>
    <t>Резка. Труба 89х4 (кол-во резов ≥ 5)</t>
  </si>
  <si>
    <r>
      <t xml:space="preserve">Вальцы. Обечайка №1 L=1121мм, </t>
    </r>
    <r>
      <rPr>
        <sz val="11"/>
        <color theme="1"/>
        <rFont val="Calibri"/>
        <family val="2"/>
        <charset val="204"/>
      </rPr>
      <t>Ø630*8</t>
    </r>
  </si>
  <si>
    <t>Полуавтомат Обечайка №1 L=1121мм</t>
  </si>
  <si>
    <t>Колонна флюс Обечайка №1 L=1121мм</t>
  </si>
  <si>
    <t>Полуавтомат. Обечайка №1 L=1121мм</t>
  </si>
  <si>
    <t>Разделка шва. Обечайка №1 L=1121мм</t>
  </si>
  <si>
    <t>Колонна газ. Обечайка №1 L=1121мм</t>
  </si>
  <si>
    <t>Гибка трубной доски 400R.1500.003</t>
  </si>
  <si>
    <t>Вальцы. Обечайка №1 L=1365мм</t>
  </si>
  <si>
    <t>Полуавтомат. Обечайка №1 L=1365мм</t>
  </si>
  <si>
    <t>Колонна флюс. Обечайка №1 L=1365мм</t>
  </si>
  <si>
    <t>Разделка шва. Обечайка №1 L=1365мм</t>
  </si>
  <si>
    <t>Колонна газ. Обечайка №1 L=1365мм</t>
  </si>
  <si>
    <t>Гибка глушки корпуса 400R.1400.001</t>
  </si>
  <si>
    <t>Гибочный станок. Обечайка №1 L=256мм</t>
  </si>
  <si>
    <t>Гибочный станок. Обечайка №2 L=116мм</t>
  </si>
  <si>
    <t>Гибка листа двери 400R.2000.001</t>
  </si>
  <si>
    <t>Вальцы. Обечайка №1 L=58мм, Ø300*4</t>
  </si>
  <si>
    <t>Участок сборки, Ду200</t>
  </si>
  <si>
    <t>Участок сборки, Ду80</t>
  </si>
  <si>
    <t>Участок сборки, Ду25</t>
  </si>
  <si>
    <t>Гибка пластины 400R.0000.004</t>
  </si>
  <si>
    <t>Гришечко</t>
  </si>
  <si>
    <t>Изменение длины шва в операции 30.70 "Сборка-сварка глушки корпуса с пластиной компенсатора и швеллерами"</t>
  </si>
  <si>
    <t>Расценки на работы по котлу 1500R (серия 2020)</t>
  </si>
  <si>
    <t>Резка. Труба 133х4 (кол-во резов ≥ 5)</t>
  </si>
  <si>
    <t>Резка. Труба 38х2,8 (кол-во резов ≥ 5)</t>
  </si>
  <si>
    <t>Резка. Труба 45х3,5 (кол-во резов ≥ 5)</t>
  </si>
  <si>
    <t>Резка. Швеллер 10У (кол-во резов ≤ 4)</t>
  </si>
  <si>
    <r>
      <t xml:space="preserve">Вальцы. Обечайка №1 L=660мм, </t>
    </r>
    <r>
      <rPr>
        <sz val="11"/>
        <color theme="1"/>
        <rFont val="Calibri"/>
        <family val="2"/>
        <charset val="204"/>
      </rPr>
      <t>Ø824*12</t>
    </r>
  </si>
  <si>
    <r>
      <t xml:space="preserve">Вальцы. Обечайка №2 L=1480мм, </t>
    </r>
    <r>
      <rPr>
        <sz val="11"/>
        <color theme="1"/>
        <rFont val="Calibri"/>
        <family val="2"/>
        <charset val="204"/>
      </rPr>
      <t>Ø824*12</t>
    </r>
  </si>
  <si>
    <t>Полуавтомат Обечайка №1 L=660мм</t>
  </si>
  <si>
    <t>Колонна флюс Обечайка №1 L=660мм</t>
  </si>
  <si>
    <t>Полуавтомат Обечайка №2 L=1480мм</t>
  </si>
  <si>
    <t>Колонна флюс Обечайка №2 L=1480мм</t>
  </si>
  <si>
    <t>Полуавтомат. Обечайка №1 L=660мм</t>
  </si>
  <si>
    <t>Разделка шва. Обечайка №1 L=660мм</t>
  </si>
  <si>
    <t>Колонна газ. Обечайка №1 L=660мм</t>
  </si>
  <si>
    <t>Полуавтомат. Стык №1</t>
  </si>
  <si>
    <t>Разделка шва. Стык №1</t>
  </si>
  <si>
    <t>Колонна газ. Стык №1</t>
  </si>
  <si>
    <t xml:space="preserve">переход </t>
  </si>
  <si>
    <t>Изготовление плавного перехода на переходе</t>
  </si>
  <si>
    <t>Участок зачистки (изготовить плавный переход)</t>
  </si>
  <si>
    <t>Полуавтомат. Стык №3</t>
  </si>
  <si>
    <t>Колонна флюс. Стык №3</t>
  </si>
  <si>
    <t>Разделка шва. Стык №3</t>
  </si>
  <si>
    <t>Колонна газ. Стык №3</t>
  </si>
  <si>
    <t>Гибка трубной доски 1500R.1500.003</t>
  </si>
  <si>
    <t>Зачистка под сварку</t>
  </si>
  <si>
    <t>Вальцы. Обечайка №2 L=1021мм</t>
  </si>
  <si>
    <t>Полуавтомат. Обечайка №1 L=1480мм</t>
  </si>
  <si>
    <t>Полуавтомат. Обечайка №2 L=1021мм</t>
  </si>
  <si>
    <t>Колонна флюс. Обечайка №2 L=1021мм</t>
  </si>
  <si>
    <t>Разделка шва. Обечайка №1 L=1480мм</t>
  </si>
  <si>
    <t>Колонна газ. Обечайка №1 L=1480мм</t>
  </si>
  <si>
    <t>Разделка шва. Обечайка №2 L=1021мм</t>
  </si>
  <si>
    <t>Колонна газ. Обечайка №2 L=1021мм</t>
  </si>
  <si>
    <t>Полуавтомат (сварка 2 прохода)</t>
  </si>
  <si>
    <t>Гибка глушки корпуса 1500R.1400.001</t>
  </si>
  <si>
    <t>Сборка-сварка глушки корпуса с пластиной компенсатора, швеллерами и ребрами</t>
  </si>
  <si>
    <t>Гибочный станок. Обечайка №1 L=276мм</t>
  </si>
  <si>
    <t>Гибочный станок. Обечайка №2 L=136мм</t>
  </si>
  <si>
    <t>Гибка листа двери 1500R.2000.001</t>
  </si>
  <si>
    <t>Гибка панели 1500R.0000.004</t>
  </si>
  <si>
    <t>60.355</t>
  </si>
  <si>
    <t>Сборка-сварка среднего кольца корпуса с котлом</t>
  </si>
  <si>
    <t>ГОСТ 14771-76 Т3-К6</t>
  </si>
  <si>
    <t>Изменилось кол-во заготовок в операции 30.50 "Гибка ребер 400R.1400.003 и 400R.1400.003-01"</t>
  </si>
  <si>
    <t>Гибка трубной доски 1250R.1500.001</t>
  </si>
  <si>
    <t>Вальцы. Обечайка №2 L=720мм</t>
  </si>
  <si>
    <t>Полуавтомат. Обечайка №2 L=720мм</t>
  </si>
  <si>
    <t>Колонна флюс. Обечайка №2 L=720мм</t>
  </si>
  <si>
    <t>Разделка шва. Обечайка №2 L=720мм</t>
  </si>
  <si>
    <t>Колонна газ. Обечайка №2 L=720мм</t>
  </si>
  <si>
    <t>Гибка пластин розлива</t>
  </si>
  <si>
    <t>Гибочный станок. Обечайка №2 L=133мм</t>
  </si>
  <si>
    <t>Гибка экрана двери 1250R.2000.001</t>
  </si>
  <si>
    <t>Гибка глушки дымогарника 1250R.1400.002</t>
  </si>
  <si>
    <t>Вальцы. Обечайка №1 L=58мм, Ø400*4</t>
  </si>
  <si>
    <t>Гибка панели 1250R.0000.003</t>
  </si>
  <si>
    <t>Расценки на работы по котлу 1250R (серия 2020)</t>
  </si>
  <si>
    <t>,</t>
  </si>
  <si>
    <t>Вращатель (разделка после сварки)</t>
  </si>
  <si>
    <t>Операция 20.100 "Сборка-сварка трубной доски с переходом. Разделка шва" изменения в кол-ве и объеме работ, добавлена строка.</t>
  </si>
  <si>
    <t>Операция 45.15 "Вальцовка газохода дымогарника" скоректировано наименование рабочего центра, изменения в объеме работ</t>
  </si>
  <si>
    <t>Операция 45.50 "Сборка дымогарника" изменения в объеме работ</t>
  </si>
  <si>
    <t>Операция 45.60 "Сварка дымогарника. Зачистка швов" изменения в объеме работ</t>
  </si>
  <si>
    <t>Оперция 60.111 изменилось наименование операции "Сварка (заполнение) кольцевого шва трубной доски с переходом. 1 проход", изменилась длина шва</t>
  </si>
  <si>
    <t>Изменения названия операции 30.28 "Гибка пластин розлива", изменение кол-ва зоготовок</t>
  </si>
  <si>
    <t xml:space="preserve">Удалена операция 30.30 "Сборка-сварка розлива" </t>
  </si>
  <si>
    <t>Изменения длины шва 30.40 "Сборка-сварка розлива и фальштрубной доски с корпусом котла"</t>
  </si>
  <si>
    <t>Резка. Труба 76х3,5 (кол-во резов ≥ 5)</t>
  </si>
  <si>
    <r>
      <t xml:space="preserve">Вальцы. Обечайка №1 L=750мм, </t>
    </r>
    <r>
      <rPr>
        <sz val="11"/>
        <color theme="1"/>
        <rFont val="Calibri"/>
        <family val="2"/>
        <charset val="204"/>
      </rPr>
      <t>Ø530*8</t>
    </r>
  </si>
  <si>
    <t>Полуавтомат Обечайка №1 L=750мм</t>
  </si>
  <si>
    <t>Колонна флюс Обечайка №1 L=750мм</t>
  </si>
  <si>
    <t>Полуавтомат. Обечайка №1 L=750мм</t>
  </si>
  <si>
    <t>Разделка шва. Обечайка №1 L=750мм</t>
  </si>
  <si>
    <t>Колонна газ. Обечайка №1 L=750мм</t>
  </si>
  <si>
    <t>Гибка трубной доски 150R.1500.002</t>
  </si>
  <si>
    <t>Вальцы. Обечайка №1 L=955мм</t>
  </si>
  <si>
    <t>Полуавтомат. Обечайка №1 L=955мм</t>
  </si>
  <si>
    <t>Колонна флюс. Обечайка №1 L=955мм</t>
  </si>
  <si>
    <t>Разделка шва. Обечайка №1 L=955мм</t>
  </si>
  <si>
    <t>Колонна газ. Обечайка №1 L=955мм</t>
  </si>
  <si>
    <t>Гибка глушки корпуса 150R.1400.001</t>
  </si>
  <si>
    <t>Гибка ребер 150R.1400.003 и 150R.1400.003-01</t>
  </si>
  <si>
    <t>Гибка диста двери 150R.2000.001</t>
  </si>
  <si>
    <t>Гибка лист обшивки 150R.0000.008</t>
  </si>
  <si>
    <t>Расценки на работы по котлу 150R (серия !2020)</t>
  </si>
  <si>
    <t>Расценки на работы по котлу 500R (серия 2020)</t>
  </si>
  <si>
    <t>Резка. Труба 42,3х2,8 (кол-во резов ≥ 5)</t>
  </si>
  <si>
    <r>
      <t xml:space="preserve">Вальцы. Обечайка №1 L=1302мм, </t>
    </r>
    <r>
      <rPr>
        <sz val="11"/>
        <color theme="1"/>
        <rFont val="Calibri"/>
        <family val="2"/>
        <charset val="204"/>
      </rPr>
      <t>Ø630*8</t>
    </r>
  </si>
  <si>
    <t>Полуавтомат Обечайка №1 L=1302мм</t>
  </si>
  <si>
    <t>Колонна флюс Обечайка №1 L=1302мм</t>
  </si>
  <si>
    <t>Полуавтомат. Обечайка №1 L=1302мм</t>
  </si>
  <si>
    <t>Разделка шва. Обечайка №1 L=1302мм</t>
  </si>
  <si>
    <t>Колонна газ. Обечайка №1 L=1302мм</t>
  </si>
  <si>
    <t>Гибка трубной доски 500R.1500.003</t>
  </si>
  <si>
    <t>Сборка-сварка заготовок обечаек корпуса перед вальцовкой</t>
  </si>
  <si>
    <t>Сварочный трактор. Сборка заготовок</t>
  </si>
  <si>
    <t>стык</t>
  </si>
  <si>
    <t>Полуавтомат. Заготовка №1 L=1546мм</t>
  </si>
  <si>
    <t>Сварочный трактор. Заготовка №1 L=1546мм</t>
  </si>
  <si>
    <t>Полуавтомат. Заготовка №2 L=1546мм</t>
  </si>
  <si>
    <t>Сварочный трактор. Заготовка №2 L=1546мм</t>
  </si>
  <si>
    <t>Вальцы. Обечайка  L=1546мм</t>
  </si>
  <si>
    <t>Полуавтомат. Обечайка №1 L=1546мм</t>
  </si>
  <si>
    <t>Колонна флюс. Обечайка №1 L=1546мм</t>
  </si>
  <si>
    <t>Разделка шва. Обечайка №1 L=1546мм</t>
  </si>
  <si>
    <t>Колонна газ. Обечайка №1 L=1546мм</t>
  </si>
  <si>
    <t>Гибка листа двери 500R.2000.001</t>
  </si>
  <si>
    <t>Гибка пластины 500R.0000.005</t>
  </si>
  <si>
    <t>Расценки на работы по котлу 250R (серия 2020)</t>
  </si>
  <si>
    <r>
      <t xml:space="preserve">Вальцы. Обечайка №1 L=870мм, </t>
    </r>
    <r>
      <rPr>
        <sz val="11"/>
        <color theme="1"/>
        <rFont val="Calibri"/>
        <family val="2"/>
        <charset val="204"/>
      </rPr>
      <t>Ø530*8</t>
    </r>
  </si>
  <si>
    <t>Полуавтомат Обечайка №1 L=870мм</t>
  </si>
  <si>
    <t>Колонна флюс Обечайка №1 L=870мм</t>
  </si>
  <si>
    <t>Полуавтомат. Обечайка №1 L=870мм</t>
  </si>
  <si>
    <t>Разделка шва. Обечайка №1 L=870мм</t>
  </si>
  <si>
    <t>Колонна газ. Обечайка №1 L=870мм</t>
  </si>
  <si>
    <t>Гибка трубной доски 250R.1500.002</t>
  </si>
  <si>
    <t>Вальцы. Обечайка №1 L=1080мм</t>
  </si>
  <si>
    <t>Полуавтомат. Обечайка №1 L=1080мм</t>
  </si>
  <si>
    <t>Колонна флюс. Обечайка №1 L=1080мм</t>
  </si>
  <si>
    <t>Разделка шва. Обечайка №1 L=1080мм</t>
  </si>
  <si>
    <t>Колонна газ. Обечайка №1 L=1080мм</t>
  </si>
  <si>
    <t>Сборка-сварка глушки корпуса с пластиной компенсатора и ребрами</t>
  </si>
  <si>
    <t>Гибочный станок. Обечайка №2 L=110мм</t>
  </si>
  <si>
    <t>Гибка листа двери 250R.2000.001</t>
  </si>
  <si>
    <t>Гибка глушки дымогарника 250R.3000.003</t>
  </si>
  <si>
    <t>Гибка панели 250R.0000.008</t>
  </si>
  <si>
    <t>Расценки на работы по котлу 350R (серия 2020)</t>
  </si>
  <si>
    <t>Резка. Труба 22х2,5 (кол-во резов ≥ 5)</t>
  </si>
  <si>
    <r>
      <t xml:space="preserve">Вальцы. Обечайка №1 L=960мм, </t>
    </r>
    <r>
      <rPr>
        <sz val="11"/>
        <color theme="1"/>
        <rFont val="Calibri"/>
        <family val="2"/>
        <charset val="204"/>
      </rPr>
      <t>Ø630*8</t>
    </r>
  </si>
  <si>
    <t>Полуавтомат Обечайка №1 L=960мм</t>
  </si>
  <si>
    <t>Колонна флюс Обечайка №1 L=960мм</t>
  </si>
  <si>
    <t>Полуавтомат. Обечайка №1 L=960мм</t>
  </si>
  <si>
    <t>Разделка шва. Обечайка №1 L=960мм</t>
  </si>
  <si>
    <t>Колонна газ. Обечайка №1 L=960мм</t>
  </si>
  <si>
    <t>Гибка трубной доски 350R.1500.001</t>
  </si>
  <si>
    <t>Вальцы. Обечайка №1 L=1170мм</t>
  </si>
  <si>
    <t>Полуавтомат. Обечайка №1 L=1170мм</t>
  </si>
  <si>
    <t>Колонна флюс. Обечайка №1 L=1170мм</t>
  </si>
  <si>
    <t>Разделка шва. Обечайка №1 L=1170мм</t>
  </si>
  <si>
    <t>Колонна газ. Обечайка №1 L=1170мм</t>
  </si>
  <si>
    <t>Гибка глушки корпуса 350R.1400.001</t>
  </si>
  <si>
    <t>Гибка ребер 350R.1400.003 и 350R.1400.003-01</t>
  </si>
  <si>
    <t>Гибка листа двери 350R.2000.001</t>
  </si>
  <si>
    <t>Вальцы. Обечайка №1 L=58мм, Ø250*4</t>
  </si>
  <si>
    <t>Гибка пластины 350R.0000.002</t>
  </si>
  <si>
    <t>Гибка пластины розлива</t>
  </si>
  <si>
    <t>Изменения нормативов в операции 70.60 "Установка площадки обслуживания"</t>
  </si>
  <si>
    <t>Изменения нормативов в операции 70.100 "Изготовление турбуляторов"</t>
  </si>
  <si>
    <t>Изменения нормативов в операции 70.90 "Теплоизоляция и обшивка котла"</t>
  </si>
  <si>
    <t>Изменение объёма работ в операции 70.14 "Установка набивки АС в дымогарник. Установка дымогарника на котел."</t>
  </si>
  <si>
    <t>Изменение длины шва в операции 30.40 "Сборка-сварка розлива и фальштрубной доски с корпусом котла"</t>
  </si>
  <si>
    <t>Изменение названия операции 30.28 "Гибка пластин розлива", изменение кол-ва зоготовок</t>
  </si>
  <si>
    <t>Расценки на работы по котлу 1000R (серия 2020)</t>
  </si>
  <si>
    <t>Полуавтомат. Заготовка №1 L=1885мм</t>
  </si>
  <si>
    <t>Сварочный трактор. Заготовка №1 L=1885мм</t>
  </si>
  <si>
    <r>
      <t xml:space="preserve">Вальцы. Обечайка №1 L=1885мм, </t>
    </r>
    <r>
      <rPr>
        <sz val="11"/>
        <color theme="1"/>
        <rFont val="Calibri"/>
        <family val="2"/>
        <charset val="204"/>
      </rPr>
      <t>Ø720*10</t>
    </r>
  </si>
  <si>
    <t>Полуавтомат Обечайка №1 L=1885мм</t>
  </si>
  <si>
    <t>Колонна флюс Обечайка №1 L=1885мм</t>
  </si>
  <si>
    <t>Полуавтомат. Обечайка №1 L=1885мм</t>
  </si>
  <si>
    <t>Разделка шва. Обечайка №1 L=1885мм</t>
  </si>
  <si>
    <t>Колонна газ. Обечайка №1 L=1885мм</t>
  </si>
  <si>
    <r>
      <t xml:space="preserve">Вальцы. Обечайка №1 L=1885мм, </t>
    </r>
    <r>
      <rPr>
        <sz val="11"/>
        <color theme="1"/>
        <rFont val="Calibri"/>
        <family val="2"/>
        <charset val="204"/>
      </rPr>
      <t>Ø824*12</t>
    </r>
  </si>
  <si>
    <t>Вальцы. Обечайка №2 L=730мм</t>
  </si>
  <si>
    <t>Полуавтомат. Обечайка №2 L=730мм</t>
  </si>
  <si>
    <t>Колонна флюс. Обечайка №2 L=730мм</t>
  </si>
  <si>
    <t>Разделка шва. Обечайка №2 L=730мм</t>
  </si>
  <si>
    <t>Колонна газ. Обечайка №2 L=730мм</t>
  </si>
  <si>
    <t>Гибка глушки корпуса 1000R.1400.001</t>
  </si>
  <si>
    <t>Гибочный станок. Обечайка №2 L=143мм</t>
  </si>
  <si>
    <t>Гибка листа двери 1000R.2000.001</t>
  </si>
  <si>
    <t>Гибка глушки дымогарника 1000R.1400.003</t>
  </si>
  <si>
    <t>Сборка-сварка заготовок камеры топочной</t>
  </si>
  <si>
    <t>Гибка трубной доски 1000R.1500.001</t>
  </si>
  <si>
    <t>Гибка панели 1000R.0000.009</t>
  </si>
  <si>
    <t>Удалена операция 20.39 "Сборка обечаек топочной камеры"</t>
  </si>
  <si>
    <t>Удалена операция 20.40 "Сварка обечаек топочной камеры на колонне флюс"</t>
  </si>
  <si>
    <t>Удалена операция 20.41 "Сварка продольных швов обечаек топочной камеры на колонне газ"</t>
  </si>
  <si>
    <t>Добавлена операция 20.17 "Сборка-сварка заготовок обечаек топочной камеры перед вальцовкой"</t>
  </si>
  <si>
    <t>В связи с изменением схемы сборки ЖТ изменились операции 20.18 "Вальцовка обечайки топочной камеры"; 20.30 "Сварка продольных швов обечаек топочной камеры на колонне флюс"; 20.31 "Сварка продольных швов обечаек топочной камеры на колонне газ"; 20.35 "Калибровка обечайки топочной камеры после сварки"</t>
  </si>
  <si>
    <t>Расценки на работы по котлу 600R (серия 2020)</t>
  </si>
  <si>
    <t>Полуавтомат. Заготовка №1 L=1560мм</t>
  </si>
  <si>
    <t>Сварочный трактор. Заготовка №1 L=1560мм</t>
  </si>
  <si>
    <r>
      <t xml:space="preserve">Вальцы. Обечайка №1 L=1560мм, </t>
    </r>
    <r>
      <rPr>
        <sz val="11"/>
        <color theme="1"/>
        <rFont val="Calibri"/>
        <family val="2"/>
        <charset val="204"/>
      </rPr>
      <t>Ø630*10</t>
    </r>
  </si>
  <si>
    <t>Полуавтомат Обечайка №1 L=1560мм</t>
  </si>
  <si>
    <t>Колонна флюс Обечайка №1 L=1560мм</t>
  </si>
  <si>
    <t>Разделка шва. Обечайка №1 L=1560мм</t>
  </si>
  <si>
    <t>Колонна газ. Обечайка №1 L=1560мм</t>
  </si>
  <si>
    <t>Гибка трубной доски 700R.1500.001</t>
  </si>
  <si>
    <t>Полуавтомат. Заготовка №1 L=1807мм</t>
  </si>
  <si>
    <t>Сварочный трактор. Заготовка №1 L=1807мм</t>
  </si>
  <si>
    <t>Полуавтомат. Заготовка №2 L=1807мм</t>
  </si>
  <si>
    <t>Сварочный трактор. Заготовка №2 L=1807мм</t>
  </si>
  <si>
    <t>Вальцы. Обечайка  L=1807мм</t>
  </si>
  <si>
    <t>Полуавтомат. Обечайка №1 L=1807мм</t>
  </si>
  <si>
    <t>Колонна флюс. Обечайка №1 L=1807мм</t>
  </si>
  <si>
    <t>Разделка шва. Обечайка №1 L=1807мм</t>
  </si>
  <si>
    <t>Колонна газ. Обечайка №1 L=1807мм</t>
  </si>
  <si>
    <t>Гибочный станок. Обечайка №2 L=118мм</t>
  </si>
  <si>
    <t>Гибка листа двери 600R.2000.001</t>
  </si>
  <si>
    <t>Сборка двери</t>
  </si>
  <si>
    <t>Гибка пластины 600R.0000.005</t>
  </si>
  <si>
    <t>Расценки на работы по котлу 300R (серия 2020)</t>
  </si>
  <si>
    <t>Резка. Труба 25х2,5 (кол-во резов ≥ 5)</t>
  </si>
  <si>
    <r>
      <t xml:space="preserve">Вальцы. Обечайка №1 L=1070мм, </t>
    </r>
    <r>
      <rPr>
        <sz val="11"/>
        <color theme="1"/>
        <rFont val="Calibri"/>
        <family val="2"/>
        <charset val="204"/>
      </rPr>
      <t>Ø530*8</t>
    </r>
  </si>
  <si>
    <t>Полуавтомат Обечайка №1 L=1070мм</t>
  </si>
  <si>
    <t>Колонна флюс Обечайка №1 L=1070мм</t>
  </si>
  <si>
    <t>Полуавтомат. Обечайка №1 L=1070мм</t>
  </si>
  <si>
    <t>Разделка шва. Обечайка №1 L=1070мм</t>
  </si>
  <si>
    <t>Колонна газ. Обечайка №1 L=1070мм</t>
  </si>
  <si>
    <t>Гибка трубной доски 300R.1500.003</t>
  </si>
  <si>
    <t>Вальцы. Обечайка №1 L=1290мм</t>
  </si>
  <si>
    <t>Полуавтомат. Обечайка №1 L=1290мм</t>
  </si>
  <si>
    <t>Колонна флюс. Обечайка №1 L=1290мм</t>
  </si>
  <si>
    <t>Разделка шва. Обечайка №1 L=1290мм</t>
  </si>
  <si>
    <t>Колонна газ. Обечайка №1 L=1290мм</t>
  </si>
  <si>
    <t>Гибка глушки корпуса 300R.1400.002</t>
  </si>
  <si>
    <t>Гибочный станок. Обечайка №2 L=108мм</t>
  </si>
  <si>
    <t>Гибка листа двери 300R.2000.001</t>
  </si>
  <si>
    <t>Гибка глушки дымогарника 300R.3000.003</t>
  </si>
  <si>
    <t>Гибка панели 300R.0000.002</t>
  </si>
  <si>
    <t>Расценки на работы по котлу 700R (серия 2020)</t>
  </si>
  <si>
    <t>Резка. Труба 108х4 (кол-во резов ≥ 5)</t>
  </si>
  <si>
    <t>Полуавтомат. Заготовка №1 L=1800мм</t>
  </si>
  <si>
    <t>Сварочный трактор. Заготовка №1 L=1800мм</t>
  </si>
  <si>
    <r>
      <t xml:space="preserve">Вальцы. Обечайка №1 L=1800мм, </t>
    </r>
    <r>
      <rPr>
        <sz val="11"/>
        <color theme="1"/>
        <rFont val="Calibri"/>
        <family val="2"/>
        <charset val="204"/>
      </rPr>
      <t>Ø630*10</t>
    </r>
  </si>
  <si>
    <t>Полуавтомат Обечайка №1 L=1800мм</t>
  </si>
  <si>
    <t>Колонна флюс Обечайка №1 L=1800мм</t>
  </si>
  <si>
    <t>Полуавтомат. Обечайка №1 L=1800мм</t>
  </si>
  <si>
    <t>Разделка шва. Обечайка №1 L=1800мм</t>
  </si>
  <si>
    <t>Колонна газ. Обечайка №1 L=1800мм</t>
  </si>
  <si>
    <t>Гибка трубной доски 600R.1500.001</t>
  </si>
  <si>
    <t>Вальцы. Обечайка  L=1480мм</t>
  </si>
  <si>
    <t>Вальцы. Обечайка  L=575мм</t>
  </si>
  <si>
    <t>Полуавтомат. Обечайка №2 L=575мм</t>
  </si>
  <si>
    <t>Колонна флюс. Обечайка №2 L=575мм</t>
  </si>
  <si>
    <t>Разделка шва. Обечайка №2 L=575мм</t>
  </si>
  <si>
    <t>Колонна газ. Обечайка №2 L=575мм</t>
  </si>
  <si>
    <t>Гибка глушки корпуса 700R.1400.001</t>
  </si>
  <si>
    <t>Гибка швеллеров 700R.1400.003 и 700R.1400.003-01</t>
  </si>
  <si>
    <t>Гибка экрана двери 700R.2000.001</t>
  </si>
  <si>
    <t>Вальцы. Обечайка №1 L=58мм, Ø350*4</t>
  </si>
  <si>
    <t>Участок сборки, Ду100</t>
  </si>
  <si>
    <t>Участок сборки, Ду32</t>
  </si>
  <si>
    <t>Гибка пластины 700R.0000.005</t>
  </si>
  <si>
    <t>Изменение в операции 30.11 "Сварка продольных швов обечаек корпуса на колонне газ"</t>
  </si>
  <si>
    <t>1,48/0,730</t>
  </si>
  <si>
    <t>3,16/1,66</t>
  </si>
  <si>
    <t>1,48/0,720</t>
  </si>
  <si>
    <t>3,16/1,44</t>
  </si>
  <si>
    <t>3,16/2,042</t>
  </si>
  <si>
    <t>1,48/1,021</t>
  </si>
  <si>
    <t>Расценки на работы по котлу 800R (серия 2020)</t>
  </si>
  <si>
    <t>Полуавтомат. Заготовка №1 L=1554мм</t>
  </si>
  <si>
    <t>Сварочный трактор. Заготовка №1 L=1554мм</t>
  </si>
  <si>
    <r>
      <t xml:space="preserve">Вальцы. Обечайка №1 L=1554мм, </t>
    </r>
    <r>
      <rPr>
        <sz val="11"/>
        <color theme="1"/>
        <rFont val="Calibri"/>
        <family val="2"/>
        <charset val="204"/>
      </rPr>
      <t>Ø720*10</t>
    </r>
  </si>
  <si>
    <t>Полуавтомат Обечайка №1 L=1554мм</t>
  </si>
  <si>
    <t>Колонна флюс Обечайка №1 L=1554мм</t>
  </si>
  <si>
    <t>Иготовление плавного перехода на переходе</t>
  </si>
  <si>
    <t>Участок зачистки (плавный переход)</t>
  </si>
  <si>
    <t>Гибка трубной доски 800R.1500.001</t>
  </si>
  <si>
    <t>Полуавтомат. Заготовка №1 L=1884мм</t>
  </si>
  <si>
    <t>Сварочный трактор. Заготовка №1 L=1884мм</t>
  </si>
  <si>
    <t>Полуавтомат. Заготовка №2 L=1884мм</t>
  </si>
  <si>
    <t>Сварочный трактор. Заготовка №2 L=1884мм</t>
  </si>
  <si>
    <t>Вальцы. Обечайка  L=1884мм</t>
  </si>
  <si>
    <t>Полуавтомат. Обечайка №1 L=1884мм</t>
  </si>
  <si>
    <t>Колонна флюс. Обечайка №1 L=1884мм</t>
  </si>
  <si>
    <t>Гибочный станок. Обечайка №1 L=272мм</t>
  </si>
  <si>
    <t>Гибочный станок. Обечайка №2 L=127мм</t>
  </si>
  <si>
    <t>Гибка листа двери 800R.2000.001</t>
  </si>
  <si>
    <t>Гибка пластины 800R.0000.004</t>
  </si>
  <si>
    <t>Расценки на работы по котлу 450R (серия 2020)</t>
  </si>
  <si>
    <t>Гибка трубной доски 450R.1500.003</t>
  </si>
  <si>
    <t>Вальцы. Обечайка  L=1396мм</t>
  </si>
  <si>
    <t>Полуавтомат. Обечайка №1 L=1396мм</t>
  </si>
  <si>
    <t>Колонна флюс. Обечайка №1 L=1396мм</t>
  </si>
  <si>
    <t>Разделка шва. Обечайка №1 L=1396мм</t>
  </si>
  <si>
    <t>Колонна газ. Обечайка №1 L=1396мм</t>
  </si>
  <si>
    <t>ГОСТ 14771-76 Т1-К3, С2, Т1-К6-100/200</t>
  </si>
  <si>
    <t>Гибка глушки корпуса 450R.1400.001</t>
  </si>
  <si>
    <t>Гибка ребер 450R.1400.002 и 450R.1400.002-01</t>
  </si>
  <si>
    <t>ГОСТ 14771-76-Т1-К8, Т3-К8</t>
  </si>
  <si>
    <t>Гибка листа двери 450R.2000.001</t>
  </si>
  <si>
    <t>Гибка глушки дымогарника 450R.3000.002</t>
  </si>
  <si>
    <t>Гибка пластины 450R.0000.005</t>
  </si>
  <si>
    <t>Подготовил: Инженер-технолог Жуков Е.В.</t>
  </si>
  <si>
    <r>
      <t xml:space="preserve">Вальцы. Обечайка №1 L=375мм, </t>
    </r>
    <r>
      <rPr>
        <sz val="11"/>
        <color theme="1"/>
        <rFont val="Calibri"/>
        <family val="2"/>
        <charset val="204"/>
      </rPr>
      <t>Ø824*12</t>
    </r>
  </si>
  <si>
    <t>Полуавтомат Обечайка №1 L=375мм</t>
  </si>
  <si>
    <t>Колонна флюс Обечайка №1 L=375мм</t>
  </si>
  <si>
    <t>Полуавтомат. Обечайка №1 L=375мм</t>
  </si>
  <si>
    <t>Разделка шва. Обечайка №1 L=375мм</t>
  </si>
  <si>
    <t>Колонна газ. Обечайка №1 L=375мм</t>
  </si>
  <si>
    <t>Удалена операция 20.17 "Сборка-сварка заготовок обечаек топочной камеры перед вальцовкой"</t>
  </si>
  <si>
    <t>Герасимов</t>
  </si>
  <si>
    <t>Расценки на работы по котлу 900R (серия 2020)</t>
  </si>
  <si>
    <t>Полуавтомат. Заготовка №1 L=1685мм</t>
  </si>
  <si>
    <t>Сварочный трактор. Заготовка №1 L=1685мм</t>
  </si>
  <si>
    <r>
      <t xml:space="preserve">Вальцы. Обечайка №1 L=1685мм, </t>
    </r>
    <r>
      <rPr>
        <sz val="11"/>
        <color theme="1"/>
        <rFont val="Calibri"/>
        <family val="2"/>
        <charset val="204"/>
      </rPr>
      <t>Ø720*10</t>
    </r>
  </si>
  <si>
    <t>Полуавтомат Обечайка №1 L=1685мм</t>
  </si>
  <si>
    <t>Колонна флюс Обечайка №1 L=1685мм</t>
  </si>
  <si>
    <t>Полуавтомат. Обечайка №1 L=1685мм</t>
  </si>
  <si>
    <t>Разделка шва. Обечайка №1 L=1685мм</t>
  </si>
  <si>
    <t>Колонна газ. Обечайка №1 L=1685мм</t>
  </si>
  <si>
    <r>
      <t xml:space="preserve">Вальцы. Обечайка №1 L=1685мм, </t>
    </r>
    <r>
      <rPr>
        <sz val="11"/>
        <color theme="1"/>
        <rFont val="Calibri"/>
        <family val="2"/>
        <charset val="204"/>
      </rPr>
      <t>Ø824*12</t>
    </r>
  </si>
  <si>
    <t>Гибка трубной доски 900R.1500.001</t>
  </si>
  <si>
    <t>ГОСТ 14771-76 Т1 К10</t>
  </si>
  <si>
    <t>Вальцы. Обечайка №1 L=1100мм</t>
  </si>
  <si>
    <t>Вальцы. Обечайка №2 L=910мм</t>
  </si>
  <si>
    <t>Полуавтомат. Обечайка №1 L=1100мм</t>
  </si>
  <si>
    <t>Колонна флюс. Обечайка №1 L=1100мм</t>
  </si>
  <si>
    <t>Полуавтомат. Обечайка №2 L=910мм</t>
  </si>
  <si>
    <t>Колонна флюс. Обечайка №2 L=910мм</t>
  </si>
  <si>
    <t>Разделка шва. Обечайка №1 L=1100мм</t>
  </si>
  <si>
    <t>Колонна газ. Обечайка №1 L=1100мм</t>
  </si>
  <si>
    <t>Разделка шва. Обечайка №2 L=910мм</t>
  </si>
  <si>
    <t>Колонна газ. Обечайка №2 L=9100мм</t>
  </si>
  <si>
    <t>ГОСТ 14771-76 Т1-К5, Т6, Т1-К5-100/200</t>
  </si>
  <si>
    <t>Гибка глушки корпуса 900R.1400.004</t>
  </si>
  <si>
    <t>Гибка швеллеров 900R.1400.005; 900R.1400.005-01</t>
  </si>
  <si>
    <t>Гибка листа двери 900R.2000.001</t>
  </si>
  <si>
    <t>Гибка глушки дымогарника 900R.1400.003</t>
  </si>
  <si>
    <t>ГОСТ 14771-76 Н1-К6</t>
  </si>
  <si>
    <t>ГОСТ 14771-76 Т1-К3+облицовка</t>
  </si>
  <si>
    <t>Гибка панели 900R.0000.009</t>
  </si>
  <si>
    <t>Термопровка передней и задней трубной доски</t>
  </si>
  <si>
    <t>Зачистка внутренней и наружней части конвективной трубы (51х3,5мм)</t>
  </si>
  <si>
    <t>Изменено наименовании оперции 60.40
Было "Зачистка конвективной трубы (51х3,5мм)"
Стало "Зачистка внутренней и наружней части конвективной трубы (51х3,5мм)"
Так же был изменен объем работ</t>
  </si>
  <si>
    <t>Добавлена операция 60.147 "Термопровка передней и задней трубной доски"</t>
  </si>
  <si>
    <t>20.115</t>
  </si>
  <si>
    <t>Вальцы. Обечайка Ø460, L=158мм</t>
  </si>
  <si>
    <t>Полуавтомат. Обечайка Ø460, L=158мм</t>
  </si>
  <si>
    <t>20.125</t>
  </si>
  <si>
    <t>20.135</t>
  </si>
  <si>
    <t>20.140</t>
  </si>
  <si>
    <t>20.145</t>
  </si>
  <si>
    <t>ГОСТ 23518-79-Т5</t>
  </si>
  <si>
    <t>60.11</t>
  </si>
  <si>
    <t>Сварка компенсатора с глушкой корпуса</t>
  </si>
  <si>
    <t>узел = компенсатор+глушка корпуса</t>
  </si>
  <si>
    <t>Удалена операция 20.150 "Сборка-сварка пластины с днищем топочной камеры"</t>
  </si>
  <si>
    <t>Удалена операция 30.50 "Гибка ребер 200R.1400.004 и 200R.1400.004-01"</t>
  </si>
  <si>
    <t>Удалена операция 30.70 "Сборка-сварка глушки корпуса с пластиной компенсатора и ребрами"</t>
  </si>
  <si>
    <t>Добавлена операция 20.115 "Вальцовка обечайки компенсатора"</t>
  </si>
  <si>
    <t>Добавлена операция 20.120 "Сварка продольного шва обечайки компенсатора"</t>
  </si>
  <si>
    <t>Добавлена операция 20.125 "Калибровка обечайки компенсатора"</t>
  </si>
  <si>
    <t>Добавлена операция 20.130 "Штамповка днища компенсатора"</t>
  </si>
  <si>
    <t>Добавлена операция 20.135 "Сборка днища компенсатора с обечайкой компенсатора"</t>
  </si>
  <si>
    <t>Добавлена операция 20.140 "Сварка днища компенсатора с обечайкой компенсатора"</t>
  </si>
  <si>
    <t>Добавлена операция 20.145 "Сборка компенсатора с днищем топочной камеры"</t>
  </si>
  <si>
    <t>Добавлена операция 20.150 "Сварка компенсатора с днищем топочной камеры"</t>
  </si>
  <si>
    <t>Добавлена операция 60.11 "Сварка компенсатора с глушкой корпуса"</t>
  </si>
  <si>
    <t>Вальцы. Обечайка Ø460, L=148мм</t>
  </si>
  <si>
    <t>Полуавтомат. Обечайка Ø460, L=148мм</t>
  </si>
  <si>
    <t>Удалена операция 30.50 "Гибка ребер 250R.1400.004 и 250R.1400.004-01"</t>
  </si>
  <si>
    <t>Термоправка передней и задней трубной доски</t>
  </si>
  <si>
    <t>Удалена операция 30.50 "Гибка ребер 300R.1400.004 и 300R.1400.004-01"</t>
  </si>
  <si>
    <t>Вальцы. Обечайка Ø560, L=158мм</t>
  </si>
  <si>
    <t>Полуавтомат. Обечайка Ø560, L=158мм</t>
  </si>
  <si>
    <t>Удалена операция 30.50 "Гибка ребер 400R.1400.003 и 400R.1400.003-01"</t>
  </si>
  <si>
    <t>Вальцы. Обечайка Ø560, L=178мм</t>
  </si>
  <si>
    <t>Полуавтомат. Обечайка Ø560, L=178мм</t>
  </si>
  <si>
    <t>Изменена операция 40.15 "Сварка двери (внутренние швы). Зачистка швов"</t>
  </si>
  <si>
    <t>Изменена операция 40.20 "Сварка двери (внешние швы). Зачистка швов"</t>
  </si>
  <si>
    <t>Удалена операция 30.50 "Гибка ребер 500R.1400.003 и 500R.1400.003-01"</t>
  </si>
  <si>
    <t>Вальцы. Обечайка Ø650, L=202мм</t>
  </si>
  <si>
    <t>Полуавтомат. Обечайка Ø650, L=202мм</t>
  </si>
  <si>
    <t>Удалена операция 30.50 "Гибка ребер 800R.1400.003 и 800R.1400.003-01"</t>
  </si>
  <si>
    <t>Вальцы. Обечайка Ø640, L=196мм</t>
  </si>
  <si>
    <t>Полуавтомат. Обечайка Ø640, L=196мм</t>
  </si>
  <si>
    <t>Удалена операция 30.50 "Гибка швеллеров 1000R.1400.002; 1000R.1400.002-01 и 1000R.1400.002-02"</t>
  </si>
  <si>
    <t>Оборудование</t>
  </si>
  <si>
    <t>№ рабочего цента</t>
  </si>
  <si>
    <t>121/122</t>
  </si>
  <si>
    <t>304/305</t>
  </si>
  <si>
    <t>108/117</t>
  </si>
  <si>
    <t>103/110</t>
  </si>
  <si>
    <t>219/223</t>
  </si>
  <si>
    <t>Жуков</t>
  </si>
  <si>
    <t>Удалена операция 30.30 "Сборка-сварка розлива"</t>
  </si>
  <si>
    <t>Изменено наименовании оперции 30.28 Было"Вальцовка пластины розлива" Стало "Гибка пластин розлива" Так же был изменен объем работ и кол-во деталей</t>
  </si>
  <si>
    <t>64 и 1</t>
  </si>
  <si>
    <t>60 и 3</t>
  </si>
  <si>
    <t>Расценки на работы по котлу 1600R (серия 2020)</t>
  </si>
  <si>
    <r>
      <t xml:space="preserve">Вальцы. Обечайка №1 L=880мм, </t>
    </r>
    <r>
      <rPr>
        <sz val="11"/>
        <color theme="1"/>
        <rFont val="Calibri"/>
        <family val="2"/>
        <charset val="204"/>
      </rPr>
      <t>Ø824*12</t>
    </r>
  </si>
  <si>
    <t>Полуавтомат Обечайка №1 L=880мм</t>
  </si>
  <si>
    <t>Колонна флюс Обечайка №1 L=880мм</t>
  </si>
  <si>
    <t>Полуавтомат. Обечайка №1 L=880мм</t>
  </si>
  <si>
    <t>Разделка шва. Обечайка №1 L=880мм</t>
  </si>
  <si>
    <t>Колонна газ. Обечайка №1 L=880мм</t>
  </si>
  <si>
    <t>Гибка трубной доски 1600R.1500.004</t>
  </si>
  <si>
    <t>Вальцовка стакана 1600R.1500.005</t>
  </si>
  <si>
    <t>Сварка продольного шва стакана 1600R.1500.005</t>
  </si>
  <si>
    <t>Калибровка стакана 1600R.1500.005</t>
  </si>
  <si>
    <t>Штамповка диска 1600R.1500.006</t>
  </si>
  <si>
    <t>Сборка диска 1600R.1500.006 со стаканом 1600R.1500.005</t>
  </si>
  <si>
    <t>117/118</t>
  </si>
  <si>
    <t>Сварка диска 1600R.1500.006 со стаканом 1600R.1500.005</t>
  </si>
  <si>
    <t>Сборка стакана 1600R.1500.005 с днищем топочной камеры</t>
  </si>
  <si>
    <t>Сварка стакана 1600R.1500.005 с днищем топочной камеры</t>
  </si>
  <si>
    <t>Вальцы. Обечайка №2 L=1240мм</t>
  </si>
  <si>
    <t>Полуавтомат. Обечайка №2 L=1240мм</t>
  </si>
  <si>
    <t>Колонна флюс. Обечайка №2 L=1240мм</t>
  </si>
  <si>
    <t>Разделка шва. Обечайка №2 L=1240мм</t>
  </si>
  <si>
    <t>Колонна газ. Обечайка №2 L=1240мм</t>
  </si>
  <si>
    <t>30.29</t>
  </si>
  <si>
    <t>Гибка глушки корпуса 1600R.1300.001</t>
  </si>
  <si>
    <t>Гибка листа двери 1600R.2000.001</t>
  </si>
  <si>
    <t>Гибка глушки дымогарника 1600R.3000.001</t>
  </si>
  <si>
    <t>Гибка панели 1600R.0000.005</t>
  </si>
  <si>
    <t>Сварка продольного шва стакана 1000R.1602.001</t>
  </si>
  <si>
    <t>Вальцовка стакана 1000R.1602.001</t>
  </si>
  <si>
    <t>Калибровка стакана 1000R.1602.001</t>
  </si>
  <si>
    <t>Сборка стакана 1000R.1602.001 с днищем топочной камеры</t>
  </si>
  <si>
    <t>Сварка стакана 1000R.1602.001 с днищем топочной камеры</t>
  </si>
  <si>
    <t>Изменено наименование операции 20.115 "Вальцовка обечайки компенсатора" на  "Вальцовка стакана 1000R.1602.001"</t>
  </si>
  <si>
    <t>Изменено наименование операции 20.120 "Сварка продольного шва обечайки компенсатора" на  "Сварка продольного шва стакана 1000R.1602.001"</t>
  </si>
  <si>
    <t>Изменено наименование операции 20.125 "Калибровка обечайки компенсатора" на  "Калибровка стакана 1000R.1602.001"</t>
  </si>
  <si>
    <t>Изменено наименование операции 20.145 "Сборка компенсатора с днищем топочной камеры" на  "Сборка стакана 1000R.1602.001 с днищем топочной камеры"</t>
  </si>
  <si>
    <t>Изменено наименование операции 20.150 "Сварка компенсатора с днищем топочной камеры" на  "Сварка стакана 1000R.1602.001 с днищем топочной камеры"</t>
  </si>
  <si>
    <t>Вальцовка стакана 500R.1500.004</t>
  </si>
  <si>
    <t>Сварка продольного шва стакана 500R.1500.004</t>
  </si>
  <si>
    <t>Калибровка стакана 500R.1500.004</t>
  </si>
  <si>
    <t>Сборка стакана 500R.1500.004 с днищем топочной камеры</t>
  </si>
  <si>
    <t>Сварка стакана 500R.1500.004 с днищем топочной камеры</t>
  </si>
  <si>
    <t>Изменено наименование операции 20.115 "Вальцовка обечайки компенсатора" на  "Вальцовка стакана 500R.1500.004"</t>
  </si>
  <si>
    <t>Изменено наименование операции 20.120 "Сварка продольного шва обечайки компенсатора" на  "Сварка продольного шва стакана 500R.1500.004"</t>
  </si>
  <si>
    <t>Изменено наименование операции 20.125 "Калибровка обечайки компенсатора" на  "Калибровка стакана 500R.1500.004"</t>
  </si>
  <si>
    <t>Изменено наименование операции 20.145 "Сборка компенсатора с днищем топочной камеры" на  "Сборка стакана 500R.1500.004 с днищем топочной камеры"</t>
  </si>
  <si>
    <t>Изменено наименование операции 20.150 "Сварка компенсатора с днищем топочной камеры" на  "Сварка стакана 500R.1500.004 с днищем топочной камеры"</t>
  </si>
  <si>
    <t>Изменено наименование операции 20.130 "Штамповка днища компенсатора" на  "Штамповка днища 1000R.1602.002"</t>
  </si>
  <si>
    <t>Изменено наименование операции 20.135 "Сборка днища компенсатора с обечайкой компенсатора" на  "Сборка днища 1000R.1602.002 со стаканом 1000R.1602.001"</t>
  </si>
  <si>
    <t>Изменено наименование операции 20.140 "Сварка днища компенсатора с обечайкой компенсатора" на  "Сварка днища 1000R.1602.002 со стаканом 1000R.1602.001"</t>
  </si>
  <si>
    <t>Вальцовка стакана 300R.1602.001</t>
  </si>
  <si>
    <t>Сварка продольного шва стакана 300R.1602.001</t>
  </si>
  <si>
    <t>Калибровка стакана 300R.1602.001</t>
  </si>
  <si>
    <t>Сборка стакана 300R.1602.001 с днищем топочной камеры</t>
  </si>
  <si>
    <t>Сварка стакана 300R.1602.001 с днищем топочной камеры</t>
  </si>
  <si>
    <t>Изменено наименование операции 20.115 "Вальцовка обечайки компенсатора" на  "Вальцовка стакана 300R.1602.001"</t>
  </si>
  <si>
    <t>Изменено наименование операции 20.120 "Сварка продольного шва обечайки компенсатора" на  "Сварка продольного шва стакана 300R.1602.001"</t>
  </si>
  <si>
    <t>Изменено наименование операции 20.125 "Калибровка обечайки компенсатора" на  "Калибровка стакана 300R.1602.001"</t>
  </si>
  <si>
    <t>Изменено наименование операции 20.145 "Сборка компенсатора с днищем топочной камеры" на  "Сборка стакана 300R.1602.001 с днищем топочной камеры"</t>
  </si>
  <si>
    <t>Изменено наименование операции 20.150 "Сварка компенсатора с днищем топочной камеры" на  "Сварка стакана 300R.1602.001 с днищем топочной камеры"</t>
  </si>
  <si>
    <t>Изменено наименование операции 30.45 "Гибка глушки корпуса 200R.1400.001" на  "Гибка глушки корпуса 200R.1300.003"</t>
  </si>
  <si>
    <t>Гибка глушки корпуса 200R.1300.003</t>
  </si>
  <si>
    <t>Изменено наименование операции 30.45 "Гибка глушки корпуса 250R.1400.002" на  "Гибка глушки корпуса 250R.1300.003"</t>
  </si>
  <si>
    <t>Гибка глушки корпуса 250R.1300.003</t>
  </si>
  <si>
    <t>Изменено наименование операции 30.45 "Гибка глушки корпуса 500R.1400.002" на  "Гибка глушки корпуса 500R.1300.003"</t>
  </si>
  <si>
    <t>Гибка глушки корпуса 500R.1300.003</t>
  </si>
  <si>
    <t>Гибка глушки корпуса 800R.1300.003</t>
  </si>
  <si>
    <t>Изменено наименование операции 30.45 "Гибка глушки корпуса 800R.1400.001" на  "Гибка глушки корпуса 800R.1300.003"</t>
  </si>
  <si>
    <t>Гибка глушки корпуса 100R.1300.003</t>
  </si>
  <si>
    <t>Изменено наименование операции 30.45 "Гибка глушки корпуса 600R.1400.001" на  "Гибка глушки корпуса 600R.1300.004"</t>
  </si>
  <si>
    <t>Удалена операция 30.50 "Гибка ребер 100R.1400.004 и 100R.1400.004-01"</t>
  </si>
  <si>
    <t>Удалена операция 30.50 "Гибка ребер 600R.1400.004 и 600R.1400.004-01"</t>
  </si>
  <si>
    <t>Гибка глушки корпуса 600R.1300.004</t>
  </si>
  <si>
    <t>Вальцы. Обечайка Ø560, L=151мм</t>
  </si>
  <si>
    <t>Полуавтомат. Обечайка Ø560, L=151мм</t>
  </si>
  <si>
    <t>Гибка глушки дымогарника 500R.3000.002</t>
  </si>
  <si>
    <t>Гибка глушки дымогарника 400R.3000.002</t>
  </si>
  <si>
    <t>Изменено наименование операции 45.10 "Гибка глушки корпуса 400R.1400.001" на  "Гибка глушки дымогарника 400R.3000.002"</t>
  </si>
  <si>
    <t>Изменено наименование операции 45.10 "Гибка глушки корпуса 500R.1400.001" на  "Гибка глушки дымогарника 500R.3000.002"</t>
  </si>
  <si>
    <t>Гибка глушки дымограника 600R.3000.002</t>
  </si>
  <si>
    <t>Изменено наименование операции 45.10 "Гибка глушки корпуса 600R.1400.001" на  "Гибка глушки дымогарника 600R.3000.002"</t>
  </si>
  <si>
    <t>Изменено наименование операции 30.45 "Гибка глушки корпуса 100R.1400.001" на  "Гибка глушки корпуса 100R.1300.003"</t>
  </si>
  <si>
    <t>Гибка глушки дымогарник 800R.3000.002</t>
  </si>
  <si>
    <t>Изменено наименование операции 45.10 "Гибка глушки корпуса 800R.1400.001" на  "Гибка глушки дымогарника 800R.3000.002"</t>
  </si>
  <si>
    <t>Гибка глушки корпуса 1250R.1400.001</t>
  </si>
  <si>
    <t>Гибка швеллеров 1250R.1400.002; 1250R.1400.002-01 и 1250R.1400.002-02</t>
  </si>
  <si>
    <t>Гибка ребер 1500R.1400.003 и 1500R.1400.003-01</t>
  </si>
  <si>
    <t>Полуавтомат. Cтык №2</t>
  </si>
  <si>
    <t>Колонна флюс. Cтык №2</t>
  </si>
  <si>
    <t>Разделка шва. Cтык №2</t>
  </si>
  <si>
    <t>Колонна газ. Cтык №2</t>
  </si>
  <si>
    <t>В операции 20.50 "Сварка днища с обечайкой топочной камеры на колонне флюс" наименования рабочих центров дополнились указанием "Стык №2"</t>
  </si>
  <si>
    <t>В операции 20.51 "Сварка днища с обечайкой топочной камеры на колонне газ" наименования рабочих центров дополнились указанием "Стык №2"</t>
  </si>
  <si>
    <t>Вальцы. Обечайка Ø640, L=207мм</t>
  </si>
  <si>
    <t>Полуавтомат. Обечайка Ø640, L=207мм</t>
  </si>
  <si>
    <t>Вальцы. Обечайка Ø640, L=208мм</t>
  </si>
  <si>
    <t>Полуавтомат. Обечайка Ø640, L=208мм</t>
  </si>
  <si>
    <t>Удалена операция 20.150 "Сборка-сварка компенсатора с днищем топочной камеры"</t>
  </si>
  <si>
    <t>Вальцовка стакана 1500R.1500.005</t>
  </si>
  <si>
    <t>Сварка продольного шва стакана 1500R.1500.005</t>
  </si>
  <si>
    <t>Калибровка стакана 1500R.1500.005</t>
  </si>
  <si>
    <t>Штамповка диска 1500R.1500.006</t>
  </si>
  <si>
    <t>Сборка диска 1500R.1500.006 со стаканом 1600R.1500.005</t>
  </si>
  <si>
    <t>Сварка диска 1500R.1500.006 со стаканом 1600R.1500.005</t>
  </si>
  <si>
    <t>Сборка стакана 1500R.1500.005 с днищем топочной камеры</t>
  </si>
  <si>
    <t>Сварка стакана 1500R.1500.005 с днищем топочной камеры</t>
  </si>
  <si>
    <t>Добавлена операция 20.150 "Сварка стакана 1500R.1500.005 с днищем топочной камеры"</t>
  </si>
  <si>
    <t>Добавлена операция 20.145 "Сборка стакана 1500R.1500.005 с днищем топочной камеры"</t>
  </si>
  <si>
    <t>Добавлена операция 20.135 "Сборка диска 1500R.1500.006 со стаканом 1500R.1500.005"</t>
  </si>
  <si>
    <t>Добавлена операция 20.140 "Сварка диска 1500R.1500.006 со стаканом 1500R.1500.005"</t>
  </si>
  <si>
    <t>Добавлена операция 20.130 "Штамповка диска 1500R.1500.006"</t>
  </si>
  <si>
    <t>Добавлена операция 20.125 "Калибровка стакана 1500R.1500.005"</t>
  </si>
  <si>
    <t>Добавлена операция 20.120 "Сварка продольного шва стакана 1500R.1500.005"</t>
  </si>
  <si>
    <t>Добавлена операция 20.115 "Вальцовка стакана 1500R.1500.005"</t>
  </si>
  <si>
    <t>Штамповка диска 1250R.1500.006</t>
  </si>
  <si>
    <t>Вальцы. Обечайка Ø650, L=195мм</t>
  </si>
  <si>
    <t>Полуавтомат. Обечайка Ø650, L=195мм</t>
  </si>
  <si>
    <t>Добавлена операция 20.130 "Штамповка диска 1250R.1500.006"</t>
  </si>
  <si>
    <t>Вальцовка стакана 800R.1500.005</t>
  </si>
  <si>
    <t>Сварка продольного шва стакана 800R.1500.005</t>
  </si>
  <si>
    <t>Калибровка стакана 800R.1500.005</t>
  </si>
  <si>
    <t>Сборка стакана 800R.1500.005 с днищем топочной камеры</t>
  </si>
  <si>
    <t>Сварка стакана 800R.1500.005 с днищем топочной камеры</t>
  </si>
  <si>
    <t>Изменено наименование операции 20.150 "Сварка компенсатора с днищем топочной камеры" на  "Сварка стакана 800R.1500.005 с днищем топочной камеры"</t>
  </si>
  <si>
    <t>Изменено наименование операции 20.145 "Сборка компенсатора с днищем топочной камеры" на  "Сборка стакана 800R.1500.005 с днищем топочной камеры"</t>
  </si>
  <si>
    <t>Изменено наименование операции 20.125 "Калибровка обечайки компенсатора" на  "Калибровка стакана 800R.1500.005"</t>
  </si>
  <si>
    <t>Изменено наименование операции 20.120 "Сварка продольного шва обечайки компенсатора" на  "Сварка продольного шва стакана 800R.1500.005"</t>
  </si>
  <si>
    <t>Изменено наименование операции 20.115 "Вальцовка обечайки компенсатора" на  "Вальцовка стакана 800R.1500.005"</t>
  </si>
  <si>
    <t>Штамповка диска 1000R.1602.002</t>
  </si>
  <si>
    <t>Сборка диска 1000R.1602.002 со стаканом 1000R.1602.001</t>
  </si>
  <si>
    <t>Сварка диска 1000R.1602.002 со стаканом 1000R.1602.001</t>
  </si>
  <si>
    <t>Штамповка диска 800R.1500.006</t>
  </si>
  <si>
    <t>Сборка диска 800R.1500.006 со стаканом 800R.1500.005</t>
  </si>
  <si>
    <t>Изменено наименование операции 20.140 "Сварка днища компенсатора с обечайкой компенсатора" на  "Сварка диска 800R.1500.006 со стаканом 800R.1500.005"</t>
  </si>
  <si>
    <t>Изменено наименование операции 20.135 "Сборка днища компенсатора с обечайкой компенсатора" на  "Сборка диска 800R.1500.006 со стаканом 800R.1500.005"</t>
  </si>
  <si>
    <t>Изменено наименование операции 20.130 "Штамповка днища компенсатора" на  "Штамповка диска 800R.1500.006"</t>
  </si>
  <si>
    <t>Штамповка диска 500R.1500.005</t>
  </si>
  <si>
    <t>Сборка диска 500R.1500.005 со стаканом 500R.1500.004</t>
  </si>
  <si>
    <t>Сварка диска 500R.1500.005 со стаканом 500R.1500.004</t>
  </si>
  <si>
    <t>Изменено наименование операции 20.140 "Сварка днища компенсатора с обечайкой компенсатора" на  "Сварка диска 500R.1500.005 со стаканом 500R.1500.004"</t>
  </si>
  <si>
    <t>Изменено наименование операции 20.135 "Сборка днища компенсатора с обечайкой компенсатора" на  "Сборка диска 500R.1500.005 со стаканом 500R.1500.004"</t>
  </si>
  <si>
    <t>Изменено наименование операции 20.130 "Штамповка днища компенсатора" на  "Штамповка диска 500R.1500.005"</t>
  </si>
  <si>
    <t>Вальцовка стакана 400R.1500.004</t>
  </si>
  <si>
    <t>Сварка продольного шва стакана 400R.1500.004</t>
  </si>
  <si>
    <t>Калибровка стакана 400R.1500.004</t>
  </si>
  <si>
    <t>Штамповка диска 400R.1500.005</t>
  </si>
  <si>
    <t>Сборка диска 400R.1500.005 со стакана 400R.1500.004</t>
  </si>
  <si>
    <t>Сварка диска 400R.1500.005 с обечайкой компенсатора</t>
  </si>
  <si>
    <t>Сборка стакана 400R.1500.004 с днищем топочной камеры</t>
  </si>
  <si>
    <t>Сварка стакана 400R.1500.004 с днищем топочной камеры</t>
  </si>
  <si>
    <t>Изменено наименование операции 20.150 "Сварка компенсатора с днищем топочной камеры" на  "Сварка стакана 400R.1500.004 с днищем топочной камеры"</t>
  </si>
  <si>
    <t>Изменено наименование операции 20.145 "Сборка компенсатора с днищем топочной камеры" на  "Сборка стакана 400R.1500.004 с днищем топочной камеры"</t>
  </si>
  <si>
    <t>Изменено наименование операции 20.140 "Сварка днища компенсатора с обечайкой компенсатора" на  "Сварка диска 400R.1500.005 со стаканом 400R.1500.004"</t>
  </si>
  <si>
    <t>Изменено наименование операции 20.135 "Сборка днища компенсатора с обечайкой компенсатора" на  "Сборка диска 400R.1500.005 со стаканом 400R.1500.004"</t>
  </si>
  <si>
    <t>Изменено наименование операции 20.130 "Штамповка днища компенсатора" на  "Штамповка диска 400R.1500.005"</t>
  </si>
  <si>
    <t>Изменено наименование операции 20.125 "Калибровка обечайки компенсатора" на  "Калибровка стакана 400R.1500.004"</t>
  </si>
  <si>
    <t>Изменено наименование операции 20.120 "Сварка продольного шва обечайки компенсатора" на  "Сварка продольного шва стакана 400R.1500.004"</t>
  </si>
  <si>
    <t>Изменено наименование операции 20.115 "Вальцовка обечайки компенсатора" на  "Вальцовка стакана 400R.1500.004"</t>
  </si>
  <si>
    <t>Штамповка диска 300R.1602.002</t>
  </si>
  <si>
    <t>Сборка диска 300R.1602.002 со стаканом 300R.1602.001</t>
  </si>
  <si>
    <t>Сварка диска 300R.1602.002 со стаканом 300R.1602.001</t>
  </si>
  <si>
    <t>Изменено наименование операции 20.130 "Штамповка днища компенсатора" на  "Штамповка диска 300R.1602.002"</t>
  </si>
  <si>
    <t>Изменено наименование операции 20.135 "Сборка днища компенсатора с обечайкой компенсатора" на  "Сборка диска 300R.1602.002 со стаканом 300R.1602.001"</t>
  </si>
  <si>
    <t>Изменено наименование операции 20.140 "Сварка днища компенсатора с обечайкой компенсатора" на  "Сварка диска 300R.1602.002 со стаканом 300R.1602.001"</t>
  </si>
  <si>
    <t>Вальцовка стакана 250R.1500.004</t>
  </si>
  <si>
    <t>Сварка продольного шва стакана 250R.1500.004</t>
  </si>
  <si>
    <t>Калибровка стакана 250R.1500.004</t>
  </si>
  <si>
    <t>Штамповка диска 250R.1500.005</t>
  </si>
  <si>
    <t>Сборка диска 250R.1500.005 со стаканом 250R.1500.004</t>
  </si>
  <si>
    <t>Сварка диска 250R.1500.005 со стаканом 250R.1500.004</t>
  </si>
  <si>
    <t>Сборка стакана 250R.1500.004 с днищем топочной камеры</t>
  </si>
  <si>
    <t>Сварка стакана 250R.1500.004 с днищем топочной камеры</t>
  </si>
  <si>
    <t>Изменено наименование операции 20.150 "Сварка компенсатора с днищем топочной камеры" на  "Сварка стакана 250R.1500.004 с днищем топочной камеры"</t>
  </si>
  <si>
    <t>Изменено наименование операции 20.145 "Сборка компенсатора с днищем топочной камеры" на  "Сборка стакана 250R.1500.004 с днищем топочной камеры"</t>
  </si>
  <si>
    <t>Изменено наименование операции 20.140 "Сварка днища компенсатора с обечайкой компенсатора" на  "Сварка диска 300R.1602.002 со стаканом 250R.1500.004"</t>
  </si>
  <si>
    <t>Изменено наименование операции 20.135 "Сборка днища компенсатора с обечайкой компенсатора" на  "Сборка диска 250R.1500.005 со стаканом 250R.1500.004"</t>
  </si>
  <si>
    <t>Изменено наименование операции 20.130 "Штамповка днища компенсатора" на  "Штамповка диска 250R.1500.005"</t>
  </si>
  <si>
    <t>Изменено наименование операции 20.125 "Калибровка обечайки компенсатора" на  "Калибровка стакана 250R.1500.004"</t>
  </si>
  <si>
    <t>Изменено наименование операции 20.120 "Сварка продольного шва обечайки компенсатора" на  "Сварка продольного шва стакана 250R.1500.004"</t>
  </si>
  <si>
    <t>Изменено наименование операции 20.115 "Вальцовка обечайки компенсатора" на  "Вальцовка стакана 250R.1500.004"</t>
  </si>
  <si>
    <t>Вальцовка стакана 200R.1500.004</t>
  </si>
  <si>
    <t>Сварка продольного шва стакана 200R.1500.004</t>
  </si>
  <si>
    <t>Калибровка стакана 200R.1500.004</t>
  </si>
  <si>
    <t>Штамповка диска 200R.1500.005</t>
  </si>
  <si>
    <t>Сборка диска 200R.1500.005 со стаканом 200R.1500.004</t>
  </si>
  <si>
    <t>Сварка диска 200R.1500.005 со стакана 200R.1500.004</t>
  </si>
  <si>
    <t>Сборка стакана 200R.1500.004 с днищем топочной камеры</t>
  </si>
  <si>
    <t>Сварка стакана 200R.1500.004 с днищем топочной камеры</t>
  </si>
  <si>
    <t>Изменено наименование операции 20.150 "Сварка компенсатора с днищем топочной камеры" на  "Сварка стакана 200R.1500.004 с днищем топочной камеры"</t>
  </si>
  <si>
    <t>Изменено наименование операции 20.145 "Сборка компенсатора с днищем топочной камеры" на  "Сборка стакана 200R.1500.004 с днищем топочной камеры"</t>
  </si>
  <si>
    <t>Изменено наименование операции 20.140 "Сварка днища компенсатора с обечайкой компенсатора" на  "Сварка диска 200R.1500.005 со стаканом 200R.1500.004"</t>
  </si>
  <si>
    <t>Изменено наименование операции 20.135 "Сборка днища компенсатора с обечайкой компенсатора" на  "Сборка диска 200R.1500.005 со стаканом 200R.1500.004"</t>
  </si>
  <si>
    <t>Изменено наименование операции 20.130 "Штамповка днища компенсатора" на  "Штамповка диска 200R.1500.005"</t>
  </si>
  <si>
    <t>Изменено наименование операции 20.125 "Калибровка обечайки компенсатора" на  "Калибровка стакана 200R.1500.004"</t>
  </si>
  <si>
    <t>Изменено наименование операции 20.120 "Сварка продольного шва обечайки компенсатора" на  "Сварка продольного шва стакана 200R.1500.004"</t>
  </si>
  <si>
    <t>Изменено наименование операции 20.115 "Вальцовка обечайки компенсатора" на  "Вальцовка стакана 200R.1500.004"</t>
  </si>
  <si>
    <t>Вальцы. Обечайка Ø475, L=154мм</t>
  </si>
  <si>
    <t>Полуавтомат. Обечайка Ø475, L=154мм</t>
  </si>
  <si>
    <t>Вальцовка стакана 150R.1500.004</t>
  </si>
  <si>
    <t>Сварка продольного шва стакана 150R.1500.004</t>
  </si>
  <si>
    <t>Калибровка стакана 150R.1500.004</t>
  </si>
  <si>
    <t>Сборка диска 150R.1500.005 со стаканом 150R.1500.004</t>
  </si>
  <si>
    <t>Сварка диска 150R.1500.005 со стакана 150R.1500.004</t>
  </si>
  <si>
    <t>Сборка стакана 150R.1500.004 с днищем топочной камеры</t>
  </si>
  <si>
    <t>Сварка стакана 150R.1500.004 с днищем топочной камеры</t>
  </si>
  <si>
    <t>Штамповка диска 150R.1500.005</t>
  </si>
  <si>
    <t>Штамповка диска 100R.1500.005</t>
  </si>
  <si>
    <t>Сборка диска 100R.1500.005 со стаканом 100R.1500.004</t>
  </si>
  <si>
    <t>Сварка диска 100R.1500.005 со стаканом 100R.1500.004</t>
  </si>
  <si>
    <t>Сборка стакана 100R.1500.004 с днищем топочной камеры</t>
  </si>
  <si>
    <t>Сварка стакана 100R.1500.004 с днищем топочной камеры</t>
  </si>
  <si>
    <t>Добавлена операция 20.150 "Сварка стакана 100R.1500.004 с днищем топочной камеры"</t>
  </si>
  <si>
    <t>Добавлена операция 20.145 "Сборка стакана 100R.1500.004 с днищем топочной камеры"</t>
  </si>
  <si>
    <t>Добавлена операция 20.140 "Сварка диска 100R.1500.005 со стаканом 100R.1500.004"</t>
  </si>
  <si>
    <t>Добавлена операция 20.135 "Сборка диска 100R.1500.005 со стаканом 100R.1500.004"</t>
  </si>
  <si>
    <t>Добавлена операция 20.130 "Штамповка диска 100R.1500.005"</t>
  </si>
  <si>
    <t>Добавлена операция 20.115 "Вальцовка стакана 150R.1500.004"</t>
  </si>
  <si>
    <t>Добавлена операция 20.120 "Сварка продольного шва стакана 150R.1500.004"</t>
  </si>
  <si>
    <t>Добавлена операция 20.125 "Калибровка стакана 150R.1500.004"</t>
  </si>
  <si>
    <t>Добавлена операция 20.130 "Штамповка диска 150R.1500.005"</t>
  </si>
  <si>
    <t>Добавлена операция 20.135 "Сборка диска 150R.1500.005 со стаканом 150R.1500.004"</t>
  </si>
  <si>
    <t>Добавлена операция 20.140 "Сварка диска 150R.1500.005 со стаканом 150R.1500.004"</t>
  </si>
  <si>
    <t>Добавлена операция 20.145 "Сборка стакана 150R.1500.004 с днищем топочной камеры"</t>
  </si>
  <si>
    <t>Добавлена операция 20.150 "Сварка стакана 150R.1500.004 с днищем топочной камеры"</t>
  </si>
  <si>
    <t>Вальцовка стакана 600R.1500.004</t>
  </si>
  <si>
    <t>Сварка продольного шва стакана 600R.1500.004</t>
  </si>
  <si>
    <t>Калибровка стакана 600R.1500.004</t>
  </si>
  <si>
    <t>Штамповка диска 600R.1500.005</t>
  </si>
  <si>
    <t>Сборка диска 600R.1500.005 со стаканом 600R.1500.004</t>
  </si>
  <si>
    <t>Сварка диска 600R.1500.005 со стаканом 600R.1500.004</t>
  </si>
  <si>
    <t>Сборка стакана 600R.1500.004 с днищем топочной камеры</t>
  </si>
  <si>
    <t>Сварка стакана 600R.1500.004 с днищем топочной камеры</t>
  </si>
  <si>
    <t>Изменено наименование операции 20.115 "Вальцовка обечайки компенсатора" на  "Вальцовка стакана 600R.1500.004"</t>
  </si>
  <si>
    <t>Изменено наименование операции 20.120 "Сварка продольного шва обечайки компенсатора" на  "Сварка продольного шва стакана 600R.1500.004"</t>
  </si>
  <si>
    <t>Изменено наименование операции 20.125 "Калибровка обечайки компенсатора" на  "Калибровка стакана 600R.1500.004"</t>
  </si>
  <si>
    <t>Изменено наименование операции 20.130 "Штамповка днища компенсатора" на  "Штамповка диска 600R.1500.005"</t>
  </si>
  <si>
    <t>Изменено наименование операции 20.135 "Сборка днища компенсатора с обечайкой компенсатора" на  "Сборка диска 600R.1500.005 со стаканом 600R.1500.004"</t>
  </si>
  <si>
    <t>Изменено наименование операции 20.140 "Сварка днища компенсатора с обечайкой компенсатора" на  "Сварка диска 600R.1500.005 со стаканом 600R.1500.004"</t>
  </si>
  <si>
    <t>Изменено наименование операции 20.145 "Сборка компенсатора с днищем топочной камеры" на  "Сборка стакана 600R.1500.004 с днищем топочной камеры"</t>
  </si>
  <si>
    <t>Изменено наименование операции 20.150 "Сварка компенсатора с днищем топочной камеры" на  "Сварка стакана 600R.1500.004 с днищем топочной камеры"</t>
  </si>
  <si>
    <t>Вальцовка стакана 1250R.1500.004</t>
  </si>
  <si>
    <t>Сварка продольного шва стакана 1250R.1500.004</t>
  </si>
  <si>
    <t>Калибровка стакана 1250R.1500.004</t>
  </si>
  <si>
    <t>Сборка диска 1250R.1500.006 со стаканом 1250R.1500.004</t>
  </si>
  <si>
    <t>Сварка диска 1250R.1500.006 со стаканом 1250R.1500.004</t>
  </si>
  <si>
    <t>Сборка стакана 1250R.1500.004 с днищем топочной камеры</t>
  </si>
  <si>
    <t>Сварка стакана 1250R.1500.004 с днищем топочной камеры</t>
  </si>
  <si>
    <t>Добавлена операция 20.150 "Сварка стакана 1250R.1500.00 с днищем топочной камеры"</t>
  </si>
  <si>
    <t>Добавлена операция 20.145 "Сборка стакана 1250R.1500.004 с днищем топочной камеры"</t>
  </si>
  <si>
    <t>Добавлена операция 20.140 "Сварка диска 1250R.1500.006 со стаканом 1250R.1500.004"</t>
  </si>
  <si>
    <t>Добавлена операция 20.135 "Сборка диска 1250R.1500.006 со стаканом 1250R.1500.004"</t>
  </si>
  <si>
    <t>Добавлена операция 20.125 "Калибровка стакана 1250R.1500.004"</t>
  </si>
  <si>
    <t>Добавлена операция 20.120 "Сварка продольного шва стакана 1250R.1500.004"</t>
  </si>
  <si>
    <t>Добавлена операция 20.115 "Вальцовка стакана 1250R.1500.004"</t>
  </si>
  <si>
    <t>Описание изменения</t>
  </si>
  <si>
    <t>Удалены операции</t>
  </si>
  <si>
    <t>Вальцовка стакана 350R.1500.004</t>
  </si>
  <si>
    <t>Сварка продольного шва стакана 350R.1500.004</t>
  </si>
  <si>
    <t>Калибровка стакана 350R.1500.004</t>
  </si>
  <si>
    <t>Штамповка диска 350R.1500.005</t>
  </si>
  <si>
    <t>Сборка стакана 350R.1500.004 с днищем топочной камеры</t>
  </si>
  <si>
    <t>Сварка стакана 350R.1500.004 с днищем топочной камеры</t>
  </si>
  <si>
    <t>Вальцы. Обечайка Ø560, L=149мм</t>
  </si>
  <si>
    <t>Полуавтомат. Обечайка Ø560, L=149мм</t>
  </si>
  <si>
    <t>ГОСТ 14771-76-Т5-К8</t>
  </si>
  <si>
    <t>ГОСТ 23518-79-Т1-К8</t>
  </si>
  <si>
    <t>Добавлены операции</t>
  </si>
  <si>
    <t>Изменение операции. Было-стало</t>
  </si>
  <si>
    <t>Сборка диска 350R.1500.005 со стаканом 350R.1500.004</t>
  </si>
  <si>
    <t>Сварка диска 350R.1500.005 со стаканом 350R.1500.004</t>
  </si>
  <si>
    <t>Сборка стакана 450R.1500.004 с днищем топочной камеры</t>
  </si>
  <si>
    <t>Сварка стакана 450R.1500.004 с днищем топочной камеры</t>
  </si>
  <si>
    <t>Сварка диска 450R.1500.005 со стаканом 450R.1500.004</t>
  </si>
  <si>
    <t>Сборка диска 450R.1500.005 со стаканом 450R.1500.004</t>
  </si>
  <si>
    <t>Штамповка диска 450R.1500.005</t>
  </si>
  <si>
    <t>Калибровка стакана 450R.1500.004</t>
  </si>
  <si>
    <t>Сварка продольного шва стакана 450R.1500.004</t>
  </si>
  <si>
    <t>Вальцовка стакана 450R.1500.004</t>
  </si>
  <si>
    <t>Вальцы. Обечайка Ø550, L=177мм</t>
  </si>
  <si>
    <t>Полуавтомат. Обечайка Ø550, L=177мм</t>
  </si>
  <si>
    <t>Вальцовка стакана 700R.1500.004</t>
  </si>
  <si>
    <t>Сварка продольного шва стакана 700R.1500.004</t>
  </si>
  <si>
    <t>Калибровка стакана 700R.1500.004</t>
  </si>
  <si>
    <t>Штамповка диска 700R.1500.005</t>
  </si>
  <si>
    <t>Сборка диска 700R.1500.005 со стаканом 700R.1500.004</t>
  </si>
  <si>
    <t>Сборка стакана 700R.1500.004 с днищем топочной камеры</t>
  </si>
  <si>
    <t>Сварка стакана 700R.1500.004 с днищем топочной камеры</t>
  </si>
  <si>
    <t>Сварка диска 700R.1500.005 со стаканом 700R.1500.004</t>
  </si>
  <si>
    <t>Вальцы. Обечайка Ø556, L=191мм</t>
  </si>
  <si>
    <t>Полуавтомат. Обечайка Ø556, L=191мм</t>
  </si>
  <si>
    <t>Вальцовка стакана 900R.1500.005</t>
  </si>
  <si>
    <t>Сварка продольного шва стакана 900R.1500.005</t>
  </si>
  <si>
    <t>Калибровка стакана 900R.1500.005</t>
  </si>
  <si>
    <t>Штамповка диска 900R.1500.006</t>
  </si>
  <si>
    <t>Сборка диска 900R.1500.006 со стаканом 900R.1500.005</t>
  </si>
  <si>
    <t>Сварка диска 900R.1500.006 со стаканом 900R.1500.005</t>
  </si>
  <si>
    <t>Сборка стакана 900R.1500.005 с днищем топочной камеры</t>
  </si>
  <si>
    <t>Сварка стакана 900R.1500.005 с днищем топочной камеры</t>
  </si>
  <si>
    <t>Вальцы. Обечайка Ø638, L=195мм</t>
  </si>
  <si>
    <t>Полуавтомат. Обечайка Ø638, L=195мм</t>
  </si>
  <si>
    <t>70.165</t>
  </si>
  <si>
    <t>Взвешивание котла</t>
  </si>
  <si>
    <t>70.400</t>
  </si>
  <si>
    <t>Упаковка переходной плиты</t>
  </si>
  <si>
    <t>Полуавтомат. Обечайка №2 L=854мм</t>
  </si>
  <si>
    <t>Сварочный трактор. Обечайка №2 L=854мм</t>
  </si>
  <si>
    <t>Добавление операций</t>
  </si>
  <si>
    <t>Лист регистрации изменений</t>
  </si>
  <si>
    <t>Изменение операций. Было-стало</t>
  </si>
  <si>
    <t>Вальцы. Обечайка №1 L=1356мм</t>
  </si>
  <si>
    <t>Полуавтомат. Обечайка №1 L=1356мм</t>
  </si>
  <si>
    <t>Колонна флюс. Обечайка №1 L=1356мм</t>
  </si>
  <si>
    <t>Вальцы. Обечайка №2 L=854мм</t>
  </si>
  <si>
    <t>Колонна флюс. Обечайка №2 L=854мм</t>
  </si>
  <si>
    <t>Разделка шва. Обечайка №1 L=1356мм</t>
  </si>
  <si>
    <t>Колонна газ. Обечайка №1 L=1356мм</t>
  </si>
  <si>
    <t>Разделка шва. Обечайка №2 L=854мм</t>
  </si>
  <si>
    <t>Колонна газ. Обечайка №2 L=854мм</t>
  </si>
  <si>
    <t>Изменение операций. Было-стало.</t>
  </si>
  <si>
    <t>Сварочный трактор. Обечайка №2 L=910мм</t>
  </si>
  <si>
    <t>Сварочный трактор. Обечайка №2 L=720мм</t>
  </si>
  <si>
    <t>Гераисмов</t>
  </si>
  <si>
    <t>Зачистка усиления сварочного шва на обечайках топочной камеры под ролики вращателя (350мм)</t>
  </si>
  <si>
    <t>20.35</t>
  </si>
  <si>
    <t>70.11</t>
  </si>
  <si>
    <t>70.12</t>
  </si>
  <si>
    <t>Сборка шипа под дымогарник с задней трубной доской. Разметка</t>
  </si>
  <si>
    <t>узел = шип+корпус</t>
  </si>
  <si>
    <t>Сварка шипа под дымогарник с задней трубной доской. Зачистка после сварки</t>
  </si>
  <si>
    <t>60.292</t>
  </si>
  <si>
    <t>60.294</t>
  </si>
  <si>
    <t>Сборка шипа под дверь с передней трубной доской. Разметка</t>
  </si>
  <si>
    <t>Сварка шипа под дверь с передней трубной доской. Зачистка после сварки</t>
  </si>
  <si>
    <t>периметр шипа</t>
  </si>
  <si>
    <t>Сварка считается по длине сварного шва. Норматив полуавтомат 40м/смену. 1 проход</t>
  </si>
  <si>
    <t>периметр шипа,мм</t>
  </si>
  <si>
    <t>1600R</t>
  </si>
  <si>
    <t>450R</t>
  </si>
  <si>
    <t>250R</t>
  </si>
  <si>
    <t>350R</t>
  </si>
  <si>
    <t>150R</t>
  </si>
  <si>
    <t>время выполнения</t>
  </si>
  <si>
    <t>норматив в смену</t>
  </si>
  <si>
    <t>Сакс</t>
  </si>
  <si>
    <t>Удаление операции</t>
  </si>
  <si>
    <r>
      <t xml:space="preserve">Вальцы. Обечайка №1 L=1480мм, </t>
    </r>
    <r>
      <rPr>
        <sz val="11"/>
        <color theme="1"/>
        <rFont val="Calibri"/>
        <family val="2"/>
        <charset val="204"/>
      </rPr>
      <t>Ø630*10</t>
    </r>
  </si>
  <si>
    <t>Полуавтомат Обечайка №1 L=1480мм</t>
  </si>
  <si>
    <t>Колонна флюс Обечайка №1 L=1480мм</t>
  </si>
  <si>
    <t>Полуавтомат Обечайка №2 L=320мм</t>
  </si>
  <si>
    <t>Колонна флюс Обечайка №2 L=320мм</t>
  </si>
  <si>
    <r>
      <t xml:space="preserve">Вальцы. Обечайка №2 L=320мм, </t>
    </r>
    <r>
      <rPr>
        <sz val="11"/>
        <color theme="1"/>
        <rFont val="Calibri"/>
        <family val="2"/>
        <charset val="204"/>
      </rPr>
      <t>Ø630*10</t>
    </r>
  </si>
  <si>
    <t>Сварка продольных швов обечаек топочной камеры на колонне флюс. УЗК сварного шва</t>
  </si>
  <si>
    <t>Сварка обечаек топочной камеры на колонне флюс. УЗК сварного шва. РК перекрестия</t>
  </si>
  <si>
    <t>Сварка технологического отверстия в днище топочной камеры. УЗК сварного шва</t>
  </si>
  <si>
    <t>Сварка днища с обечайкой топочной камеры на колонне флюс. УЗК сварного шва. РК перекрестия</t>
  </si>
  <si>
    <t>Сборка-сварка трубной доски с обечайкой топочной камеры. Разделка шва. УЗК сварного шва</t>
  </si>
  <si>
    <t>70.145</t>
  </si>
  <si>
    <t>Окончательная сдача котла перед окраской</t>
  </si>
  <si>
    <t>Маленьких Н.С.</t>
  </si>
  <si>
    <t>800R.1500.002 _ Днище</t>
  </si>
  <si>
    <t>800R.1500.003_Переход</t>
  </si>
  <si>
    <t>800R.1500.004_Доска трубная</t>
  </si>
  <si>
    <t>800R.1500.005 _ Планка</t>
  </si>
  <si>
    <t>800R.1500.006 _ Днище</t>
  </si>
  <si>
    <t>800R.1300.000  СБ _ Корпус Сб_cdw</t>
  </si>
  <si>
    <t>800R.1600.000  СБ _ Розлив Сб, 800R.1300.002 _ Доска фальштрубная, 800R.1300.000  СБ _ Корпус Сб_cdw</t>
  </si>
  <si>
    <t>800R.1300.003 _ Глушка корпуса</t>
  </si>
  <si>
    <t>800R.1300.003 _ Глушка корпуса, 800R.1300.000  СБ _ Корпус Сб_cdw</t>
  </si>
  <si>
    <t>800R.2000.001 - Лист двери</t>
  </si>
  <si>
    <t>800R.3000.001 - Обечайка дымогарника</t>
  </si>
  <si>
    <t>800R.3000.002 - Глушка дымогарника</t>
  </si>
  <si>
    <t>800R.3000.005 - Вставка</t>
  </si>
  <si>
    <t>800R.1200.001 Трубка</t>
  </si>
  <si>
    <t>800R.1100.016 _ Скоба</t>
  </si>
  <si>
    <t>800R.2100.003 Кронштейн</t>
  </si>
  <si>
    <t>800R.1100.015 _ Скоба</t>
  </si>
  <si>
    <t>800R.0000.002 - Площадка</t>
  </si>
  <si>
    <t>800R.1100.000  СБ _ Корпус Сб_cdw, 800R.1100.000  СБ _ Корпус Сб_spw</t>
  </si>
  <si>
    <t xml:space="preserve">800R.1100.000  СБ _ Корпус Сб_cdw, 800R.1100.000  СБ _ Корпус Сб_spw, 800R.1100.007 _ Патрубок </t>
  </si>
  <si>
    <t>800R.1100.014 _ Балка, 800R.1100.000  СБ _ Корпус Сб_cdw, 800R.1100.000  СБ _ Корпус Сб_spw</t>
  </si>
  <si>
    <t>800R.1100.000  СБ _ Корпус Сб_cdw, 800R.1100.000  СБ _ Корпус Сб_spw, 800R.1100.002 _ Бобышка</t>
  </si>
  <si>
    <t>800R.2000.000  СБ _ Дверь Сб, 800R.3000.000 СБ _ Дымогарник Сб_cdw, 800R.3000.000 СБ _ Дымогарник Сб_spw, 800R.2200.012 _ Бобышка</t>
  </si>
  <si>
    <t>800R.1200.001 Трубка, 800R.1200.000  СБ _ Корпус Сб, 800R.1200.000 СБ _ Корпус Сб</t>
  </si>
  <si>
    <t>800R.1100.010 _ Патрубок, 800R.1100.000  СБ _ Корпус Сб_cdw, 800R.1100.000  СБ _ Корпус Сб_spw</t>
  </si>
  <si>
    <t>800R.3000.000 СБ _ Дымогарник Сб_cdw, 800R.3000.000 СБ _ Дымогарник Сб_spw, 800R.3000.004 _ Уголок дымогарника</t>
  </si>
  <si>
    <t>800R.1000.000  СБ _ Бандаж Сб_cdw, 800R.1000.000  СБ _ Бандаж Сб_spw, 800R.1000.001 Уголок</t>
  </si>
  <si>
    <t>800R.2200.011 _ Трубка, 800R.2100.005 Трубка, 800R.3000.007 _ Трубка, 800R.2000.000  СБ _ Дверь Сб, 800R.2100.000  СБ _ Корпус двери, 800R.2100.000  СБ _ Корпус двери, 800R.3000.000 СБ _ Дымогарник Сб_cdw, 800R.3000.000 СБ _ Дымогарник Сб_spw</t>
  </si>
  <si>
    <t>800R.1100.004 _ Накладка, 800R.1100.011 _ Накладка, 800R.1100.006 _ Накладка, 800R.1100.005 _ Накладка, 800R.1100.012 _ Накладка, 800R.1100.000  СБ _ Корпус Сб_spw</t>
  </si>
  <si>
    <t>800R.1600.001 _ Секция верхняя, 800R.1600.002 _ Секция нижняя, 800R.1600.000  СБ _ Розлив Сб</t>
  </si>
  <si>
    <t>800R.0000.001 - Турбулятор, 800R.0000.000  СБ _ Котел Сб_cdw, 800R.0000.000  СБ _ Котел Сб_spw</t>
  </si>
  <si>
    <t>800R.0000.004 Пластина</t>
  </si>
  <si>
    <t>800R.1100.003 _ Патрубок</t>
  </si>
  <si>
    <t>800R.1100.000  СБ _ Корпус Сб_cdw, 800R.2100.000 СБ _ Корпус двери</t>
  </si>
  <si>
    <t>800R.2100.001 Патрубок, 800R.2100.000 СБ _ Корпус двери, 800R.2000.000  СБ _ Дверь Сб</t>
  </si>
  <si>
    <t>800R.1200.000  СБ _ Корпус Сб, 800R.1200.000 СБ _ Корпус Сб</t>
  </si>
  <si>
    <t>800R.2200.000  СБ _ Корпус двери Сборочный чертеж, 800R.2200.007 _ Пруток, 800R.2200.000 СБ - Корпус двери</t>
  </si>
  <si>
    <t>800R.2000.000  СБ _ Дверь Сб</t>
  </si>
  <si>
    <t>800R.1100.008 _ Деталь, 800R.1100.009 _ Патрубок, 800R.1100.000  СБ _ Корпус Сб_cdw, 800R.1100.000  СБ _ Корпус Сб_spw</t>
  </si>
  <si>
    <t>800R.1500.001_Обечайка камеры топочной</t>
  </si>
  <si>
    <t>800R.1500.000 СБ _ Камера топочная Сб_cdw, 800R.1500.000 СБ _ Камера топочная Сб_spw</t>
  </si>
  <si>
    <t>800R.1300.001 _ Обечайка корпуса</t>
  </si>
  <si>
    <t>800R.2200.001 _ Обечайка двери</t>
  </si>
  <si>
    <t>800R.2200.004 _ Обечайка двери</t>
  </si>
  <si>
    <t>800R.2200.008 _ Обечайка двери</t>
  </si>
  <si>
    <t>800R.2200.000  СБ _ Корпус двери Сборочный чертеж, 800R.2200.000 СБ - Корпус двери</t>
  </si>
  <si>
    <t>800R.3000.004 _ Уголок дымогарника, 800R.3000.000 СБ _ Дымогарник Сб_spw</t>
  </si>
  <si>
    <t>800R.3000.000 СБ _ Дымогарник Сб_cdw, 800R.3000.000 СБ _ Дымогарник Сб_spw</t>
  </si>
  <si>
    <t>800R.1300.000  СБ _ Корпус Сб_cdw, 800R.1300.000  СБ _ Корпус Сб_spw</t>
  </si>
  <si>
    <t>800R.1000.000  СБ _ Бандаж Сб_cdw, 800R.1000.000  СБ _ Бандаж Сб_spw, 800R.1100.014 _ Балка</t>
  </si>
  <si>
    <t>800R.1100.000  СБ _ Корпус Сб_cdw, 800R.1100.000  СБ _ Корпус Сб_spw, 800R.1100.010 _ Патрубок</t>
  </si>
  <si>
    <t>800R.1100.000  СБ _ Корпус Сб_cdw, 800R.1100.000  СБ _ Корпус Сб_spw, 800R.1100.008 _ Деталь, 800R.1100.009 _ Патрубок</t>
  </si>
  <si>
    <t>800R.1100.000  СБ _ Корпус Сб_cdw, 800R.1100.000  СБ _ Корпус Сб_spw, 800R.1100.013 _ Рым, 800R.1100.011 _ Накладка, 800R.1100.012 _ Накладка</t>
  </si>
  <si>
    <t>800R.2100.000 СБ _ Корпус двери, 800R.2000.000  СБ _ Дверь Сб</t>
  </si>
  <si>
    <t>800R.1100.022 _ Шинка, 800R.1100.000  СБ _ Корпус Сб_cdw, 800R.1100.000  СБ _ Корпус Сб_spw</t>
  </si>
  <si>
    <t>800R.1100.003 _ Патрубок, 800R.1100.000  СБ _ Корпус Сб_cdw, 800R.1100.000  СБ _ Корпус Сб_spw</t>
  </si>
  <si>
    <t>800R.1100.023 _ Шинка, 800R.1100.000  СБ _ Корпус Сб_cdw, 800R.1100.000  СБ _ Корпус Сб_spw</t>
  </si>
  <si>
    <t>800R.3000.000 СБ _ Дымогарник Сб_cdw, 800R.0000.000  СБ _ Котел Сб_cdw, 800R.0000.000  СБ _ Котел Сб_spw</t>
  </si>
  <si>
    <t>800R.1000.000  СБ _ Бандаж Сб_cdw, 800R.1000.000  СБ _ Бандаж Сб_spw, 800R.1000.001 Уголок, 800R.1000.002 Ребро, 800R.1000.003 Ребро</t>
  </si>
  <si>
    <t>800R.0000.000  СБ _ Котел Сб_cdw, 800R.0000.000  СБ _ Котел Сб_spw</t>
  </si>
  <si>
    <t>800R.0000.000  СБ _ Котел Сб_cdw, 800R.0000.000  СБ _ Котел Сб_spw, 800R.0000.003 _ Обшивка</t>
  </si>
  <si>
    <t>800R.0000.001 - Турбулятор, 800R.0000.000  СБ _ Котел Сб_spw</t>
  </si>
  <si>
    <t>800R.2000.000  СБ _ Дверь Сб, 800R.0000.000  СБ _ Котел Сб_cdw, 800R.0000.000  СБ _ Котел Сб_spw</t>
  </si>
  <si>
    <t>800R.4000.0000  СБ _ Упаковка Сб_cdw, 800R.4000.0000  СБ _ Упаковка Сб_spw, 800R.4000.001 _ Крышка</t>
  </si>
  <si>
    <t>Станок лентопильный ARG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</si>
</sst>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-* #,##0\ &quot;₽&quot;_-;\-* #,##0\ &quot;₽&quot;_-;_-* &quot;-&quot;\ &quot;₽&quot;_-;_-@_-"/>
    <numFmt numFmtId="44" formatCode="_-* #,##0.00\ &quot;₽&quot;_-;\-* #,##0.00\ &quot;₽&quot;_-;_-* &quot;-&quot;??\ &quot;₽&quot;_-;_-@_-"/>
    <numFmt numFmtId="164" formatCode="0.0"/>
    <numFmt numFmtId="165" formatCode="0.000"/>
    <numFmt numFmtId="166" formatCode="#,##0\ &quot;₽&quot;"/>
    <numFmt numFmtId="167" formatCode="0.0%"/>
  </numFmts>
  <fonts count="2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charset val="204"/>
      <scheme val="minor"/>
    </font>
    <font>
      <sz val="11"/>
      <color theme="3" tint="0.39998000860214233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3" tint="0.39998000860214233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Tahoma"/>
      <family val="2"/>
      <charset val="204"/>
    </font>
    <font>
      <b/>
      <sz val="9"/>
      <name val="Tahoma"/>
      <family val="2"/>
      <charset val="204"/>
    </font>
    <font>
      <sz val="11"/>
      <color rgb="FF0070C0"/>
      <name val="Calibri"/>
      <family val="2"/>
      <scheme val="minor"/>
    </font>
    <font>
      <sz val="11"/>
      <color theme="4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558ED5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0010261535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000132083893"/>
        <bgColor indexed="64"/>
      </patternFill>
    </fill>
    <fill>
      <patternFill patternType="solid">
        <fgColor rgb="FF00B0F0"/>
        <bgColor indexed="64"/>
      </patternFill>
    </fill>
  </fills>
  <borders count="8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</border>
    <border>
      <left style="hair">
        <color auto="1"/>
      </left>
      <right/>
      <top style="hair">
        <color auto="1"/>
      </top>
      <bottom style="hair">
        <color auto="1"/>
      </bottom>
    </border>
    <border>
      <left/>
      <right style="hair">
        <color auto="1"/>
      </right>
      <top style="hair">
        <color auto="1"/>
      </top>
      <bottom style="hair">
        <color auto="1"/>
      </bottom>
    </border>
    <border>
      <left style="hair">
        <color auto="1"/>
      </left>
      <right style="hair">
        <color auto="1"/>
      </right>
      <top style="hair">
        <color auto="1"/>
      </top>
      <bottom/>
    </border>
    <border>
      <left style="hair">
        <color auto="1"/>
      </left>
      <right style="hair">
        <color auto="1"/>
      </right>
      <top/>
      <bottom style="hair">
        <color auto="1"/>
      </bottom>
    </border>
    <border>
      <left/>
      <right/>
      <top/>
      <bottom style="thin">
        <color auto="1"/>
      </bottom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</border>
    <border>
      <left style="medium">
        <color auto="1"/>
      </left>
      <right style="hair">
        <color auto="1"/>
      </right>
      <top style="medium">
        <color auto="1"/>
      </top>
      <bottom/>
    </border>
    <border>
      <left style="medium">
        <color auto="1"/>
      </left>
      <right style="hair">
        <color auto="1"/>
      </right>
      <top/>
      <bottom style="medium">
        <color auto="1"/>
      </bottom>
    </border>
    <border>
      <left style="hair">
        <color auto="1"/>
      </left>
      <right style="hair">
        <color auto="1"/>
      </right>
      <top/>
      <bottom style="medium">
        <color auto="1"/>
      </bottom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</border>
    <border>
      <left style="hair">
        <color auto="1"/>
      </left>
      <right style="medium">
        <color auto="1"/>
      </right>
      <top/>
      <bottom style="hair">
        <color auto="1"/>
      </bottom>
    </border>
    <border>
      <left style="hair">
        <color auto="1"/>
      </left>
      <right/>
      <top style="hair">
        <color auto="1"/>
      </top>
      <bottom/>
    </border>
    <border>
      <left style="hair">
        <color auto="1"/>
      </left>
      <right style="medium">
        <color auto="1"/>
      </right>
      <top style="hair">
        <color auto="1"/>
      </top>
      <bottom/>
    </border>
    <border>
      <left/>
      <right style="medium">
        <color auto="1"/>
      </right>
      <top/>
      <bottom style="hair">
        <color auto="1"/>
      </bottom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hair">
        <color auto="1"/>
      </left>
      <right style="medium">
        <color auto="1"/>
      </right>
      <top/>
      <bottom style="medium">
        <color auto="1"/>
      </bottom>
    </border>
    <border>
      <left style="hair">
        <color auto="1"/>
      </left>
      <right style="hair">
        <color auto="1"/>
      </right>
      <top style="medium">
        <color auto="1"/>
      </top>
      <bottom/>
    </border>
    <border>
      <left style="hair">
        <color auto="1"/>
      </left>
      <right style="hair">
        <color auto="1"/>
      </right>
      <top/>
      <bottom/>
    </border>
    <border>
      <left style="medium">
        <color auto="1"/>
      </left>
      <right style="hair">
        <color auto="1"/>
      </right>
      <top/>
      <bottom/>
    </border>
    <border>
      <left/>
      <right/>
      <top style="medium">
        <color auto="1"/>
      </top>
      <bottom style="medium">
        <color auto="1"/>
      </bottom>
    </border>
    <border>
      <left/>
      <right style="medium">
        <color auto="1"/>
      </right>
      <top style="medium">
        <color auto="1"/>
      </top>
      <bottom style="medium">
        <color auto="1"/>
      </bottom>
    </border>
    <border>
      <left/>
      <right/>
      <top style="hair">
        <color auto="1"/>
      </top>
      <bottom style="hair">
        <color auto="1"/>
      </bottom>
    </border>
    <border>
      <left/>
      <right style="medium">
        <color auto="1"/>
      </right>
      <top/>
      <bottom/>
    </border>
    <border>
      <left/>
      <right style="hair">
        <color auto="1"/>
      </right>
      <top/>
      <bottom/>
    </border>
    <border>
      <left style="hair">
        <color auto="1"/>
      </left>
      <right/>
      <top/>
      <bottom/>
    </border>
    <border>
      <left style="hair">
        <color auto="1"/>
      </left>
      <right/>
      <top style="medium">
        <color auto="1"/>
      </top>
      <bottom style="medium">
        <color auto="1"/>
      </bottom>
    </border>
    <border>
      <left style="hair">
        <color auto="1"/>
      </left>
      <right style="medium">
        <color auto="1"/>
      </right>
      <top/>
      <bottom/>
    </border>
    <border>
      <left style="hair">
        <color auto="1"/>
      </left>
      <right style="medium">
        <color auto="1"/>
      </right>
      <top style="medium">
        <color auto="1"/>
      </top>
      <bottom/>
    </border>
    <border>
      <left style="hair">
        <color auto="1"/>
      </left>
      <right/>
      <top style="medium">
        <color auto="1"/>
      </top>
      <bottom style="hair">
        <color auto="1"/>
      </bottom>
    </border>
    <border>
      <left style="hair">
        <color auto="1"/>
      </left>
      <right/>
      <top/>
      <bottom style="hair">
        <color auto="1"/>
      </bottom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hair">
        <color auto="1"/>
      </left>
      <right/>
      <top/>
      <bottom style="medium">
        <color auto="1"/>
      </bottom>
    </border>
    <border>
      <left style="hair">
        <color auto="1"/>
      </left>
      <right/>
      <top style="medium">
        <color auto="1"/>
      </top>
      <bottom/>
    </border>
    <border>
      <left/>
      <right/>
      <top style="medium">
        <color auto="1"/>
      </top>
      <bottom style="hair">
        <color auto="1"/>
      </bottom>
    </border>
    <border>
      <left style="hair">
        <color auto="1"/>
      </left>
      <right/>
      <top style="hair">
        <color auto="1"/>
      </top>
      <bottom style="medium">
        <color auto="1"/>
      </bottom>
    </border>
    <border>
      <left style="thin">
        <color auto="1"/>
      </left>
      <right/>
      <top style="medium">
        <color auto="1"/>
      </top>
      <bottom style="thin">
        <color auto="1"/>
      </bottom>
    </border>
    <border>
      <left/>
      <right/>
      <top style="medium">
        <color auto="1"/>
      </top>
      <bottom style="thin">
        <color auto="1"/>
      </bottom>
    </border>
    <border>
      <left/>
      <right style="thin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medium">
        <color auto="1"/>
      </bottom>
    </border>
    <border>
      <left/>
      <right/>
      <top style="thin">
        <color auto="1"/>
      </top>
      <bottom style="medium">
        <color auto="1"/>
      </bottom>
    </border>
    <border>
      <left/>
      <right style="thin">
        <color auto="1"/>
      </right>
      <top style="thin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/>
      <top style="medium">
        <color auto="1"/>
      </top>
      <bottom style="medium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 style="medium">
        <color auto="1"/>
      </left>
      <right/>
      <top/>
      <bottom/>
    </border>
    <border>
      <left style="medium">
        <color auto="1"/>
      </left>
      <right/>
      <top/>
      <bottom style="medium">
        <color auto="1"/>
      </bottom>
    </border>
    <border>
      <left/>
      <right/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/>
      <right style="hair">
        <color auto="1"/>
      </right>
      <top style="medium">
        <color auto="1"/>
      </top>
      <bottom/>
    </border>
    <border>
      <left/>
      <right/>
      <top/>
      <bottom style="hair">
        <color auto="1"/>
      </bottom>
    </border>
    <border>
      <left/>
      <right style="hair">
        <color auto="1"/>
      </right>
      <top/>
      <bottom style="hair">
        <color auto="1"/>
      </bottom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</border>
    <border>
      <left/>
      <right style="hair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hair">
        <color auto="1"/>
      </right>
      <top/>
      <bottom style="hair">
        <color auto="1"/>
      </bottom>
    </border>
    <border>
      <left style="medium">
        <color auto="1"/>
      </left>
      <right style="hair">
        <color auto="1"/>
      </right>
      <top style="hair">
        <color auto="1"/>
      </top>
      <bottom/>
    </border>
    <border>
      <left/>
      <right/>
      <top style="hair">
        <color auto="1"/>
      </top>
      <bottom/>
    </border>
    <border>
      <left/>
      <right style="medium">
        <color auto="1"/>
      </right>
      <top style="hair">
        <color auto="1"/>
      </top>
      <bottom/>
    </border>
    <border>
      <left/>
      <right style="hair">
        <color auto="1"/>
      </right>
      <top style="medium">
        <color auto="1"/>
      </top>
      <bottom style="hair">
        <color auto="1"/>
      </bottom>
    </border>
    <border>
      <left/>
      <right style="medium">
        <color auto="1"/>
      </right>
      <top style="medium">
        <color auto="1"/>
      </top>
      <bottom style="hair">
        <color auto="1"/>
      </bottom>
    </border>
    <border>
      <left/>
      <right/>
      <top style="hair">
        <color auto="1"/>
      </top>
      <bottom style="medium">
        <color auto="1"/>
      </bottom>
    </border>
    <border>
      <left/>
      <right style="medium">
        <color auto="1"/>
      </right>
      <top style="hair">
        <color auto="1"/>
      </top>
      <bottom style="medium">
        <color auto="1"/>
      </bottom>
    </border>
    <border>
      <left/>
      <right style="hair">
        <color auto="1"/>
      </right>
      <top/>
      <bottom style="medium">
        <color auto="1"/>
      </bottom>
    </border>
    <border>
      <left style="medium">
        <color auto="1"/>
      </left>
      <right/>
      <top style="medium">
        <color auto="1"/>
      </top>
      <bottom style="hair">
        <color auto="1"/>
      </bottom>
    </border>
    <border>
      <left style="medium">
        <color auto="1"/>
      </left>
      <right/>
      <top style="hair">
        <color auto="1"/>
      </top>
      <bottom style="medium">
        <color auto="1"/>
      </bottom>
    </border>
    <border>
      <left/>
      <right style="hair">
        <color auto="1"/>
      </right>
      <top style="hair">
        <color auto="1"/>
      </top>
      <bottom style="medium">
        <color auto="1"/>
      </bottom>
    </border>
  </borders>
  <cellStyleXfs count="24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7" fillId="0" borderId="0">
      <alignment/>
      <protection/>
    </xf>
    <xf numFmtId="0" fontId="8" fillId="0" borderId="0">
      <alignment/>
      <protection/>
    </xf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</cellStyleXfs>
  <cellXfs count="91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/>
    <xf numFmtId="0" fontId="2" fillId="0" borderId="0" xfId="0" applyFont="1"/>
    <xf numFmtId="0" fontId="0" fillId="3" borderId="0" xfId="0" applyFill="1" applyAlignment="1">
      <alignment horizontal="right"/>
    </xf>
    <xf numFmtId="0" fontId="0" fillId="4" borderId="0" xfId="0" applyFill="1"/>
    <xf numFmtId="1" fontId="0" fillId="4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/>
    </xf>
    <xf numFmtId="164" fontId="5" fillId="2" borderId="1" xfId="0" applyNumberFormat="1" applyFont="1" applyFill="1" applyBorder="1" applyAlignment="1">
      <alignment horizontal="right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wrapText="1"/>
    </xf>
    <xf numFmtId="164" fontId="3" fillId="0" borderId="1" xfId="0" applyNumberFormat="1" applyFont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right"/>
    </xf>
    <xf numFmtId="0" fontId="0" fillId="0" borderId="1" xfId="0" applyBorder="1" applyAlignment="1">
      <alignment horizontal="center" wrapText="1"/>
    </xf>
    <xf numFmtId="2" fontId="5" fillId="2" borderId="1" xfId="0" applyNumberFormat="1" applyFont="1" applyFill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165" fontId="0" fillId="0" borderId="1" xfId="0" applyNumberFormat="1" applyBorder="1"/>
    <xf numFmtId="2" fontId="0" fillId="0" borderId="1" xfId="0" applyNumberFormat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0" fillId="3" borderId="1" xfId="0" applyFill="1" applyBorder="1"/>
    <xf numFmtId="1" fontId="2" fillId="3" borderId="1" xfId="0" applyNumberFormat="1" applyFont="1" applyFill="1" applyBorder="1"/>
    <xf numFmtId="166" fontId="0" fillId="0" borderId="2" xfId="0" applyNumberFormat="1" applyBorder="1"/>
    <xf numFmtId="166" fontId="0" fillId="0" borderId="3" xfId="22" applyNumberFormat="1" applyFont="1" applyBorder="1"/>
    <xf numFmtId="0" fontId="0" fillId="2" borderId="1" xfId="0" applyFill="1" applyBorder="1" applyAlignment="1">
      <alignment horizontal="center" vertical="center"/>
    </xf>
    <xf numFmtId="166" fontId="2" fillId="2" borderId="1" xfId="0" applyNumberFormat="1" applyFont="1" applyFill="1" applyBorder="1"/>
    <xf numFmtId="0" fontId="0" fillId="2" borderId="1" xfId="0" applyFill="1" applyBorder="1"/>
    <xf numFmtId="166" fontId="0" fillId="0" borderId="1" xfId="0" applyNumberFormat="1" applyBorder="1" applyAlignment="1">
      <alignment horizontal="right"/>
    </xf>
    <xf numFmtId="166" fontId="0" fillId="0" borderId="1" xfId="0" applyNumberFormat="1" applyBorder="1"/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/>
    </xf>
    <xf numFmtId="166" fontId="0" fillId="0" borderId="1" xfId="22" applyNumberFormat="1" applyFont="1" applyBorder="1"/>
    <xf numFmtId="166" fontId="2" fillId="0" borderId="1" xfId="0" applyNumberFormat="1" applyFont="1" applyBorder="1"/>
    <xf numFmtId="0" fontId="2" fillId="0" borderId="1" xfId="0" applyFont="1" applyBorder="1"/>
    <xf numFmtId="1" fontId="2" fillId="0" borderId="0" xfId="0" applyNumberFormat="1" applyFont="1"/>
    <xf numFmtId="166" fontId="0" fillId="0" borderId="3" xfId="22" applyNumberFormat="1" applyFont="1" applyFill="1" applyBorder="1"/>
    <xf numFmtId="166" fontId="0" fillId="0" borderId="3" xfId="0" applyNumberFormat="1" applyBorder="1"/>
    <xf numFmtId="1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3" fillId="5" borderId="1" xfId="0" applyFont="1" applyFill="1" applyBorder="1"/>
    <xf numFmtId="0" fontId="2" fillId="0" borderId="1" xfId="0" applyFont="1" applyBorder="1" applyAlignment="1">
      <alignment horizontal="center" vertical="center"/>
    </xf>
    <xf numFmtId="165" fontId="0" fillId="5" borderId="1" xfId="0" applyNumberFormat="1" applyFill="1" applyBorder="1"/>
    <xf numFmtId="0" fontId="0" fillId="0" borderId="6" xfId="0" applyBorder="1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5" xfId="0" applyBorder="1"/>
    <xf numFmtId="0" fontId="11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vertical="center"/>
    </xf>
    <xf numFmtId="1" fontId="10" fillId="0" borderId="7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6" fontId="0" fillId="0" borderId="1" xfId="22" applyNumberFormat="1" applyFont="1" applyFill="1" applyBorder="1"/>
    <xf numFmtId="164" fontId="0" fillId="0" borderId="1" xfId="0" applyNumberFormat="1" applyBorder="1" applyAlignment="1">
      <alignment horizontal="center"/>
    </xf>
    <xf numFmtId="166" fontId="0" fillId="5" borderId="2" xfId="0" applyNumberFormat="1" applyFill="1" applyBorder="1"/>
    <xf numFmtId="2" fontId="3" fillId="5" borderId="1" xfId="0" applyNumberFormat="1" applyFont="1" applyFill="1" applyBorder="1"/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10" fillId="0" borderId="9" xfId="0" applyNumberFormat="1" applyFont="1" applyBorder="1" applyAlignment="1">
      <alignment horizontal="center" vertical="center"/>
    </xf>
    <xf numFmtId="2" fontId="10" fillId="0" borderId="13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wrapText="1"/>
    </xf>
    <xf numFmtId="2" fontId="10" fillId="0" borderId="14" xfId="0" applyNumberFormat="1" applyFont="1" applyBorder="1" applyAlignment="1">
      <alignment horizontal="center" wrapText="1"/>
    </xf>
    <xf numFmtId="1" fontId="10" fillId="0" borderId="1" xfId="0" applyNumberFormat="1" applyFont="1" applyBorder="1" applyAlignment="1">
      <alignment horizontal="center" wrapText="1"/>
    </xf>
    <xf numFmtId="1" fontId="10" fillId="0" borderId="14" xfId="0" applyNumberFormat="1" applyFont="1" applyBorder="1" applyAlignment="1">
      <alignment horizontal="center" wrapText="1"/>
    </xf>
    <xf numFmtId="0" fontId="0" fillId="0" borderId="13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11" fillId="0" borderId="18" xfId="0" applyNumberFormat="1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2" fontId="10" fillId="0" borderId="9" xfId="0" applyNumberFormat="1" applyFont="1" applyBorder="1" applyAlignment="1">
      <alignment horizontal="center"/>
    </xf>
    <xf numFmtId="2" fontId="10" fillId="0" borderId="13" xfId="0" applyNumberFormat="1" applyFont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2" fontId="10" fillId="0" borderId="14" xfId="0" applyNumberFormat="1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 vertical="center"/>
    </xf>
    <xf numFmtId="2" fontId="11" fillId="0" borderId="9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 vertical="center" wrapText="1"/>
    </xf>
    <xf numFmtId="0" fontId="0" fillId="2" borderId="8" xfId="0" applyFill="1" applyBorder="1"/>
    <xf numFmtId="0" fontId="0" fillId="2" borderId="21" xfId="0" applyFill="1" applyBorder="1"/>
    <xf numFmtId="0" fontId="0" fillId="0" borderId="9" xfId="0" applyBorder="1"/>
    <xf numFmtId="0" fontId="0" fillId="0" borderId="7" xfId="0" applyBorder="1"/>
    <xf numFmtId="1" fontId="0" fillId="0" borderId="9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65" fontId="0" fillId="0" borderId="7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1" fontId="10" fillId="0" borderId="7" xfId="0" applyNumberFormat="1" applyFont="1" applyBorder="1" applyAlignment="1">
      <alignment horizontal="center"/>
    </xf>
    <xf numFmtId="1" fontId="11" fillId="0" borderId="7" xfId="0" applyNumberFormat="1" applyFont="1" applyBorder="1" applyAlignment="1">
      <alignment horizontal="center"/>
    </xf>
    <xf numFmtId="165" fontId="10" fillId="0" borderId="15" xfId="0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1" fontId="10" fillId="0" borderId="14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2" fontId="10" fillId="0" borderId="14" xfId="0" applyNumberFormat="1" applyFont="1" applyBorder="1" applyAlignment="1">
      <alignment horizontal="center" vertical="center"/>
    </xf>
    <xf numFmtId="165" fontId="10" fillId="0" borderId="7" xfId="0" applyNumberFormat="1" applyFon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" fontId="0" fillId="0" borderId="18" xfId="0" applyNumberFormat="1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164" fontId="0" fillId="0" borderId="9" xfId="0" applyNumberFormat="1" applyFont="1" applyBorder="1" applyAlignment="1">
      <alignment horizontal="center" vertical="center"/>
    </xf>
    <xf numFmtId="164" fontId="0" fillId="0" borderId="13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165" fontId="10" fillId="0" borderId="8" xfId="0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165" fontId="0" fillId="0" borderId="12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 wrapText="1"/>
    </xf>
    <xf numFmtId="165" fontId="10" fillId="0" borderId="12" xfId="0" applyNumberFormat="1" applyFont="1" applyBorder="1" applyAlignment="1">
      <alignment horizontal="center"/>
    </xf>
    <xf numFmtId="1" fontId="10" fillId="0" borderId="12" xfId="0" applyNumberFormat="1" applyFont="1" applyBorder="1" applyAlignment="1">
      <alignment horizontal="center"/>
    </xf>
    <xf numFmtId="165" fontId="10" fillId="0" borderId="22" xfId="0" applyNumberFormat="1" applyFont="1" applyBorder="1" applyAlignment="1">
      <alignment horizontal="center"/>
    </xf>
    <xf numFmtId="1" fontId="0" fillId="0" borderId="9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wrapText="1"/>
    </xf>
    <xf numFmtId="0" fontId="0" fillId="0" borderId="23" xfId="0" applyBorder="1" applyAlignment="1">
      <alignment vertical="center"/>
    </xf>
    <xf numFmtId="0" fontId="0" fillId="0" borderId="9" xfId="0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" fontId="0" fillId="0" borderId="16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2" fontId="11" fillId="0" borderId="13" xfId="0" applyNumberFormat="1" applyFont="1" applyBorder="1" applyAlignment="1">
      <alignment horizontal="center" vertical="center"/>
    </xf>
    <xf numFmtId="42" fontId="0" fillId="0" borderId="4" xfId="0" applyNumberFormat="1" applyBorder="1" applyAlignment="1">
      <alignment horizontal="center" vertical="center"/>
    </xf>
    <xf numFmtId="42" fontId="0" fillId="0" borderId="18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0" borderId="4" xfId="0" applyFont="1" applyBorder="1" applyAlignment="1">
      <alignment horizontal="center"/>
    </xf>
    <xf numFmtId="1" fontId="10" fillId="0" borderId="4" xfId="0" applyNumberFormat="1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164" fontId="10" fillId="0" borderId="7" xfId="0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4" xfId="0" applyBorder="1" applyAlignment="1">
      <alignment horizontal="left" vertical="center" wrapText="1"/>
    </xf>
    <xf numFmtId="49" fontId="0" fillId="5" borderId="1" xfId="0" applyNumberFormat="1" applyFill="1" applyBorder="1" applyAlignment="1">
      <alignment horizontal="center" vertical="center"/>
    </xf>
    <xf numFmtId="49" fontId="0" fillId="5" borderId="25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 wrapText="1"/>
    </xf>
    <xf numFmtId="0" fontId="0" fillId="2" borderId="4" xfId="0" applyFill="1" applyBorder="1"/>
    <xf numFmtId="0" fontId="0" fillId="0" borderId="9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4" xfId="0" applyBorder="1" applyAlignment="1">
      <alignment horizontal="center"/>
    </xf>
    <xf numFmtId="1" fontId="0" fillId="4" borderId="13" xfId="0" applyNumberFormat="1" applyFill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165" fontId="0" fillId="0" borderId="9" xfId="0" applyNumberFormat="1" applyFont="1" applyBorder="1" applyAlignment="1">
      <alignment horizontal="center" vertical="center"/>
    </xf>
    <xf numFmtId="165" fontId="0" fillId="0" borderId="9" xfId="0" applyNumberFormat="1" applyFont="1" applyBorder="1" applyAlignment="1">
      <alignment horizontal="center"/>
    </xf>
    <xf numFmtId="165" fontId="0" fillId="0" borderId="13" xfId="0" applyNumberFormat="1" applyFont="1" applyBorder="1" applyAlignment="1">
      <alignment horizontal="center"/>
    </xf>
    <xf numFmtId="1" fontId="0" fillId="0" borderId="14" xfId="0" applyNumberFormat="1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9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1" fontId="0" fillId="0" borderId="14" xfId="0" applyNumberFormat="1" applyBorder="1" applyAlignment="1">
      <alignment horizontal="center"/>
    </xf>
    <xf numFmtId="2" fontId="0" fillId="0" borderId="9" xfId="0" applyNumberFormat="1" applyFont="1" applyBorder="1" applyAlignment="1">
      <alignment horizontal="center" vertical="center"/>
    </xf>
    <xf numFmtId="2" fontId="0" fillId="0" borderId="9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2" fillId="0" borderId="9" xfId="0" applyFont="1" applyBorder="1" applyAlignment="1">
      <alignment vertical="center"/>
    </xf>
    <xf numFmtId="0" fontId="0" fillId="0" borderId="13" xfId="0" applyBorder="1"/>
    <xf numFmtId="0" fontId="0" fillId="0" borderId="14" xfId="0" applyBorder="1"/>
    <xf numFmtId="0" fontId="14" fillId="0" borderId="1" xfId="0" applyFont="1" applyBorder="1"/>
    <xf numFmtId="164" fontId="14" fillId="0" borderId="1" xfId="0" applyNumberFormat="1" applyFont="1" applyBorder="1"/>
    <xf numFmtId="0" fontId="0" fillId="6" borderId="20" xfId="0" applyFill="1" applyBorder="1" applyAlignment="1">
      <alignment horizontal="center" vertical="center"/>
    </xf>
    <xf numFmtId="0" fontId="0" fillId="6" borderId="8" xfId="0" applyFill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49" fontId="0" fillId="5" borderId="5" xfId="0" applyNumberForma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left" vertical="center" wrapText="1"/>
    </xf>
    <xf numFmtId="165" fontId="0" fillId="7" borderId="1" xfId="0" applyNumberFormat="1" applyFill="1" applyBorder="1"/>
    <xf numFmtId="49" fontId="0" fillId="2" borderId="1" xfId="0" applyNumberForma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164" fontId="2" fillId="2" borderId="1" xfId="0" applyNumberFormat="1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right" vertical="center" wrapText="1"/>
    </xf>
    <xf numFmtId="166" fontId="0" fillId="0" borderId="1" xfId="0" applyNumberFormat="1" applyBorder="1" applyAlignment="1">
      <alignment horizontal="right" vertical="center"/>
    </xf>
    <xf numFmtId="2" fontId="5" fillId="2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10" fillId="0" borderId="1" xfId="0" applyFont="1" applyBorder="1" applyAlignment="1">
      <alignment horizontal="left" vertical="center" wrapText="1"/>
    </xf>
    <xf numFmtId="49" fontId="0" fillId="0" borderId="24" xfId="0" applyNumberFormat="1" applyBorder="1" applyAlignment="1">
      <alignment horizontal="center" vertical="center"/>
    </xf>
    <xf numFmtId="49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left" vertical="center" wrapText="1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49" fontId="0" fillId="5" borderId="11" xfId="0" applyNumberForma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0" xfId="0" applyBorder="1" applyAlignment="1">
      <alignment horizontal="center" vertical="center"/>
    </xf>
    <xf numFmtId="0" fontId="0" fillId="5" borderId="24" xfId="0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" fontId="0" fillId="0" borderId="31" xfId="0" applyNumberFormat="1" applyBorder="1" applyAlignment="1">
      <alignment horizontal="center" vertical="center"/>
    </xf>
    <xf numFmtId="167" fontId="0" fillId="0" borderId="1" xfId="23" applyNumberFormat="1" applyFon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2" borderId="11" xfId="0" applyFill="1" applyBorder="1" applyAlignment="1">
      <alignment horizontal="center" vertical="center"/>
    </xf>
    <xf numFmtId="0" fontId="2" fillId="2" borderId="12" xfId="0" applyFont="1" applyFill="1" applyBorder="1" applyAlignment="1">
      <alignment horizontal="left" vertical="center" wrapText="1"/>
    </xf>
    <xf numFmtId="0" fontId="0" fillId="2" borderId="12" xfId="0" applyFill="1" applyBorder="1"/>
    <xf numFmtId="0" fontId="0" fillId="2" borderId="22" xfId="0" applyFill="1" applyBorder="1"/>
    <xf numFmtId="0" fontId="16" fillId="0" borderId="9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9" fontId="0" fillId="5" borderId="20" xfId="0" applyNumberForma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65" fontId="10" fillId="0" borderId="9" xfId="0" applyNumberFormat="1" applyFont="1" applyBorder="1" applyAlignment="1">
      <alignment horizontal="center" vertical="center"/>
    </xf>
    <xf numFmtId="165" fontId="11" fillId="0" borderId="9" xfId="0" applyNumberFormat="1" applyFont="1" applyBorder="1" applyAlignment="1">
      <alignment horizontal="center" vertical="center"/>
    </xf>
    <xf numFmtId="165" fontId="10" fillId="0" borderId="13" xfId="0" applyNumberFormat="1" applyFont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165" fontId="10" fillId="0" borderId="14" xfId="0" applyNumberFormat="1" applyFont="1" applyBorder="1" applyAlignment="1">
      <alignment horizontal="center" vertical="center"/>
    </xf>
    <xf numFmtId="165" fontId="10" fillId="0" borderId="4" xfId="0" applyNumberFormat="1" applyFont="1" applyBorder="1" applyAlignment="1">
      <alignment horizontal="center" vertical="center"/>
    </xf>
    <xf numFmtId="165" fontId="11" fillId="0" borderId="4" xfId="0" applyNumberFormat="1" applyFont="1" applyBorder="1" applyAlignment="1">
      <alignment horizontal="center" vertical="center"/>
    </xf>
    <xf numFmtId="165" fontId="10" fillId="0" borderId="18" xfId="0" applyNumberFormat="1" applyFont="1" applyBorder="1" applyAlignment="1">
      <alignment horizontal="center" vertical="center"/>
    </xf>
    <xf numFmtId="49" fontId="0" fillId="5" borderId="30" xfId="0" applyNumberFormat="1" applyFill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2" fontId="11" fillId="0" borderId="24" xfId="0" applyNumberFormat="1" applyFon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1" fontId="11" fillId="0" borderId="5" xfId="0" applyNumberFormat="1" applyFont="1" applyBorder="1" applyAlignment="1">
      <alignment horizontal="center" vertical="center"/>
    </xf>
    <xf numFmtId="165" fontId="11" fillId="0" borderId="5" xfId="0" applyNumberFormat="1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2" fillId="2" borderId="24" xfId="0" applyFont="1" applyFill="1" applyBorder="1" applyAlignment="1">
      <alignment horizontal="left" vertical="center" wrapText="1"/>
    </xf>
    <xf numFmtId="0" fontId="0" fillId="0" borderId="33" xfId="0" applyBorder="1" applyAlignment="1">
      <alignment horizontal="center" vertical="center"/>
    </xf>
    <xf numFmtId="165" fontId="10" fillId="0" borderId="23" xfId="0" applyNumberFormat="1" applyFont="1" applyBorder="1" applyAlignment="1">
      <alignment horizontal="center" vertical="center"/>
    </xf>
    <xf numFmtId="165" fontId="11" fillId="0" borderId="23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5" fontId="0" fillId="0" borderId="23" xfId="0" applyNumberFormat="1" applyBorder="1" applyAlignment="1">
      <alignment horizontal="center" vertical="center"/>
    </xf>
    <xf numFmtId="165" fontId="0" fillId="0" borderId="34" xfId="0" applyNumberForma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165" fontId="11" fillId="0" borderId="13" xfId="0" applyNumberFormat="1" applyFont="1" applyBorder="1" applyAlignment="1">
      <alignment horizontal="center" vertical="center"/>
    </xf>
    <xf numFmtId="165" fontId="2" fillId="0" borderId="0" xfId="0" applyNumberFormat="1" applyFont="1"/>
    <xf numFmtId="164" fontId="10" fillId="0" borderId="1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1" fontId="11" fillId="0" borderId="14" xfId="0" applyNumberFormat="1" applyFont="1" applyBorder="1" applyAlignment="1">
      <alignment horizontal="center" vertical="center"/>
    </xf>
    <xf numFmtId="165" fontId="11" fillId="0" borderId="14" xfId="0" applyNumberFormat="1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2" fontId="11" fillId="0" borderId="14" xfId="0" applyNumberFormat="1" applyFont="1" applyBorder="1" applyAlignment="1">
      <alignment horizontal="center" vertical="center"/>
    </xf>
    <xf numFmtId="1" fontId="11" fillId="0" borderId="16" xfId="0" applyNumberFormat="1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8" xfId="0" applyFill="1" applyBorder="1" applyAlignment="1">
      <alignment horizontal="left" vertical="center" wrapText="1"/>
    </xf>
    <xf numFmtId="0" fontId="0" fillId="0" borderId="32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1" xfId="0" applyBorder="1" applyAlignment="1">
      <alignment horizontal="left"/>
    </xf>
    <xf numFmtId="0" fontId="10" fillId="0" borderId="20" xfId="0" applyFont="1" applyBorder="1" applyAlignment="1">
      <alignment horizontal="center" vertical="center"/>
    </xf>
    <xf numFmtId="0" fontId="10" fillId="0" borderId="8" xfId="0" applyFont="1" applyBorder="1" applyAlignment="1">
      <alignment wrapText="1"/>
    </xf>
    <xf numFmtId="0" fontId="0" fillId="0" borderId="8" xfId="0" applyBorder="1" applyAlignment="1">
      <alignment vertical="center"/>
    </xf>
    <xf numFmtId="49" fontId="10" fillId="0" borderId="20" xfId="0" applyNumberFormat="1" applyFont="1" applyBorder="1" applyAlignment="1">
      <alignment horizontal="center" vertical="center"/>
    </xf>
    <xf numFmtId="0" fontId="10" fillId="0" borderId="8" xfId="0" applyFont="1" applyBorder="1" applyAlignment="1">
      <alignment horizontal="left" vertical="center" wrapText="1"/>
    </xf>
    <xf numFmtId="165" fontId="0" fillId="0" borderId="35" xfId="0" applyNumberFormat="1" applyBorder="1" applyAlignment="1">
      <alignment horizontal="center" vertical="center"/>
    </xf>
    <xf numFmtId="165" fontId="11" fillId="0" borderId="35" xfId="0" applyNumberFormat="1" applyFont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2" fontId="11" fillId="0" borderId="36" xfId="0" applyNumberFormat="1" applyFon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1" fontId="11" fillId="0" borderId="36" xfId="0" applyNumberFormat="1" applyFont="1" applyBorder="1" applyAlignment="1">
      <alignment horizontal="center" vertical="center"/>
    </xf>
    <xf numFmtId="1" fontId="10" fillId="0" borderId="16" xfId="0" applyNumberFormat="1" applyFont="1" applyBorder="1" applyAlignment="1">
      <alignment horizontal="center" vertical="center"/>
    </xf>
    <xf numFmtId="2" fontId="11" fillId="0" borderId="2" xfId="0" applyNumberFormat="1" applyFont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2" fontId="11" fillId="0" borderId="5" xfId="0" applyNumberFormat="1" applyFont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164" fontId="3" fillId="5" borderId="1" xfId="0" applyNumberFormat="1" applyFont="1" applyFill="1" applyBorder="1"/>
    <xf numFmtId="2" fontId="10" fillId="0" borderId="5" xfId="0" applyNumberFormat="1" applyFont="1" applyBorder="1" applyAlignment="1">
      <alignment horizontal="center" vertical="center"/>
    </xf>
    <xf numFmtId="2" fontId="10" fillId="0" borderId="16" xfId="0" applyNumberFormat="1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2" fontId="0" fillId="4" borderId="9" xfId="0" applyNumberFormat="1" applyFill="1" applyBorder="1" applyAlignment="1">
      <alignment horizontal="center" vertical="center"/>
    </xf>
    <xf numFmtId="2" fontId="0" fillId="4" borderId="13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1" fontId="0" fillId="4" borderId="9" xfId="0" applyNumberFormat="1" applyFill="1" applyBorder="1" applyAlignment="1">
      <alignment horizontal="center" vertical="center"/>
    </xf>
    <xf numFmtId="1" fontId="0" fillId="4" borderId="13" xfId="0" applyNumberFormat="1" applyFill="1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2" fontId="0" fillId="4" borderId="24" xfId="0" applyNumberFormat="1" applyFill="1" applyBorder="1" applyAlignment="1">
      <alignment horizontal="center" vertical="center"/>
    </xf>
    <xf numFmtId="2" fontId="0" fillId="4" borderId="33" xfId="0" applyNumberFormat="1" applyFill="1" applyBorder="1" applyAlignment="1">
      <alignment horizontal="center" vertical="center"/>
    </xf>
    <xf numFmtId="165" fontId="0" fillId="4" borderId="24" xfId="0" applyNumberFormat="1" applyFill="1" applyBorder="1" applyAlignment="1">
      <alignment horizontal="center" vertical="center"/>
    </xf>
    <xf numFmtId="165" fontId="0" fillId="4" borderId="33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1" fontId="11" fillId="0" borderId="24" xfId="0" applyNumberFormat="1" applyFont="1" applyBorder="1" applyAlignment="1">
      <alignment horizontal="center" vertical="center"/>
    </xf>
    <xf numFmtId="1" fontId="0" fillId="0" borderId="33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165" fontId="11" fillId="0" borderId="24" xfId="0" applyNumberFormat="1" applyFont="1" applyBorder="1" applyAlignment="1">
      <alignment horizontal="center" vertical="center"/>
    </xf>
    <xf numFmtId="165" fontId="0" fillId="0" borderId="3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1" fontId="11" fillId="0" borderId="4" xfId="0" applyNumberFormat="1" applyFon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1" fontId="11" fillId="0" borderId="9" xfId="0" applyNumberFormat="1" applyFont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5" fontId="0" fillId="4" borderId="14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5" borderId="37" xfId="0" applyFill="1" applyBorder="1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11" fillId="0" borderId="23" xfId="0" applyNumberFormat="1" applyFont="1" applyBorder="1" applyAlignment="1">
      <alignment horizontal="center" vertical="center"/>
    </xf>
    <xf numFmtId="1" fontId="11" fillId="4" borderId="9" xfId="0" applyNumberFormat="1" applyFont="1" applyFill="1" applyBorder="1" applyAlignment="1">
      <alignment horizontal="center" vertical="center"/>
    </xf>
    <xf numFmtId="2" fontId="11" fillId="4" borderId="24" xfId="0" applyNumberFormat="1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1" fontId="10" fillId="0" borderId="23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1" fontId="10" fillId="4" borderId="9" xfId="0" applyNumberFormat="1" applyFont="1" applyFill="1" applyBorder="1" applyAlignment="1">
      <alignment horizontal="center" vertical="center"/>
    </xf>
    <xf numFmtId="1" fontId="10" fillId="4" borderId="13" xfId="0" applyNumberFormat="1" applyFont="1" applyFill="1" applyBorder="1" applyAlignment="1">
      <alignment horizontal="center" vertical="center"/>
    </xf>
    <xf numFmtId="2" fontId="10" fillId="4" borderId="24" xfId="0" applyNumberFormat="1" applyFont="1" applyFill="1" applyBorder="1" applyAlignment="1">
      <alignment horizontal="center" vertical="center"/>
    </xf>
    <xf numFmtId="2" fontId="11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2" fontId="0" fillId="4" borderId="18" xfId="0" applyNumberForma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14" fillId="0" borderId="1" xfId="0" applyFont="1" applyBorder="1" applyAlignment="1">
      <alignment vertical="center"/>
    </xf>
    <xf numFmtId="1" fontId="0" fillId="0" borderId="1" xfId="0" applyNumberFormat="1" applyBorder="1" applyAlignment="1">
      <alignment vertical="center"/>
    </xf>
    <xf numFmtId="166" fontId="0" fillId="0" borderId="1" xfId="0" applyNumberFormat="1" applyBorder="1" applyAlignment="1">
      <alignment vertical="center"/>
    </xf>
    <xf numFmtId="166" fontId="0" fillId="0" borderId="1" xfId="22" applyNumberFormat="1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15" fillId="0" borderId="1" xfId="0" applyFont="1" applyBorder="1" applyAlignment="1">
      <alignment vertical="center"/>
    </xf>
    <xf numFmtId="164" fontId="15" fillId="0" borderId="1" xfId="0" applyNumberFormat="1" applyFont="1" applyBorder="1" applyAlignment="1">
      <alignment vertical="center"/>
    </xf>
    <xf numFmtId="2" fontId="0" fillId="0" borderId="1" xfId="0" applyNumberForma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1" fontId="2" fillId="3" borderId="1" xfId="0" applyNumberFormat="1" applyFont="1" applyFill="1" applyBorder="1" applyAlignment="1">
      <alignment vertical="center"/>
    </xf>
    <xf numFmtId="0" fontId="0" fillId="3" borderId="0" xfId="0" applyFill="1" applyAlignment="1">
      <alignment horizontal="right" vertical="center"/>
    </xf>
    <xf numFmtId="0" fontId="0" fillId="0" borderId="6" xfId="0" applyBorder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right" vertical="center"/>
    </xf>
    <xf numFmtId="1" fontId="0" fillId="4" borderId="0" xfId="0" applyNumberFormat="1" applyFill="1" applyAlignment="1">
      <alignment vertical="center"/>
    </xf>
    <xf numFmtId="2" fontId="15" fillId="0" borderId="1" xfId="0" applyNumberFormat="1" applyFont="1" applyBorder="1" applyAlignment="1">
      <alignment vertical="center"/>
    </xf>
    <xf numFmtId="1" fontId="5" fillId="0" borderId="1" xfId="0" applyNumberFormat="1" applyFont="1" applyBorder="1" applyAlignment="1">
      <alignment vertical="center"/>
    </xf>
    <xf numFmtId="166" fontId="5" fillId="7" borderId="1" xfId="0" applyNumberFormat="1" applyFont="1" applyFill="1" applyBorder="1" applyAlignment="1">
      <alignment vertical="center"/>
    </xf>
    <xf numFmtId="2" fontId="5" fillId="2" borderId="1" xfId="21" applyNumberFormat="1" applyFont="1" applyFill="1" applyBorder="1" applyAlignment="1">
      <alignment vertical="center"/>
      <protection/>
    </xf>
    <xf numFmtId="0" fontId="0" fillId="0" borderId="0" xfId="21" applyFont="1" applyAlignment="1">
      <alignment vertical="center"/>
      <protection/>
    </xf>
    <xf numFmtId="2" fontId="10" fillId="0" borderId="4" xfId="0" applyNumberFormat="1" applyFont="1" applyBorder="1" applyAlignment="1">
      <alignment horizontal="center" vertical="center"/>
    </xf>
    <xf numFmtId="49" fontId="0" fillId="0" borderId="1" xfId="21" applyNumberFormat="1" applyFont="1" applyBorder="1" applyAlignment="1">
      <alignment horizontal="center" vertical="center"/>
      <protection/>
    </xf>
    <xf numFmtId="0" fontId="0" fillId="0" borderId="1" xfId="21" applyFont="1" applyBorder="1" applyAlignment="1">
      <alignment horizontal="center" vertical="center"/>
      <protection/>
    </xf>
    <xf numFmtId="2" fontId="0" fillId="0" borderId="1" xfId="21" applyNumberFormat="1" applyFont="1" applyBorder="1" applyAlignment="1">
      <alignment horizontal="right" vertical="center"/>
      <protection/>
    </xf>
    <xf numFmtId="0" fontId="3" fillId="0" borderId="1" xfId="21" applyFont="1" applyBorder="1" applyAlignment="1">
      <alignment horizontal="right" vertical="center"/>
      <protection/>
    </xf>
    <xf numFmtId="0" fontId="0" fillId="0" borderId="1" xfId="21" applyFont="1" applyBorder="1" applyAlignment="1">
      <alignment horizontal="right" vertical="center"/>
      <protection/>
    </xf>
    <xf numFmtId="2" fontId="3" fillId="0" borderId="1" xfId="21" applyNumberFormat="1" applyFont="1" applyBorder="1" applyAlignment="1">
      <alignment vertical="center"/>
      <protection/>
    </xf>
    <xf numFmtId="2" fontId="5" fillId="2" borderId="1" xfId="21" applyNumberFormat="1" applyFont="1" applyFill="1" applyBorder="1" applyAlignment="1">
      <alignment horizontal="right" vertical="center"/>
      <protection/>
    </xf>
    <xf numFmtId="166" fontId="0" fillId="0" borderId="1" xfId="21" applyNumberFormat="1" applyFont="1" applyBorder="1" applyAlignment="1">
      <alignment horizontal="right" vertical="center"/>
      <protection/>
    </xf>
    <xf numFmtId="0" fontId="0" fillId="0" borderId="7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vertical="center"/>
    </xf>
    <xf numFmtId="164" fontId="0" fillId="0" borderId="1" xfId="0" applyNumberFormat="1" applyBorder="1"/>
    <xf numFmtId="0" fontId="10" fillId="0" borderId="1" xfId="0" applyFont="1" applyBorder="1"/>
    <xf numFmtId="2" fontId="14" fillId="0" borderId="1" xfId="0" applyNumberFormat="1" applyFont="1" applyBorder="1"/>
    <xf numFmtId="2" fontId="14" fillId="0" borderId="1" xfId="0" applyNumberFormat="1" applyFont="1" applyBorder="1" applyAlignment="1">
      <alignment vertical="center"/>
    </xf>
    <xf numFmtId="164" fontId="14" fillId="0" borderId="1" xfId="0" applyNumberFormat="1" applyFont="1" applyBorder="1" applyAlignment="1">
      <alignment vertical="center"/>
    </xf>
    <xf numFmtId="166" fontId="0" fillId="0" borderId="2" xfId="0" applyNumberFormat="1" applyBorder="1" applyAlignment="1">
      <alignment vertical="center"/>
    </xf>
    <xf numFmtId="166" fontId="0" fillId="0" borderId="3" xfId="22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10" fillId="0" borderId="1" xfId="0" applyFont="1" applyBorder="1" applyAlignment="1">
      <alignment vertical="center"/>
    </xf>
    <xf numFmtId="166" fontId="0" fillId="0" borderId="1" xfId="22" applyNumberFormat="1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39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9" xfId="0" applyBorder="1" applyAlignment="1">
      <alignment vertical="center" wrapText="1"/>
    </xf>
    <xf numFmtId="14" fontId="0" fillId="0" borderId="39" xfId="0" applyNumberFormat="1" applyBorder="1" applyAlignment="1">
      <alignment horizontal="center" vertical="center"/>
    </xf>
    <xf numFmtId="0" fontId="0" fillId="0" borderId="39" xfId="0" applyBorder="1" applyAlignment="1">
      <alignment vertical="center"/>
    </xf>
    <xf numFmtId="0" fontId="0" fillId="0" borderId="39" xfId="0" applyBorder="1" applyAlignment="1">
      <alignment horizontal="left" vertical="center" wrapText="1"/>
    </xf>
    <xf numFmtId="0" fontId="0" fillId="0" borderId="24" xfId="0" applyBorder="1" applyAlignment="1">
      <alignment horizontal="center" vertical="center" wrapText="1"/>
    </xf>
    <xf numFmtId="166" fontId="0" fillId="0" borderId="3" xfId="22" applyNumberFormat="1" applyFont="1" applyBorder="1" applyAlignment="1">
      <alignment vertical="center"/>
    </xf>
    <xf numFmtId="2" fontId="0" fillId="0" borderId="39" xfId="0" applyNumberFormat="1" applyBorder="1" applyAlignment="1">
      <alignment horizontal="center" vertical="center"/>
    </xf>
    <xf numFmtId="49" fontId="0" fillId="0" borderId="39" xfId="0" applyNumberFormat="1" applyFont="1" applyBorder="1" applyAlignment="1">
      <alignment horizontal="left" vertical="center" wrapText="1"/>
    </xf>
    <xf numFmtId="14" fontId="2" fillId="6" borderId="0" xfId="0" applyNumberFormat="1" applyFont="1" applyFill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21" applyFont="1" applyBorder="1" applyAlignment="1">
      <alignment horizontal="left" vertical="center" wrapText="1"/>
      <protection/>
    </xf>
    <xf numFmtId="0" fontId="2" fillId="3" borderId="1" xfId="0" applyFont="1" applyFill="1" applyBorder="1" applyAlignment="1">
      <alignment vertical="center" wrapText="1"/>
    </xf>
    <xf numFmtId="0" fontId="2" fillId="0" borderId="39" xfId="0" applyFont="1" applyBorder="1" applyAlignment="1">
      <alignment horizontal="center" vertical="center" wrapText="1"/>
    </xf>
    <xf numFmtId="14" fontId="2" fillId="6" borderId="0" xfId="0" applyNumberFormat="1" applyFont="1" applyFill="1" applyAlignment="1">
      <alignment horizontal="left" vertical="center"/>
    </xf>
    <xf numFmtId="0" fontId="0" fillId="0" borderId="1" xfId="21" applyFont="1" applyBorder="1" applyAlignment="1">
      <alignment horizontal="left" vertical="center"/>
      <protection/>
    </xf>
    <xf numFmtId="0" fontId="0" fillId="0" borderId="1" xfId="0" applyFont="1" applyBorder="1" applyAlignment="1">
      <alignment horizontal="left" vertical="center" wrapText="1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4" fontId="0" fillId="0" borderId="45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right" vertical="center"/>
    </xf>
    <xf numFmtId="0" fontId="0" fillId="0" borderId="1" xfId="0" applyFont="1" applyBorder="1" applyAlignment="1">
      <alignment horizontal="left" vertical="center" wrapText="1"/>
    </xf>
    <xf numFmtId="0" fontId="0" fillId="0" borderId="46" xfId="0" applyBorder="1" applyAlignment="1">
      <alignment horizontal="center" vertical="center"/>
    </xf>
    <xf numFmtId="0" fontId="0" fillId="0" borderId="46" xfId="0" applyBorder="1" applyAlignment="1">
      <alignment vertical="center" wrapText="1"/>
    </xf>
    <xf numFmtId="0" fontId="0" fillId="0" borderId="46" xfId="0" applyBorder="1" applyAlignment="1">
      <alignment vertical="center"/>
    </xf>
    <xf numFmtId="14" fontId="0" fillId="0" borderId="46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9" borderId="0" xfId="0" applyFill="1" applyAlignment="1">
      <alignment vertical="center"/>
    </xf>
    <xf numFmtId="0" fontId="0" fillId="9" borderId="0" xfId="0" applyFill="1" applyAlignment="1">
      <alignment vertical="center" wrapText="1"/>
    </xf>
    <xf numFmtId="0" fontId="0" fillId="9" borderId="0" xfId="0" applyFill="1" applyAlignment="1">
      <alignment horizontal="center" vertical="center"/>
    </xf>
    <xf numFmtId="0" fontId="3" fillId="9" borderId="0" xfId="0" applyFont="1" applyFill="1" applyAlignment="1">
      <alignment vertical="center"/>
    </xf>
    <xf numFmtId="2" fontId="2" fillId="2" borderId="1" xfId="0" applyNumberFormat="1" applyFont="1" applyFill="1" applyBorder="1" applyAlignment="1">
      <alignment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2" fontId="0" fillId="10" borderId="1" xfId="0" applyNumberFormat="1" applyFill="1" applyBorder="1" applyAlignment="1">
      <alignment vertical="center"/>
    </xf>
    <xf numFmtId="0" fontId="3" fillId="10" borderId="1" xfId="0" applyFont="1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164" fontId="3" fillId="10" borderId="1" xfId="0" applyNumberFormat="1" applyFont="1" applyFill="1" applyBorder="1" applyAlignment="1">
      <alignment vertical="center"/>
    </xf>
    <xf numFmtId="49" fontId="0" fillId="10" borderId="5" xfId="0" applyNumberFormat="1" applyFill="1" applyBorder="1" applyAlignment="1">
      <alignment horizontal="center" vertical="center"/>
    </xf>
    <xf numFmtId="0" fontId="15" fillId="10" borderId="1" xfId="0" applyFont="1" applyFill="1" applyBorder="1" applyAlignment="1">
      <alignment vertical="center"/>
    </xf>
    <xf numFmtId="164" fontId="15" fillId="10" borderId="1" xfId="0" applyNumberFormat="1" applyFont="1" applyFill="1" applyBorder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48" xfId="0" applyBorder="1"/>
    <xf numFmtId="0" fontId="0" fillId="0" borderId="31" xfId="0" applyBorder="1"/>
    <xf numFmtId="0" fontId="0" fillId="0" borderId="47" xfId="0" applyBorder="1"/>
    <xf numFmtId="0" fontId="0" fillId="0" borderId="17" xfId="0" applyBorder="1" applyAlignment="1">
      <alignment vertical="center"/>
    </xf>
    <xf numFmtId="0" fontId="0" fillId="0" borderId="4" xfId="0" applyBorder="1"/>
    <xf numFmtId="0" fontId="0" fillId="0" borderId="50" xfId="0" applyFont="1" applyBorder="1" applyAlignment="1">
      <alignment horizontal="center"/>
    </xf>
    <xf numFmtId="0" fontId="0" fillId="0" borderId="35" xfId="0" applyFont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165" fontId="11" fillId="0" borderId="2" xfId="0" applyNumberFormat="1" applyFont="1" applyBorder="1" applyAlignment="1">
      <alignment horizontal="center"/>
    </xf>
    <xf numFmtId="2" fontId="0" fillId="0" borderId="35" xfId="0" applyNumberFormat="1" applyFont="1" applyBorder="1" applyAlignment="1">
      <alignment horizontal="center"/>
    </xf>
    <xf numFmtId="0" fontId="0" fillId="0" borderId="0" xfId="0" applyFont="1" applyAlignment="1">
      <alignment horizontal="left" vertical="center" wrapText="1"/>
    </xf>
    <xf numFmtId="2" fontId="0" fillId="0" borderId="0" xfId="0" applyNumberFormat="1" applyAlignment="1">
      <alignment vertical="center"/>
    </xf>
    <xf numFmtId="2" fontId="3" fillId="0" borderId="0" xfId="0" applyNumberFormat="1" applyFont="1" applyAlignment="1">
      <alignment vertical="center"/>
    </xf>
    <xf numFmtId="2" fontId="5" fillId="0" borderId="0" xfId="0" applyNumberFormat="1" applyFont="1" applyAlignment="1">
      <alignment vertical="center"/>
    </xf>
    <xf numFmtId="166" fontId="0" fillId="0" borderId="0" xfId="0" applyNumberFormat="1" applyAlignment="1">
      <alignment horizontal="right" vertical="center"/>
    </xf>
    <xf numFmtId="166" fontId="0" fillId="0" borderId="0" xfId="0" applyNumberFormat="1" applyAlignment="1">
      <alignment vertical="center"/>
    </xf>
    <xf numFmtId="0" fontId="0" fillId="10" borderId="1" xfId="0" applyFill="1" applyBorder="1" applyAlignment="1">
      <alignment horizontal="center"/>
    </xf>
    <xf numFmtId="164" fontId="0" fillId="10" borderId="1" xfId="0" applyNumberFormat="1" applyFill="1" applyBorder="1"/>
    <xf numFmtId="0" fontId="14" fillId="10" borderId="1" xfId="0" applyFont="1" applyFill="1" applyBorder="1"/>
    <xf numFmtId="0" fontId="0" fillId="10" borderId="1" xfId="0" applyFill="1" applyBorder="1"/>
    <xf numFmtId="164" fontId="14" fillId="10" borderId="1" xfId="0" applyNumberFormat="1" applyFont="1" applyFill="1" applyBorder="1"/>
    <xf numFmtId="1" fontId="0" fillId="10" borderId="1" xfId="0" applyNumberFormat="1" applyFill="1" applyBorder="1"/>
    <xf numFmtId="165" fontId="0" fillId="10" borderId="1" xfId="0" applyNumberFormat="1" applyFill="1" applyBorder="1"/>
    <xf numFmtId="49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wrapText="1"/>
    </xf>
    <xf numFmtId="0" fontId="0" fillId="0" borderId="1" xfId="0" applyFont="1" applyBorder="1" applyAlignment="1">
      <alignment horizontal="left" vertical="center" wrapText="1"/>
    </xf>
    <xf numFmtId="2" fontId="0" fillId="0" borderId="1" xfId="0" applyNumberFormat="1" applyBorder="1" applyAlignment="1">
      <alignment horizontal="right" vertical="center"/>
    </xf>
    <xf numFmtId="165" fontId="0" fillId="10" borderId="1" xfId="0" applyNumberFormat="1" applyFill="1" applyBorder="1" applyAlignment="1">
      <alignment vertical="center"/>
    </xf>
    <xf numFmtId="0" fontId="0" fillId="10" borderId="5" xfId="0" applyFill="1" applyBorder="1" applyAlignment="1">
      <alignment horizontal="left" vertical="center" wrapText="1"/>
    </xf>
    <xf numFmtId="14" fontId="2" fillId="6" borderId="1" xfId="0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10" fillId="0" borderId="0" xfId="21" applyFont="1" applyAlignment="1">
      <alignment vertical="center"/>
      <protection/>
    </xf>
    <xf numFmtId="164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165" fontId="10" fillId="0" borderId="1" xfId="0" applyNumberFormat="1" applyFont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1" fontId="2" fillId="3" borderId="4" xfId="0" applyNumberFormat="1" applyFont="1" applyFill="1" applyBorder="1" applyAlignment="1">
      <alignment vertical="center"/>
    </xf>
    <xf numFmtId="166" fontId="5" fillId="7" borderId="4" xfId="0" applyNumberFormat="1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1" fontId="5" fillId="0" borderId="4" xfId="0" applyNumberFormat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3" fillId="0" borderId="41" xfId="0" applyFont="1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0" fontId="2" fillId="0" borderId="43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3" fillId="0" borderId="44" xfId="0" applyFont="1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5" xfId="0" applyFont="1" applyBorder="1" applyAlignment="1">
      <alignment vertical="center"/>
    </xf>
    <xf numFmtId="2" fontId="0" fillId="0" borderId="4" xfId="0" applyNumberFormat="1" applyBorder="1" applyAlignment="1">
      <alignment vertical="center"/>
    </xf>
    <xf numFmtId="0" fontId="15" fillId="0" borderId="4" xfId="0" applyFont="1" applyBorder="1" applyAlignment="1">
      <alignment vertical="center"/>
    </xf>
    <xf numFmtId="164" fontId="15" fillId="0" borderId="4" xfId="0" applyNumberFormat="1" applyFont="1" applyBorder="1" applyAlignment="1">
      <alignment vertical="center"/>
    </xf>
    <xf numFmtId="2" fontId="5" fillId="2" borderId="4" xfId="0" applyNumberFormat="1" applyFont="1" applyFill="1" applyBorder="1" applyAlignment="1">
      <alignment vertical="center"/>
    </xf>
    <xf numFmtId="166" fontId="0" fillId="0" borderId="4" xfId="0" applyNumberFormat="1" applyBorder="1" applyAlignment="1">
      <alignment vertical="center"/>
    </xf>
    <xf numFmtId="166" fontId="0" fillId="0" borderId="4" xfId="22" applyNumberFormat="1" applyFont="1" applyFill="1" applyBorder="1" applyAlignment="1">
      <alignment vertical="center"/>
    </xf>
    <xf numFmtId="164" fontId="5" fillId="2" borderId="4" xfId="0" applyNumberFormat="1" applyFont="1" applyFill="1" applyBorder="1" applyAlignment="1">
      <alignment vertical="center"/>
    </xf>
    <xf numFmtId="2" fontId="0" fillId="0" borderId="5" xfId="0" applyNumberFormat="1" applyBorder="1" applyAlignment="1">
      <alignment vertical="center"/>
    </xf>
    <xf numFmtId="2" fontId="3" fillId="0" borderId="5" xfId="0" applyNumberFormat="1" applyFont="1" applyBorder="1" applyAlignment="1">
      <alignment vertical="center"/>
    </xf>
    <xf numFmtId="2" fontId="5" fillId="2" borderId="5" xfId="0" applyNumberFormat="1" applyFont="1" applyFill="1" applyBorder="1" applyAlignment="1">
      <alignment vertical="center"/>
    </xf>
    <xf numFmtId="166" fontId="0" fillId="0" borderId="5" xfId="0" applyNumberFormat="1" applyBorder="1" applyAlignment="1">
      <alignment vertical="center"/>
    </xf>
    <xf numFmtId="166" fontId="0" fillId="0" borderId="5" xfId="22" applyNumberFormat="1" applyFont="1" applyFill="1" applyBorder="1" applyAlignment="1">
      <alignment vertical="center"/>
    </xf>
    <xf numFmtId="0" fontId="0" fillId="0" borderId="42" xfId="0" applyFont="1" applyBorder="1" applyAlignment="1">
      <alignment vertical="center"/>
    </xf>
    <xf numFmtId="14" fontId="0" fillId="0" borderId="44" xfId="0" applyNumberForma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0" fillId="10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 wrapText="1"/>
    </xf>
    <xf numFmtId="2" fontId="0" fillId="10" borderId="5" xfId="0" applyNumberFormat="1" applyFill="1" applyBorder="1" applyAlignment="1">
      <alignment vertical="center"/>
    </xf>
    <xf numFmtId="0" fontId="3" fillId="10" borderId="5" xfId="0" applyFont="1" applyFill="1" applyBorder="1" applyAlignment="1">
      <alignment vertical="center"/>
    </xf>
    <xf numFmtId="0" fontId="0" fillId="10" borderId="5" xfId="0" applyFill="1" applyBorder="1" applyAlignment="1">
      <alignment vertical="center"/>
    </xf>
    <xf numFmtId="164" fontId="3" fillId="10" borderId="5" xfId="0" applyNumberFormat="1" applyFont="1" applyFill="1" applyBorder="1" applyAlignment="1">
      <alignment vertical="center"/>
    </xf>
    <xf numFmtId="166" fontId="0" fillId="0" borderId="5" xfId="0" applyNumberFormat="1" applyBorder="1" applyAlignment="1">
      <alignment horizontal="right" vertical="center"/>
    </xf>
    <xf numFmtId="0" fontId="0" fillId="0" borderId="41" xfId="0" applyBorder="1" applyAlignment="1">
      <alignment horizontal="center" vertical="center"/>
    </xf>
    <xf numFmtId="0" fontId="0" fillId="0" borderId="45" xfId="0" applyBorder="1" applyAlignment="1">
      <alignment vertical="center"/>
    </xf>
    <xf numFmtId="0" fontId="15" fillId="10" borderId="5" xfId="0" applyFont="1" applyFill="1" applyBorder="1" applyAlignment="1">
      <alignment vertical="center"/>
    </xf>
    <xf numFmtId="164" fontId="15" fillId="10" borderId="5" xfId="0" applyNumberFormat="1" applyFont="1" applyFill="1" applyBorder="1" applyAlignment="1">
      <alignment vertical="center"/>
    </xf>
    <xf numFmtId="164" fontId="5" fillId="2" borderId="5" xfId="0" applyNumberFormat="1" applyFont="1" applyFill="1" applyBorder="1" applyAlignment="1">
      <alignment vertical="center"/>
    </xf>
    <xf numFmtId="165" fontId="0" fillId="0" borderId="5" xfId="0" applyNumberFormat="1" applyBorder="1" applyAlignment="1">
      <alignment vertical="center"/>
    </xf>
    <xf numFmtId="0" fontId="15" fillId="0" borderId="5" xfId="0" applyFont="1" applyBorder="1" applyAlignment="1">
      <alignment vertical="center"/>
    </xf>
    <xf numFmtId="164" fontId="15" fillId="0" borderId="5" xfId="0" applyNumberFormat="1" applyFont="1" applyBorder="1" applyAlignment="1">
      <alignment vertical="center"/>
    </xf>
    <xf numFmtId="0" fontId="2" fillId="0" borderId="51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0" fillId="0" borderId="54" xfId="0" applyBorder="1" applyAlignment="1">
      <alignment horizontal="left" vertical="center"/>
    </xf>
    <xf numFmtId="0" fontId="0" fillId="0" borderId="55" xfId="0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49" fontId="0" fillId="0" borderId="4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16" fontId="0" fillId="0" borderId="4" xfId="0" applyNumberFormat="1" applyBorder="1" applyAlignment="1">
      <alignment horizontal="center" vertical="center"/>
    </xf>
    <xf numFmtId="0" fontId="0" fillId="0" borderId="4" xfId="0" applyFont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49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4" xfId="0" applyFill="1" applyBorder="1" applyAlignment="1">
      <alignment horizontal="left" vertical="center" wrapText="1"/>
    </xf>
    <xf numFmtId="0" fontId="0" fillId="10" borderId="24" xfId="0" applyFill="1" applyBorder="1" applyAlignment="1">
      <alignment horizontal="left" vertical="center" wrapText="1"/>
    </xf>
    <xf numFmtId="0" fontId="0" fillId="10" borderId="5" xfId="0" applyFill="1" applyBorder="1" applyAlignment="1">
      <alignment horizontal="left" vertical="center" wrapText="1"/>
    </xf>
    <xf numFmtId="0" fontId="2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0" fillId="0" borderId="44" xfId="0" applyBorder="1" applyAlignment="1">
      <alignment horizontal="left" vertical="center"/>
    </xf>
    <xf numFmtId="0" fontId="2" fillId="0" borderId="40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 wrapText="1"/>
    </xf>
    <xf numFmtId="0" fontId="2" fillId="0" borderId="44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16" fontId="0" fillId="0" borderId="1" xfId="0" applyNumberFormat="1" applyBorder="1" applyAlignment="1">
      <alignment horizontal="center" vertical="center"/>
    </xf>
    <xf numFmtId="0" fontId="0" fillId="0" borderId="4" xfId="0" applyFont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0" fontId="2" fillId="0" borderId="60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28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10" borderId="10" xfId="0" applyFill="1" applyBorder="1" applyAlignment="1">
      <alignment horizontal="center" vertical="center"/>
    </xf>
    <xf numFmtId="0" fontId="0" fillId="10" borderId="25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23" xfId="0" applyFill="1" applyBorder="1" applyAlignment="1">
      <alignment horizontal="left" vertical="center" wrapText="1"/>
    </xf>
    <xf numFmtId="0" fontId="0" fillId="10" borderId="12" xfId="0" applyFill="1" applyBorder="1" applyAlignment="1">
      <alignment horizontal="left" vertical="center" wrapText="1"/>
    </xf>
    <xf numFmtId="0" fontId="0" fillId="0" borderId="61" xfId="0" applyFont="1" applyBorder="1" applyAlignment="1">
      <alignment horizontal="center" vertical="center"/>
    </xf>
    <xf numFmtId="0" fontId="0" fillId="0" borderId="62" xfId="0" applyFont="1" applyBorder="1" applyAlignment="1">
      <alignment horizontal="center" vertical="center"/>
    </xf>
    <xf numFmtId="0" fontId="0" fillId="0" borderId="63" xfId="0" applyFont="1" applyBorder="1" applyAlignment="1">
      <alignment horizontal="center" vertical="center"/>
    </xf>
    <xf numFmtId="0" fontId="0" fillId="0" borderId="6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65" xfId="0" applyFont="1" applyBorder="1" applyAlignment="1">
      <alignment horizontal="center" vertical="center"/>
    </xf>
    <xf numFmtId="0" fontId="0" fillId="0" borderId="66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62" xfId="0" applyFont="1" applyBorder="1" applyAlignment="1">
      <alignment horizontal="center" vertical="center"/>
    </xf>
    <xf numFmtId="0" fontId="0" fillId="0" borderId="63" xfId="0" applyFont="1" applyBorder="1" applyAlignment="1">
      <alignment horizontal="center" vertical="center"/>
    </xf>
    <xf numFmtId="0" fontId="0" fillId="0" borderId="65" xfId="0" applyFont="1" applyBorder="1" applyAlignment="1">
      <alignment horizontal="center" vertical="center"/>
    </xf>
    <xf numFmtId="0" fontId="0" fillId="0" borderId="66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 vertical="center"/>
    </xf>
    <xf numFmtId="0" fontId="10" fillId="0" borderId="48" xfId="0" applyFont="1" applyBorder="1" applyAlignment="1">
      <alignment horizontal="center" vertical="center"/>
    </xf>
    <xf numFmtId="0" fontId="10" fillId="0" borderId="62" xfId="0" applyFont="1" applyBorder="1" applyAlignment="1">
      <alignment horizontal="center" vertical="center"/>
    </xf>
    <xf numFmtId="0" fontId="10" fillId="0" borderId="68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10" fillId="0" borderId="70" xfId="0" applyFont="1" applyBorder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2" fontId="0" fillId="0" borderId="62" xfId="0" applyNumberFormat="1" applyBorder="1" applyAlignment="1">
      <alignment horizontal="center" vertical="center"/>
    </xf>
    <xf numFmtId="2" fontId="0" fillId="0" borderId="63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2" fontId="0" fillId="0" borderId="6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49" fontId="0" fillId="0" borderId="37" xfId="0" applyNumberFormat="1" applyBorder="1" applyAlignment="1">
      <alignment horizontal="center" vertical="center"/>
    </xf>
    <xf numFmtId="49" fontId="0" fillId="0" borderId="38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49" fontId="0" fillId="5" borderId="37" xfId="0" applyNumberFormat="1" applyFill="1" applyBorder="1" applyAlignment="1">
      <alignment horizontal="center" vertical="center"/>
    </xf>
    <xf numFmtId="49" fontId="0" fillId="5" borderId="71" xfId="0" applyNumberFormat="1" applyFill="1" applyBorder="1" applyAlignment="1">
      <alignment horizontal="center" vertical="center"/>
    </xf>
    <xf numFmtId="49" fontId="0" fillId="5" borderId="38" xfId="0" applyNumberFormat="1" applyFill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72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3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49" fontId="0" fillId="5" borderId="10" xfId="0" applyNumberFormat="1" applyFill="1" applyBorder="1" applyAlignment="1">
      <alignment horizontal="center" vertical="center"/>
    </xf>
    <xf numFmtId="49" fontId="0" fillId="5" borderId="25" xfId="0" applyNumberFormat="1" applyFill="1" applyBorder="1" applyAlignment="1">
      <alignment horizontal="center" vertical="center"/>
    </xf>
    <xf numFmtId="49" fontId="0" fillId="5" borderId="11" xfId="0" applyNumberFormat="1" applyFill="1" applyBorder="1" applyAlignment="1">
      <alignment horizontal="center" vertical="center"/>
    </xf>
    <xf numFmtId="49" fontId="0" fillId="0" borderId="71" xfId="0" applyNumberFormat="1" applyBorder="1" applyAlignment="1">
      <alignment horizontal="center" vertical="center"/>
    </xf>
    <xf numFmtId="49" fontId="0" fillId="0" borderId="73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5" borderId="73" xfId="0" applyNumberForma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5" borderId="9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 wrapText="1"/>
    </xf>
    <xf numFmtId="0" fontId="0" fillId="0" borderId="23" xfId="0" applyFont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74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9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21" xfId="0" applyFont="1" applyFill="1" applyBorder="1" applyAlignment="1">
      <alignment horizontal="left" vertical="center" wrapText="1"/>
    </xf>
    <xf numFmtId="0" fontId="0" fillId="0" borderId="35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10" fillId="0" borderId="9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0" fillId="6" borderId="32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0" fillId="0" borderId="24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81" xfId="0" applyBorder="1" applyAlignment="1">
      <alignment horizontal="center" vertical="center"/>
    </xf>
    <xf numFmtId="0" fontId="10" fillId="0" borderId="23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49" fontId="0" fillId="6" borderId="37" xfId="0" applyNumberFormat="1" applyFill="1" applyBorder="1" applyAlignment="1">
      <alignment horizontal="center" vertical="center"/>
    </xf>
    <xf numFmtId="49" fontId="0" fillId="6" borderId="73" xfId="0" applyNumberFormat="1" applyFill="1" applyBorder="1" applyAlignment="1">
      <alignment horizontal="center" vertical="center"/>
    </xf>
    <xf numFmtId="49" fontId="0" fillId="6" borderId="25" xfId="0" applyNumberFormat="1" applyFill="1" applyBorder="1" applyAlignment="1">
      <alignment horizontal="center" vertical="center"/>
    </xf>
    <xf numFmtId="49" fontId="0" fillId="6" borderId="38" xfId="0" applyNumberFormat="1" applyFill="1" applyBorder="1" applyAlignment="1">
      <alignment horizontal="center" vertical="center"/>
    </xf>
    <xf numFmtId="0" fontId="0" fillId="0" borderId="9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left" vertical="center" wrapText="1"/>
    </xf>
    <xf numFmtId="0" fontId="0" fillId="5" borderId="37" xfId="0" applyFill="1" applyBorder="1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5" borderId="9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5" borderId="7" xfId="0" applyFill="1" applyBorder="1" applyAlignment="1">
      <alignment horizontal="left" vertical="center" wrapText="1"/>
    </xf>
    <xf numFmtId="0" fontId="0" fillId="0" borderId="6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2" fillId="0" borderId="35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78" xfId="0" applyFont="1" applyBorder="1" applyAlignment="1">
      <alignment horizontal="center" vertical="center"/>
    </xf>
    <xf numFmtId="49" fontId="0" fillId="4" borderId="10" xfId="0" applyNumberFormat="1" applyFill="1" applyBorder="1" applyAlignment="1">
      <alignment horizontal="center" vertical="center"/>
    </xf>
    <xf numFmtId="49" fontId="0" fillId="4" borderId="25" xfId="0" applyNumberFormat="1" applyFill="1" applyBorder="1" applyAlignment="1">
      <alignment horizontal="center" vertical="center"/>
    </xf>
    <xf numFmtId="49" fontId="0" fillId="4" borderId="11" xfId="0" applyNumberFormat="1" applyFill="1" applyBorder="1" applyAlignment="1">
      <alignment horizontal="center" vertical="center"/>
    </xf>
    <xf numFmtId="0" fontId="0" fillId="4" borderId="23" xfId="0" applyFill="1" applyBorder="1" applyAlignment="1">
      <alignment horizontal="left" vertical="center" wrapText="1"/>
    </xf>
    <xf numFmtId="0" fontId="0" fillId="4" borderId="24" xfId="0" applyFill="1" applyBorder="1" applyAlignment="1">
      <alignment horizontal="left" vertical="center" wrapText="1"/>
    </xf>
    <xf numFmtId="0" fontId="0" fillId="4" borderId="12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64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10" fillId="0" borderId="4" xfId="0" applyFont="1" applyBorder="1" applyAlignment="1">
      <alignment horizontal="left" vertical="center" wrapText="1"/>
    </xf>
    <xf numFmtId="0" fontId="0" fillId="4" borderId="23" xfId="0" applyFill="1" applyBorder="1" applyAlignment="1">
      <alignment horizontal="left" vertical="center"/>
    </xf>
    <xf numFmtId="0" fontId="0" fillId="4" borderId="24" xfId="0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  <xf numFmtId="49" fontId="0" fillId="4" borderId="37" xfId="0" applyNumberFormat="1" applyFill="1" applyBorder="1" applyAlignment="1">
      <alignment horizontal="center" vertical="center"/>
    </xf>
    <xf numFmtId="49" fontId="0" fillId="4" borderId="71" xfId="0" applyNumberFormat="1" applyFill="1" applyBorder="1" applyAlignment="1">
      <alignment horizontal="center" vertical="center"/>
    </xf>
    <xf numFmtId="49" fontId="0" fillId="4" borderId="38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7" xfId="0" applyFill="1" applyBorder="1" applyAlignment="1">
      <alignment horizontal="left" vertical="center" wrapText="1"/>
    </xf>
    <xf numFmtId="49" fontId="0" fillId="5" borderId="4" xfId="0" applyNumberFormat="1" applyFill="1" applyBorder="1" applyAlignment="1">
      <alignment horizontal="center" vertical="center"/>
    </xf>
    <xf numFmtId="49" fontId="0" fillId="5" borderId="2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 wrapText="1"/>
    </xf>
    <xf numFmtId="0" fontId="0" fillId="5" borderId="24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4" xfId="0" applyFont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49" fontId="18" fillId="0" borderId="1" xfId="0" applyNumberFormat="1" applyFont="1" applyFill="1" applyBorder="1" applyAlignment="1" applyProtection="1">
      <alignment horizontal="center" vertical="center"/>
      <protection/>
    </xf>
    <xf numFmtId="0" fontId="18" fillId="0" borderId="1" xfId="0" applyNumberFormat="1" applyFont="1" applyFill="1" applyBorder="1" applyAlignment="1" applyProtection="1">
      <alignment horizontal="left" vertical="center" wrapText="1"/>
      <protection/>
    </xf>
    <xf numFmtId="0" fontId="18" fillId="0" borderId="1" xfId="0" applyNumberFormat="1" applyFont="1" applyFill="1" applyBorder="1" applyAlignment="1" applyProtection="1">
      <alignment horizontal="center" vertical="center"/>
      <protection/>
    </xf>
    <xf numFmtId="2" fontId="18" fillId="0" borderId="1" xfId="0" applyNumberFormat="1" applyFont="1" applyFill="1" applyBorder="1" applyAlignment="1" applyProtection="1">
      <alignment horizontal="right" vertical="center"/>
      <protection/>
    </xf>
    <xf numFmtId="0" fontId="20" fillId="0" borderId="1" xfId="0" applyNumberFormat="1" applyFont="1" applyFill="1" applyBorder="1" applyAlignment="1" applyProtection="1">
      <alignment horizontal="right" vertical="center"/>
      <protection/>
    </xf>
    <xf numFmtId="0" fontId="18" fillId="0" borderId="1" xfId="0" applyNumberFormat="1" applyFont="1" applyFill="1" applyBorder="1" applyAlignment="1" applyProtection="1">
      <alignment horizontal="right" vertical="center"/>
      <protection/>
    </xf>
    <xf numFmtId="2" fontId="20" fillId="0" borderId="1" xfId="0" applyNumberFormat="1" applyFont="1" applyFill="1" applyBorder="1" applyAlignment="1" applyProtection="1">
      <alignment horizontal="right" vertical="center"/>
      <protection/>
    </xf>
    <xf numFmtId="2" fontId="19" fillId="2" borderId="1" xfId="0" applyNumberFormat="1" applyFont="1" applyFill="1" applyBorder="1" applyAlignment="1" applyProtection="1">
      <alignment horizontal="right" vertical="center"/>
      <protection/>
    </xf>
    <xf numFmtId="166" fontId="18" fillId="0" borderId="1" xfId="0" applyNumberFormat="1" applyFont="1" applyFill="1" applyBorder="1" applyAlignment="1" applyProtection="1">
      <alignment horizontal="right" vertical="center"/>
      <protection/>
    </xf>
    <xf numFmtId="0" fontId="18" fillId="0" borderId="0" xfId="0" applyNumberFormat="1" applyFont="1" applyFill="1" applyBorder="1" applyAlignment="1" applyProtection="1">
      <alignment vertical="center"/>
      <protection/>
    </xf>
  </cellXfs>
  <cellStyles count="10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Excel Built-in Normal" xfId="20"/>
    <cellStyle name="Обычный 2" xfId="21"/>
    <cellStyle name="Денежный" xfId="22" builtinId="4"/>
    <cellStyle name="Процентный" xfId="23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9" Type="http://schemas.openxmlformats.org/officeDocument/2006/relationships/worksheet" Target="worksheets/sheet17.xml" /><Relationship Id="rId13" Type="http://schemas.openxmlformats.org/officeDocument/2006/relationships/worksheet" Target="worksheets/sheet11.xml" /><Relationship Id="rId1" Type="http://schemas.openxmlformats.org/officeDocument/2006/relationships/theme" Target="theme/theme1.xml" /><Relationship Id="rId15" Type="http://schemas.openxmlformats.org/officeDocument/2006/relationships/worksheet" Target="worksheets/sheet13.xml" /><Relationship Id="rId17" Type="http://schemas.openxmlformats.org/officeDocument/2006/relationships/worksheet" Target="worksheets/sheet15.xml" /><Relationship Id="rId14" Type="http://schemas.openxmlformats.org/officeDocument/2006/relationships/worksheet" Target="worksheets/sheet12.xml" /><Relationship Id="rId23" Type="http://schemas.openxmlformats.org/officeDocument/2006/relationships/sharedStrings" Target="sharedStrings.xml" /><Relationship Id="rId9" Type="http://schemas.openxmlformats.org/officeDocument/2006/relationships/worksheet" Target="worksheets/sheet7.xml" /><Relationship Id="rId11" Type="http://schemas.openxmlformats.org/officeDocument/2006/relationships/worksheet" Target="worksheets/sheet9.xml" /><Relationship Id="rId2" Type="http://schemas.openxmlformats.org/officeDocument/2006/relationships/styles" Target="styles.xml" /><Relationship Id="rId16" Type="http://schemas.openxmlformats.org/officeDocument/2006/relationships/worksheet" Target="worksheets/sheet14.xml" /><Relationship Id="rId5" Type="http://schemas.openxmlformats.org/officeDocument/2006/relationships/worksheet" Target="worksheets/sheet3.xml" /><Relationship Id="rId12" Type="http://schemas.openxmlformats.org/officeDocument/2006/relationships/worksheet" Target="worksheets/sheet10.xml" /><Relationship Id="rId8" Type="http://schemas.openxmlformats.org/officeDocument/2006/relationships/worksheet" Target="worksheets/sheet6.xml" /><Relationship Id="rId20" Type="http://schemas.openxmlformats.org/officeDocument/2006/relationships/worksheet" Target="worksheets/sheet18.xml" /><Relationship Id="rId18" Type="http://schemas.openxmlformats.org/officeDocument/2006/relationships/worksheet" Target="worksheets/sheet16.xml" /><Relationship Id="rId10" Type="http://schemas.openxmlformats.org/officeDocument/2006/relationships/worksheet" Target="worksheets/sheet8.xml" /><Relationship Id="rId7" Type="http://schemas.openxmlformats.org/officeDocument/2006/relationships/worksheet" Target="worksheets/sheet5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6" Type="http://schemas.openxmlformats.org/officeDocument/2006/relationships/worksheet" Target="worksheets/sheet4.xml" /><Relationship Id="rId24" Type="http://schemas.openxmlformats.org/officeDocument/2006/relationships/calcChain" Target="calcChain.xml" /><Relationship Id="rId22" Type="http://schemas.openxmlformats.org/officeDocument/2006/relationships/worksheet" Target="worksheets/sheet20.xml" /><Relationship Id="rId21" Type="http://schemas.openxmlformats.org/officeDocument/2006/relationships/worksheet" Target="worksheets/sheet19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18.xml.rels><?xml version="1.0" encoding="UTF-8" standalone="yes"?><Relationships xmlns="http://schemas.openxmlformats.org/package/2006/relationships"><Relationship Id="rId1" Type="http://schemas.openxmlformats.org/officeDocument/2006/relationships/comments" Target="../comments18.xml" /><Relationship Id="rId3" Type="http://schemas.openxmlformats.org/officeDocument/2006/relationships/printerSettings" Target="../printerSettings/printerSettings6.bin" /><Relationship Id="rId2" Type="http://schemas.openxmlformats.org/officeDocument/2006/relationships/vmlDrawing" Target="../drawings/vmlDrawing1.vml" /></Relationships>
</file>

<file path=xl/worksheets/_rels/sheet19.xml.rels><?xml version="1.0" encoding="UTF-8" standalone="yes"?><Relationships xmlns="http://schemas.openxmlformats.org/package/2006/relationships"><Relationship Id="rId1" Type="http://schemas.openxmlformats.org/officeDocument/2006/relationships/comments" Target="../comments19.xml" /><Relationship Id="rId3" Type="http://schemas.openxmlformats.org/officeDocument/2006/relationships/printerSettings" Target="../printerSettings/printerSettings7.bin" /><Relationship Id="rId2" Type="http://schemas.openxmlformats.org/officeDocument/2006/relationships/vmlDrawing" Target="../drawings/vmlDrawing2.vml" /></Relationships>
</file>

<file path=xl/worksheets/_rels/sheet20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8.bin" 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89"/>
  <sheetViews>
    <sheetView zoomScale="85" zoomScaleNormal="85" workbookViewId="0" topLeftCell="A1">
      <pane ySplit="4" topLeftCell="A171" activePane="bottomLeft" state="frozen"/>
      <selection pane="topLeft" activeCell="A1" sqref="A1"/>
      <selection pane="bottomLeft" activeCell="A186" sqref="A186:XFD187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5.285714285714285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44496</v>
      </c>
    </row>
    <row r="2" spans="2:9" ht="31.5">
      <c r="B2" s="492" t="s">
        <v>904</v>
      </c>
      <c r="F2" s="429" t="s">
        <v>22</v>
      </c>
      <c r="G2" s="268">
        <f>560/1000</f>
        <v>0.56000000000000005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SUM(M6:M16)</f>
        <v>312.63466666666676</v>
      </c>
      <c r="N5" s="263"/>
      <c r="O5" s="264">
        <f>SUM(O6:O16)</f>
        <v>1.7763333333333335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6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8</v>
      </c>
      <c r="L6" s="465">
        <f t="shared" si="1" ref="L6:L16">J6*K6</f>
        <v>0.156</v>
      </c>
      <c r="M6" s="466">
        <f t="shared" si="2" ref="M6:M16">L6*N6</f>
        <v>27.456</v>
      </c>
      <c r="N6" s="466">
        <v>176</v>
      </c>
      <c r="O6" s="456">
        <f t="shared" si="3" ref="O6:O16">J6/I6*K6</f>
        <v>0.156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200</v>
      </c>
      <c r="H8" s="462">
        <v>10</v>
      </c>
      <c r="I8" s="463">
        <v>1</v>
      </c>
      <c r="J8" s="464">
        <f>3/60</f>
        <v>0.05</v>
      </c>
      <c r="K8" s="461">
        <v>2</v>
      </c>
      <c r="L8" s="465">
        <f t="shared" si="1"/>
        <v>0.10000000000000001</v>
      </c>
      <c r="M8" s="466">
        <f t="shared" si="2"/>
        <v>17.60</v>
      </c>
      <c r="N8" s="466">
        <v>176</v>
      </c>
      <c r="O8" s="456">
        <f t="shared" si="3"/>
        <v>0.10000000000000001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9</v>
      </c>
      <c r="L9" s="465">
        <f t="shared" si="1"/>
        <v>0.1545</v>
      </c>
      <c r="M9" s="466">
        <f t="shared" si="2"/>
        <v>27.192</v>
      </c>
      <c r="N9" s="466">
        <v>176</v>
      </c>
      <c r="O9" s="456">
        <f t="shared" si="3"/>
        <v>0.1545</v>
      </c>
    </row>
    <row r="10" spans="1:15" s="457" customFormat="1" ht="15">
      <c r="A10" s="459" t="s">
        <v>839</v>
      </c>
      <c r="B10" s="494" t="s">
        <v>853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29.239766081871348</v>
      </c>
      <c r="H10" s="462">
        <v>10</v>
      </c>
      <c r="I10" s="463">
        <v>1</v>
      </c>
      <c r="J10" s="464">
        <f>20.52/60</f>
        <v>0.34199999999999997</v>
      </c>
      <c r="K10" s="461">
        <v>1</v>
      </c>
      <c r="L10" s="465">
        <f t="shared" si="1"/>
        <v>0.34199999999999997</v>
      </c>
      <c r="M10" s="466">
        <f t="shared" si="2"/>
        <v>60.191999999999993</v>
      </c>
      <c r="N10" s="466">
        <v>176</v>
      </c>
      <c r="O10" s="456">
        <f t="shared" si="3"/>
        <v>0.34199999999999997</v>
      </c>
    </row>
    <row r="11" spans="1:15" s="457" customFormat="1" ht="15">
      <c r="A11" s="459" t="s">
        <v>840</v>
      </c>
      <c r="B11" s="494" t="s">
        <v>857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322.58064516129036</v>
      </c>
      <c r="H11" s="462">
        <v>10</v>
      </c>
      <c r="I11" s="463">
        <v>1</v>
      </c>
      <c r="J11" s="464">
        <f>1.86/60</f>
        <v>0.030999999999999996</v>
      </c>
      <c r="K11" s="461">
        <v>1</v>
      </c>
      <c r="L11" s="465">
        <f t="shared" si="1"/>
        <v>0.030999999999999996</v>
      </c>
      <c r="M11" s="466">
        <f t="shared" si="2"/>
        <v>5.4559999999999995</v>
      </c>
      <c r="N11" s="466">
        <v>176</v>
      </c>
      <c r="O11" s="456">
        <f t="shared" si="3"/>
        <v>0.030999999999999996</v>
      </c>
    </row>
    <row r="12" spans="1:15" s="457" customFormat="1" ht="15">
      <c r="A12" s="459" t="s">
        <v>841</v>
      </c>
      <c r="B12" s="494" t="s">
        <v>856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257.51072961373387</v>
      </c>
      <c r="H12" s="462">
        <v>10</v>
      </c>
      <c r="I12" s="463">
        <v>1</v>
      </c>
      <c r="J12" s="464">
        <f>2.33/60</f>
        <v>0.038833333333333338</v>
      </c>
      <c r="K12" s="461">
        <v>18</v>
      </c>
      <c r="L12" s="465">
        <f t="shared" si="1"/>
        <v>0.69900000000000007</v>
      </c>
      <c r="M12" s="466">
        <f t="shared" si="2"/>
        <v>123.02400000000002</v>
      </c>
      <c r="N12" s="466">
        <v>176</v>
      </c>
      <c r="O12" s="456">
        <f t="shared" si="3"/>
        <v>0.69900000000000007</v>
      </c>
    </row>
    <row r="13" spans="1:15" s="457" customFormat="1" ht="15">
      <c r="A13" s="459" t="s">
        <v>842</v>
      </c>
      <c r="B13" s="494" t="s">
        <v>860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263.15789473684208</v>
      </c>
      <c r="H13" s="462">
        <v>10</v>
      </c>
      <c r="I13" s="463">
        <v>1</v>
      </c>
      <c r="J13" s="464">
        <f>2.28/60</f>
        <v>0.038000000000000006</v>
      </c>
      <c r="K13" s="461">
        <v>3</v>
      </c>
      <c r="L13" s="465">
        <f t="shared" si="1"/>
        <v>0.11400000000000002</v>
      </c>
      <c r="M13" s="466">
        <f t="shared" si="2"/>
        <v>20.064000000000004</v>
      </c>
      <c r="N13" s="466">
        <v>176</v>
      </c>
      <c r="O13" s="456">
        <f t="shared" si="3"/>
        <v>0.11400000000000002</v>
      </c>
    </row>
    <row r="14" spans="1:15" s="457" customFormat="1" ht="15">
      <c r="A14" s="459" t="s">
        <v>843</v>
      </c>
      <c r="B14" s="494" t="s">
        <v>854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631.57894736842115</v>
      </c>
      <c r="H14" s="462">
        <v>10</v>
      </c>
      <c r="I14" s="463">
        <v>1</v>
      </c>
      <c r="J14" s="464">
        <f>0.95/60</f>
        <v>0.015833333333333331</v>
      </c>
      <c r="K14" s="461">
        <v>1</v>
      </c>
      <c r="L14" s="465">
        <f t="shared" si="1"/>
        <v>0.015833333333333331</v>
      </c>
      <c r="M14" s="466">
        <f t="shared" si="2"/>
        <v>2.7866666666666662</v>
      </c>
      <c r="N14" s="466">
        <v>176</v>
      </c>
      <c r="O14" s="456">
        <f t="shared" si="3"/>
        <v>0.015833333333333331</v>
      </c>
    </row>
    <row r="15" spans="1:15" s="457" customFormat="1" ht="15">
      <c r="A15" s="459" t="s">
        <v>844</v>
      </c>
      <c r="B15" s="494" t="s">
        <v>855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454.5454545454545</v>
      </c>
      <c r="H15" s="462">
        <v>10</v>
      </c>
      <c r="I15" s="463">
        <v>1</v>
      </c>
      <c r="J15" s="464">
        <f>1.32/60</f>
        <v>0.022000000000000002</v>
      </c>
      <c r="K15" s="461">
        <v>4</v>
      </c>
      <c r="L15" s="465">
        <f t="shared" si="1"/>
        <v>0.088000000000000009</v>
      </c>
      <c r="M15" s="466">
        <f t="shared" si="2"/>
        <v>15.488000000000001</v>
      </c>
      <c r="N15" s="466">
        <v>176</v>
      </c>
      <c r="O15" s="456">
        <f t="shared" si="3"/>
        <v>0.088000000000000009</v>
      </c>
    </row>
    <row r="16" spans="1:15" s="457" customFormat="1" ht="15">
      <c r="A16" s="459" t="s">
        <v>845</v>
      </c>
      <c r="B16" s="494" t="s">
        <v>861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857.14285714285722</v>
      </c>
      <c r="H16" s="462">
        <v>10</v>
      </c>
      <c r="I16" s="463">
        <v>1</v>
      </c>
      <c r="J16" s="464">
        <f>0.7/60</f>
        <v>0.011666666666666665</v>
      </c>
      <c r="K16" s="461">
        <v>2</v>
      </c>
      <c r="L16" s="465">
        <f t="shared" si="1"/>
        <v>0.023333333333333331</v>
      </c>
      <c r="M16" s="466">
        <f t="shared" si="2"/>
        <v>4.1066666666666665</v>
      </c>
      <c r="N16" s="466">
        <v>176</v>
      </c>
      <c r="O16" s="456">
        <f t="shared" si="3"/>
        <v>0.023333333333333331</v>
      </c>
    </row>
    <row r="17" spans="1:15" ht="15">
      <c r="A17" s="39"/>
      <c r="B17" s="649" t="s">
        <v>130</v>
      </c>
      <c r="C17" s="649"/>
      <c r="D17" s="649"/>
      <c r="E17" s="649"/>
      <c r="F17" s="649"/>
      <c r="G17" s="649"/>
      <c r="H17" s="649"/>
      <c r="I17" s="649"/>
      <c r="J17" s="649"/>
      <c r="K17" s="649"/>
      <c r="L17" s="265"/>
      <c r="M17" s="262">
        <f>SUM(M18:M35)</f>
        <v>2731.0929266782223</v>
      </c>
      <c r="N17" s="430"/>
      <c r="O17" s="264">
        <f>SUM(O18:O35)</f>
        <v>11.628725900216883</v>
      </c>
    </row>
    <row r="18" spans="1:15" ht="30">
      <c r="A18" s="57" t="s">
        <v>601</v>
      </c>
      <c r="B18" s="56" t="s">
        <v>886</v>
      </c>
      <c r="C18" s="13" t="s">
        <v>885</v>
      </c>
      <c r="D18" s="13">
        <v>102</v>
      </c>
      <c r="E18" s="13"/>
      <c r="F18" s="13" t="s">
        <v>353</v>
      </c>
      <c r="G18" s="442">
        <v>10</v>
      </c>
      <c r="H18" s="437">
        <v>10</v>
      </c>
      <c r="I18" s="28">
        <v>1</v>
      </c>
      <c r="J18" s="438">
        <f t="shared" si="4" ref="J18">H18/G18*I18</f>
        <v>1</v>
      </c>
      <c r="K18" s="436">
        <v>1</v>
      </c>
      <c r="L18" s="267">
        <f t="shared" si="5" ref="L18">J18*K18</f>
        <v>1</v>
      </c>
      <c r="M18" s="433">
        <f t="shared" si="6" ref="M18">L18*N18</f>
        <v>200</v>
      </c>
      <c r="N18" s="434">
        <v>200</v>
      </c>
      <c r="O18" s="435">
        <f t="shared" si="7" ref="O18">J18/I18*K18</f>
        <v>1</v>
      </c>
    </row>
    <row r="19" spans="1:15" ht="15">
      <c r="A19" s="57" t="s">
        <v>152</v>
      </c>
      <c r="B19" s="56" t="s">
        <v>153</v>
      </c>
      <c r="C19" s="13" t="s">
        <v>154</v>
      </c>
      <c r="D19" s="13">
        <v>124</v>
      </c>
      <c r="E19" s="13"/>
      <c r="F19" s="13" t="s">
        <v>354</v>
      </c>
      <c r="G19" s="442">
        <v>19.20</v>
      </c>
      <c r="H19" s="440">
        <v>10</v>
      </c>
      <c r="I19" s="28">
        <v>1</v>
      </c>
      <c r="J19" s="441">
        <f t="shared" si="8" ref="J19:J35">H19/G19*I19</f>
        <v>0.52083333333333337</v>
      </c>
      <c r="K19" s="432">
        <v>1</v>
      </c>
      <c r="L19" s="267">
        <f t="shared" si="9" ref="L19:L35">J19*K19</f>
        <v>0.52083333333333337</v>
      </c>
      <c r="M19" s="433">
        <f t="shared" si="10" ref="M19:M35">L19*N19</f>
        <v>104.16666666666667</v>
      </c>
      <c r="N19" s="434">
        <v>200</v>
      </c>
      <c r="O19" s="435">
        <f t="shared" si="11" ref="O19:O35">J19/I19*K19</f>
        <v>0.52083333333333337</v>
      </c>
    </row>
    <row r="20" spans="1:15" ht="30">
      <c r="A20" s="57" t="s">
        <v>155</v>
      </c>
      <c r="B20" s="56" t="s">
        <v>156</v>
      </c>
      <c r="C20" s="13" t="s">
        <v>157</v>
      </c>
      <c r="D20" s="13" t="s">
        <v>1329</v>
      </c>
      <c r="E20" s="13"/>
      <c r="F20" s="13" t="s">
        <v>354</v>
      </c>
      <c r="G20" s="442">
        <v>3.33</v>
      </c>
      <c r="H20" s="440">
        <v>10</v>
      </c>
      <c r="I20" s="28">
        <v>1</v>
      </c>
      <c r="J20" s="441">
        <f t="shared" si="8"/>
        <v>3.0030030030030028</v>
      </c>
      <c r="K20" s="432">
        <v>1</v>
      </c>
      <c r="L20" s="267">
        <f t="shared" si="9"/>
        <v>3.0030030030030028</v>
      </c>
      <c r="M20" s="433">
        <f t="shared" si="10"/>
        <v>600.60060060060061</v>
      </c>
      <c r="N20" s="434">
        <v>200</v>
      </c>
      <c r="O20" s="435">
        <f t="shared" si="11"/>
        <v>3.0030030030030028</v>
      </c>
    </row>
    <row r="21" spans="1:15" ht="30">
      <c r="A21" s="57" t="s">
        <v>158</v>
      </c>
      <c r="B21" s="56" t="s">
        <v>159</v>
      </c>
      <c r="C21" s="13" t="s">
        <v>160</v>
      </c>
      <c r="D21" s="13" t="s">
        <v>1331</v>
      </c>
      <c r="E21" s="13" t="s">
        <v>161</v>
      </c>
      <c r="F21" s="13" t="s">
        <v>10</v>
      </c>
      <c r="G21" s="439">
        <v>15.40</v>
      </c>
      <c r="H21" s="440">
        <v>10</v>
      </c>
      <c r="I21" s="28">
        <v>1</v>
      </c>
      <c r="J21" s="441">
        <f t="shared" si="8"/>
        <v>0.64935064935064934</v>
      </c>
      <c r="K21" s="436">
        <f>(61/1000)*3.1415*4</f>
        <v>0.76652600000000004</v>
      </c>
      <c r="L21" s="435">
        <f t="shared" si="9"/>
        <v>0.49774415584415588</v>
      </c>
      <c r="M21" s="266">
        <f t="shared" si="10"/>
        <v>99.548831168831171</v>
      </c>
      <c r="N21" s="433">
        <v>200</v>
      </c>
      <c r="O21" s="435">
        <f t="shared" si="11"/>
        <v>0.49774415584415588</v>
      </c>
    </row>
    <row r="22" spans="1:15" ht="15">
      <c r="A22" s="57" t="s">
        <v>427</v>
      </c>
      <c r="B22" s="56" t="s">
        <v>428</v>
      </c>
      <c r="C22" s="13" t="s">
        <v>24</v>
      </c>
      <c r="D22" s="13">
        <v>110</v>
      </c>
      <c r="E22" s="13"/>
      <c r="F22" s="4" t="s">
        <v>38</v>
      </c>
      <c r="G22" s="442">
        <v>19.34</v>
      </c>
      <c r="H22" s="440">
        <v>10</v>
      </c>
      <c r="I22" s="28">
        <v>2</v>
      </c>
      <c r="J22" s="441">
        <f t="shared" si="8"/>
        <v>1.0341261633919339</v>
      </c>
      <c r="K22" s="28">
        <v>1</v>
      </c>
      <c r="L22" s="267">
        <f t="shared" si="9"/>
        <v>1.0341261633919339</v>
      </c>
      <c r="M22" s="433">
        <f t="shared" si="10"/>
        <v>206.82523267838678</v>
      </c>
      <c r="N22" s="434">
        <v>200</v>
      </c>
      <c r="O22" s="435">
        <f t="shared" si="11"/>
        <v>0.51706308169596693</v>
      </c>
    </row>
    <row r="23" spans="1:15" ht="15">
      <c r="A23" s="637" t="s">
        <v>162</v>
      </c>
      <c r="B23" s="638" t="s">
        <v>429</v>
      </c>
      <c r="C23" s="13" t="s">
        <v>160</v>
      </c>
      <c r="D23" s="13">
        <v>109</v>
      </c>
      <c r="E23" s="637" t="s">
        <v>44</v>
      </c>
      <c r="F23" s="13" t="s">
        <v>10</v>
      </c>
      <c r="G23" s="28">
        <v>40</v>
      </c>
      <c r="H23" s="440">
        <v>10</v>
      </c>
      <c r="I23" s="28">
        <v>1</v>
      </c>
      <c r="J23" s="441">
        <f t="shared" si="8"/>
        <v>0.25</v>
      </c>
      <c r="K23" s="436">
        <f>426/1000*3.1415</f>
        <v>1.338279</v>
      </c>
      <c r="L23" s="267">
        <f t="shared" si="9"/>
        <v>0.33456975</v>
      </c>
      <c r="M23" s="433">
        <f t="shared" si="10"/>
        <v>66.91395</v>
      </c>
      <c r="N23" s="434">
        <v>200</v>
      </c>
      <c r="O23" s="435">
        <f t="shared" si="11"/>
        <v>0.33456975</v>
      </c>
    </row>
    <row r="24" spans="1:15" ht="15">
      <c r="A24" s="637"/>
      <c r="B24" s="638"/>
      <c r="C24" s="13" t="s">
        <v>9</v>
      </c>
      <c r="D24" s="13">
        <v>109</v>
      </c>
      <c r="E24" s="637"/>
      <c r="F24" s="13" t="s">
        <v>10</v>
      </c>
      <c r="G24" s="28">
        <v>27</v>
      </c>
      <c r="H24" s="440">
        <v>10</v>
      </c>
      <c r="I24" s="28">
        <v>1</v>
      </c>
      <c r="J24" s="441">
        <f t="shared" si="8"/>
        <v>0.37037037037037035</v>
      </c>
      <c r="K24" s="436">
        <f>426/1000*3.1415</f>
        <v>1.338279</v>
      </c>
      <c r="L24" s="267">
        <f t="shared" si="9"/>
        <v>0.49565888888888887</v>
      </c>
      <c r="M24" s="433">
        <f t="shared" si="10"/>
        <v>99.131777777777771</v>
      </c>
      <c r="N24" s="434">
        <v>200</v>
      </c>
      <c r="O24" s="435">
        <f t="shared" si="11"/>
        <v>0.49565888888888887</v>
      </c>
    </row>
    <row r="25" spans="1:15" ht="15">
      <c r="A25" s="642" t="s">
        <v>430</v>
      </c>
      <c r="B25" s="639" t="s">
        <v>431</v>
      </c>
      <c r="C25" s="13" t="s">
        <v>160</v>
      </c>
      <c r="D25" s="13">
        <v>107</v>
      </c>
      <c r="E25" s="645" t="s">
        <v>43</v>
      </c>
      <c r="F25" s="13" t="s">
        <v>10</v>
      </c>
      <c r="G25" s="28">
        <v>40</v>
      </c>
      <c r="H25" s="440">
        <v>10</v>
      </c>
      <c r="I25" s="28">
        <v>1</v>
      </c>
      <c r="J25" s="441">
        <f t="shared" si="8"/>
        <v>0.25</v>
      </c>
      <c r="K25" s="436">
        <f>426/1000*3.1415</f>
        <v>1.338279</v>
      </c>
      <c r="L25" s="267">
        <f t="shared" si="9"/>
        <v>0.33456975</v>
      </c>
      <c r="M25" s="433">
        <f t="shared" si="10"/>
        <v>66.91395</v>
      </c>
      <c r="N25" s="434">
        <v>200</v>
      </c>
      <c r="O25" s="435">
        <f t="shared" si="11"/>
        <v>0.33456975</v>
      </c>
    </row>
    <row r="26" spans="1:15" ht="15">
      <c r="A26" s="643"/>
      <c r="B26" s="640"/>
      <c r="C26" s="13" t="s">
        <v>511</v>
      </c>
      <c r="D26" s="13">
        <v>107</v>
      </c>
      <c r="E26" s="646"/>
      <c r="F26" s="13" t="s">
        <v>10</v>
      </c>
      <c r="G26" s="28">
        <v>25</v>
      </c>
      <c r="H26" s="440">
        <v>10</v>
      </c>
      <c r="I26" s="28">
        <v>1</v>
      </c>
      <c r="J26" s="453">
        <f t="shared" si="8"/>
        <v>0.40</v>
      </c>
      <c r="K26" s="436">
        <f>0.426*3.1415</f>
        <v>1.338279</v>
      </c>
      <c r="L26" s="267">
        <f t="shared" si="9"/>
        <v>0.5353116</v>
      </c>
      <c r="M26" s="433">
        <f t="shared" si="10"/>
        <v>94.2148416</v>
      </c>
      <c r="N26" s="434">
        <v>176</v>
      </c>
      <c r="O26" s="435">
        <f t="shared" si="11"/>
        <v>0.5353116</v>
      </c>
    </row>
    <row r="27" spans="1:15" ht="15">
      <c r="A27" s="644"/>
      <c r="B27" s="641"/>
      <c r="C27" s="13" t="s">
        <v>313</v>
      </c>
      <c r="D27" s="13">
        <v>107</v>
      </c>
      <c r="E27" s="647"/>
      <c r="F27" s="13" t="s">
        <v>10</v>
      </c>
      <c r="G27" s="28">
        <v>28.50</v>
      </c>
      <c r="H27" s="440">
        <v>10</v>
      </c>
      <c r="I27" s="28">
        <v>1</v>
      </c>
      <c r="J27" s="453">
        <f t="shared" si="8"/>
        <v>0.35087719298245612</v>
      </c>
      <c r="K27" s="436">
        <f>0.426*3.1415</f>
        <v>1.338279</v>
      </c>
      <c r="L27" s="267">
        <f t="shared" si="9"/>
        <v>0.4695715789473684</v>
      </c>
      <c r="M27" s="433">
        <f t="shared" si="10"/>
        <v>93.914315789473676</v>
      </c>
      <c r="N27" s="434">
        <v>200</v>
      </c>
      <c r="O27" s="435">
        <f t="shared" si="11"/>
        <v>0.4695715789473684</v>
      </c>
    </row>
    <row r="28" spans="1:15" ht="15">
      <c r="A28" s="57" t="s">
        <v>629</v>
      </c>
      <c r="B28" s="56" t="s">
        <v>887</v>
      </c>
      <c r="C28" s="13" t="s">
        <v>862</v>
      </c>
      <c r="D28" s="13">
        <v>224</v>
      </c>
      <c r="E28" s="13"/>
      <c r="F28" s="17"/>
      <c r="G28" s="28">
        <f>(600-25)/10</f>
        <v>57.50</v>
      </c>
      <c r="H28" s="440">
        <v>10</v>
      </c>
      <c r="I28" s="28">
        <v>2</v>
      </c>
      <c r="J28" s="441">
        <f t="shared" si="12" ref="J28">H28/G28*I28</f>
        <v>0.34782608695652173</v>
      </c>
      <c r="K28" s="28">
        <v>1</v>
      </c>
      <c r="L28" s="267">
        <f t="shared" si="13" ref="L28">J28*K28</f>
        <v>0.34782608695652173</v>
      </c>
      <c r="M28" s="433">
        <f t="shared" si="14" ref="M28">L28*N28</f>
        <v>69.565217391304344</v>
      </c>
      <c r="N28" s="434">
        <v>200</v>
      </c>
      <c r="O28" s="435">
        <f t="shared" si="15" ref="O28">J28/I28*K28</f>
        <v>0.17391304347826086</v>
      </c>
    </row>
    <row r="29" spans="1:15" ht="15">
      <c r="A29" s="637" t="s">
        <v>314</v>
      </c>
      <c r="B29" s="638" t="s">
        <v>107</v>
      </c>
      <c r="C29" s="13" t="s">
        <v>24</v>
      </c>
      <c r="D29" s="13">
        <v>110</v>
      </c>
      <c r="E29" s="13"/>
      <c r="F29" s="4" t="s">
        <v>40</v>
      </c>
      <c r="G29" s="442">
        <v>25</v>
      </c>
      <c r="H29" s="440">
        <v>10</v>
      </c>
      <c r="I29" s="28">
        <v>2</v>
      </c>
      <c r="J29" s="441">
        <f t="shared" si="8"/>
        <v>0.80</v>
      </c>
      <c r="K29" s="28">
        <v>1</v>
      </c>
      <c r="L29" s="267">
        <f t="shared" si="9"/>
        <v>0.80</v>
      </c>
      <c r="M29" s="433">
        <f t="shared" si="10"/>
        <v>160</v>
      </c>
      <c r="N29" s="434">
        <v>200</v>
      </c>
      <c r="O29" s="435">
        <f t="shared" si="11"/>
        <v>0.40</v>
      </c>
    </row>
    <row r="30" spans="1:15" ht="15">
      <c r="A30" s="637"/>
      <c r="B30" s="638"/>
      <c r="C30" s="13" t="s">
        <v>25</v>
      </c>
      <c r="D30" s="13">
        <v>110</v>
      </c>
      <c r="E30" s="13" t="s">
        <v>41</v>
      </c>
      <c r="F30" s="13" t="s">
        <v>10</v>
      </c>
      <c r="G30" s="28">
        <v>40</v>
      </c>
      <c r="H30" s="440">
        <v>10</v>
      </c>
      <c r="I30" s="28">
        <v>1</v>
      </c>
      <c r="J30" s="441">
        <f t="shared" si="8"/>
        <v>0.25</v>
      </c>
      <c r="K30" s="436">
        <f>426/1000*3.1415*2</f>
        <v>2.676558</v>
      </c>
      <c r="L30" s="267">
        <f t="shared" si="9"/>
        <v>0.6691395</v>
      </c>
      <c r="M30" s="433">
        <f t="shared" si="10"/>
        <v>133.8279</v>
      </c>
      <c r="N30" s="434">
        <v>200</v>
      </c>
      <c r="O30" s="435">
        <f t="shared" si="11"/>
        <v>0.6691395</v>
      </c>
    </row>
    <row r="31" spans="1:15" ht="15">
      <c r="A31" s="57" t="s">
        <v>176</v>
      </c>
      <c r="B31" s="56" t="s">
        <v>1545</v>
      </c>
      <c r="C31" s="13" t="s">
        <v>154</v>
      </c>
      <c r="D31" s="13">
        <v>124</v>
      </c>
      <c r="E31" s="13"/>
      <c r="F31" s="13" t="s">
        <v>354</v>
      </c>
      <c r="G31" s="442">
        <v>19.30</v>
      </c>
      <c r="H31" s="440">
        <v>10</v>
      </c>
      <c r="I31" s="28">
        <v>1</v>
      </c>
      <c r="J31" s="441">
        <f t="shared" si="8"/>
        <v>0.51813471502590669</v>
      </c>
      <c r="K31" s="432">
        <v>1</v>
      </c>
      <c r="L31" s="267">
        <f t="shared" si="9"/>
        <v>0.51813471502590669</v>
      </c>
      <c r="M31" s="433">
        <f t="shared" si="10"/>
        <v>103.62694300518133</v>
      </c>
      <c r="N31" s="434">
        <v>200</v>
      </c>
      <c r="O31" s="435">
        <f t="shared" si="11"/>
        <v>0.51813471502590669</v>
      </c>
    </row>
    <row r="32" spans="1:15" ht="30">
      <c r="A32" s="57" t="s">
        <v>1289</v>
      </c>
      <c r="B32" s="56" t="s">
        <v>1546</v>
      </c>
      <c r="C32" s="13" t="s">
        <v>24</v>
      </c>
      <c r="D32" s="13">
        <v>117</v>
      </c>
      <c r="E32" s="13"/>
      <c r="F32" s="4" t="s">
        <v>38</v>
      </c>
      <c r="G32" s="442">
        <v>20</v>
      </c>
      <c r="H32" s="440">
        <v>10</v>
      </c>
      <c r="I32" s="28">
        <v>2</v>
      </c>
      <c r="J32" s="441">
        <f t="shared" si="8"/>
        <v>1</v>
      </c>
      <c r="K32" s="28">
        <v>1</v>
      </c>
      <c r="L32" s="267">
        <f t="shared" si="9"/>
        <v>1</v>
      </c>
      <c r="M32" s="433">
        <f t="shared" si="10"/>
        <v>200</v>
      </c>
      <c r="N32" s="434">
        <v>200</v>
      </c>
      <c r="O32" s="435">
        <f t="shared" si="11"/>
        <v>0.50</v>
      </c>
    </row>
    <row r="33" spans="1:15" ht="30">
      <c r="A33" s="13" t="s">
        <v>1290</v>
      </c>
      <c r="B33" s="56" t="s">
        <v>1547</v>
      </c>
      <c r="C33" s="13" t="s">
        <v>160</v>
      </c>
      <c r="D33" s="13">
        <v>117</v>
      </c>
      <c r="E33" s="13" t="s">
        <v>869</v>
      </c>
      <c r="F33" s="13" t="s">
        <v>10</v>
      </c>
      <c r="G33" s="28">
        <v>40</v>
      </c>
      <c r="H33" s="440">
        <v>10</v>
      </c>
      <c r="I33" s="28">
        <v>1</v>
      </c>
      <c r="J33" s="441">
        <f t="shared" si="8"/>
        <v>0.25</v>
      </c>
      <c r="K33" s="436">
        <f>361*3.1415*2/1000</f>
        <v>2.2681629999999999</v>
      </c>
      <c r="L33" s="267">
        <f t="shared" si="9"/>
        <v>0.56704074999999998</v>
      </c>
      <c r="M33" s="433">
        <f t="shared" si="10"/>
        <v>113.40814999999999</v>
      </c>
      <c r="N33" s="434">
        <v>200</v>
      </c>
      <c r="O33" s="435">
        <f t="shared" si="11"/>
        <v>0.56704074999999998</v>
      </c>
    </row>
    <row r="34" spans="1:15" ht="30">
      <c r="A34" s="57" t="s">
        <v>1291</v>
      </c>
      <c r="B34" s="56" t="s">
        <v>1548</v>
      </c>
      <c r="C34" s="13" t="s">
        <v>24</v>
      </c>
      <c r="D34" s="13">
        <v>110</v>
      </c>
      <c r="E34" s="13"/>
      <c r="F34" s="4" t="s">
        <v>38</v>
      </c>
      <c r="G34" s="442">
        <v>20</v>
      </c>
      <c r="H34" s="440">
        <v>10</v>
      </c>
      <c r="I34" s="28">
        <v>2</v>
      </c>
      <c r="J34" s="441">
        <f t="shared" si="8"/>
        <v>1</v>
      </c>
      <c r="K34" s="28">
        <v>1</v>
      </c>
      <c r="L34" s="267">
        <f t="shared" si="9"/>
        <v>1</v>
      </c>
      <c r="M34" s="433">
        <f t="shared" si="10"/>
        <v>200</v>
      </c>
      <c r="N34" s="434">
        <v>200</v>
      </c>
      <c r="O34" s="435">
        <f t="shared" si="11"/>
        <v>0.50</v>
      </c>
    </row>
    <row r="35" spans="1:15" ht="30">
      <c r="A35" s="13" t="s">
        <v>177</v>
      </c>
      <c r="B35" s="56" t="s">
        <v>1549</v>
      </c>
      <c r="C35" s="13" t="s">
        <v>160</v>
      </c>
      <c r="D35" s="13">
        <v>110</v>
      </c>
      <c r="E35" s="13" t="s">
        <v>869</v>
      </c>
      <c r="F35" s="13" t="s">
        <v>10</v>
      </c>
      <c r="G35" s="28">
        <v>40</v>
      </c>
      <c r="H35" s="440">
        <v>10</v>
      </c>
      <c r="I35" s="28">
        <v>1</v>
      </c>
      <c r="J35" s="441">
        <f t="shared" si="8"/>
        <v>0.25</v>
      </c>
      <c r="K35" s="436">
        <f>377*3.1415*2/1000</f>
        <v>2.3686910000000001</v>
      </c>
      <c r="L35" s="267">
        <f t="shared" si="9"/>
        <v>0.59217275000000003</v>
      </c>
      <c r="M35" s="433">
        <f t="shared" si="10"/>
        <v>118.43455</v>
      </c>
      <c r="N35" s="434">
        <v>200</v>
      </c>
      <c r="O35" s="435">
        <f t="shared" si="11"/>
        <v>0.59217275000000003</v>
      </c>
    </row>
    <row r="36" spans="1:15" ht="15">
      <c r="A36" s="39"/>
      <c r="B36" s="649" t="s">
        <v>131</v>
      </c>
      <c r="C36" s="649"/>
      <c r="D36" s="649"/>
      <c r="E36" s="649"/>
      <c r="F36" s="649"/>
      <c r="G36" s="649"/>
      <c r="H36" s="649"/>
      <c r="I36" s="649"/>
      <c r="J36" s="649"/>
      <c r="K36" s="649"/>
      <c r="L36" s="267"/>
      <c r="M36" s="262">
        <f>SUM(M37:M49)</f>
        <v>1497.2700849431828</v>
      </c>
      <c r="N36" s="263"/>
      <c r="O36" s="264">
        <f>SUM(O37:O49)</f>
        <v>5.7722519266922001</v>
      </c>
    </row>
    <row r="37" spans="1:15" ht="15">
      <c r="A37" s="57" t="s">
        <v>182</v>
      </c>
      <c r="B37" s="56" t="s">
        <v>183</v>
      </c>
      <c r="C37" s="13" t="s">
        <v>863</v>
      </c>
      <c r="D37" s="13">
        <v>105</v>
      </c>
      <c r="E37" s="13"/>
      <c r="F37" s="13" t="s">
        <v>353</v>
      </c>
      <c r="G37" s="436">
        <v>17.69</v>
      </c>
      <c r="H37" s="440">
        <v>10</v>
      </c>
      <c r="I37" s="28">
        <v>1</v>
      </c>
      <c r="J37" s="441">
        <f t="shared" si="16" ref="J37:J49">H37/G37*I37</f>
        <v>0.56529112492933853</v>
      </c>
      <c r="K37" s="432">
        <v>1</v>
      </c>
      <c r="L37" s="435">
        <f t="shared" si="17" ref="L37:L49">J37*K37</f>
        <v>0.56529112492933853</v>
      </c>
      <c r="M37" s="266">
        <f t="shared" si="18" ref="M37:M49">L37*N37</f>
        <v>113.05822498586771</v>
      </c>
      <c r="N37" s="433">
        <v>200</v>
      </c>
      <c r="O37" s="435">
        <f t="shared" si="19" ref="O37:O49">J37/I37*K37</f>
        <v>0.56529112492933853</v>
      </c>
    </row>
    <row r="38" spans="1:15" ht="30">
      <c r="A38" s="57" t="s">
        <v>185</v>
      </c>
      <c r="B38" s="56" t="s">
        <v>186</v>
      </c>
      <c r="C38" s="13" t="s">
        <v>187</v>
      </c>
      <c r="D38" s="13">
        <v>105</v>
      </c>
      <c r="E38" s="13"/>
      <c r="F38" s="13" t="s">
        <v>522</v>
      </c>
      <c r="G38" s="28">
        <v>55</v>
      </c>
      <c r="H38" s="440">
        <v>10</v>
      </c>
      <c r="I38" s="28">
        <v>1</v>
      </c>
      <c r="J38" s="441">
        <f t="shared" si="16"/>
        <v>0.18181818181818182</v>
      </c>
      <c r="K38" s="432">
        <v>3</v>
      </c>
      <c r="L38" s="435">
        <f t="shared" si="17"/>
        <v>0.54545454545454541</v>
      </c>
      <c r="M38" s="266">
        <f t="shared" si="18"/>
        <v>109.09090909090908</v>
      </c>
      <c r="N38" s="433">
        <v>200</v>
      </c>
      <c r="O38" s="435">
        <f t="shared" si="19"/>
        <v>0.54545454545454541</v>
      </c>
    </row>
    <row r="39" spans="1:15" ht="15">
      <c r="A39" s="650" t="s">
        <v>188</v>
      </c>
      <c r="B39" s="653" t="s">
        <v>438</v>
      </c>
      <c r="C39" s="13" t="s">
        <v>864</v>
      </c>
      <c r="D39" s="13">
        <v>109</v>
      </c>
      <c r="E39" s="637" t="s">
        <v>36</v>
      </c>
      <c r="F39" s="13" t="s">
        <v>10</v>
      </c>
      <c r="G39" s="28">
        <v>40</v>
      </c>
      <c r="H39" s="440">
        <v>10</v>
      </c>
      <c r="I39" s="28">
        <v>1</v>
      </c>
      <c r="J39" s="453">
        <f t="shared" si="16"/>
        <v>0.25</v>
      </c>
      <c r="K39" s="436">
        <f>(820)/1000+0.1</f>
        <v>0.92</v>
      </c>
      <c r="L39" s="267">
        <f t="shared" si="20" ref="L39">J39*K39</f>
        <v>0.22999999999999998</v>
      </c>
      <c r="M39" s="433">
        <f t="shared" si="21" ref="M39">L39*N39</f>
        <v>46</v>
      </c>
      <c r="N39" s="434">
        <v>200</v>
      </c>
      <c r="O39" s="435">
        <f t="shared" si="19"/>
        <v>0.22999999999999998</v>
      </c>
    </row>
    <row r="40" spans="1:15" ht="15">
      <c r="A40" s="652"/>
      <c r="B40" s="654"/>
      <c r="C40" s="13" t="s">
        <v>865</v>
      </c>
      <c r="D40" s="13">
        <v>109</v>
      </c>
      <c r="E40" s="637"/>
      <c r="F40" s="13" t="s">
        <v>10</v>
      </c>
      <c r="G40" s="28">
        <v>27</v>
      </c>
      <c r="H40" s="440">
        <v>10</v>
      </c>
      <c r="I40" s="28">
        <v>1</v>
      </c>
      <c r="J40" s="441">
        <f t="shared" si="16"/>
        <v>0.37037037037037035</v>
      </c>
      <c r="K40" s="436">
        <f>(820)/1000+0.1</f>
        <v>0.92</v>
      </c>
      <c r="L40" s="435">
        <f t="shared" si="17"/>
        <v>0.34074074074074068</v>
      </c>
      <c r="M40" s="266">
        <f t="shared" si="18"/>
        <v>68.148148148148138</v>
      </c>
      <c r="N40" s="433">
        <v>200</v>
      </c>
      <c r="O40" s="435">
        <f t="shared" si="19"/>
        <v>0.34074074074074068</v>
      </c>
    </row>
    <row r="41" spans="1:15" ht="15">
      <c r="A41" s="642" t="s">
        <v>437</v>
      </c>
      <c r="B41" s="639" t="s">
        <v>439</v>
      </c>
      <c r="C41" s="13" t="s">
        <v>864</v>
      </c>
      <c r="D41" s="54">
        <v>107</v>
      </c>
      <c r="E41" s="645" t="s">
        <v>43</v>
      </c>
      <c r="F41" s="13" t="s">
        <v>10</v>
      </c>
      <c r="G41" s="28">
        <v>40</v>
      </c>
      <c r="H41" s="440">
        <v>10</v>
      </c>
      <c r="I41" s="28">
        <v>1</v>
      </c>
      <c r="J41" s="441">
        <f t="shared" si="16"/>
        <v>0.25</v>
      </c>
      <c r="K41" s="436">
        <f>820/1000+0.1</f>
        <v>0.92</v>
      </c>
      <c r="L41" s="267">
        <f t="shared" si="17"/>
        <v>0.22999999999999998</v>
      </c>
      <c r="M41" s="433">
        <f t="shared" si="18"/>
        <v>46</v>
      </c>
      <c r="N41" s="434">
        <v>200</v>
      </c>
      <c r="O41" s="435">
        <f t="shared" si="19"/>
        <v>0.22999999999999998</v>
      </c>
    </row>
    <row r="42" spans="1:15" ht="15">
      <c r="A42" s="643"/>
      <c r="B42" s="640"/>
      <c r="C42" s="13" t="s">
        <v>866</v>
      </c>
      <c r="D42" s="274">
        <v>107</v>
      </c>
      <c r="E42" s="646"/>
      <c r="F42" s="13" t="s">
        <v>10</v>
      </c>
      <c r="G42" s="28">
        <v>25</v>
      </c>
      <c r="H42" s="440">
        <v>10</v>
      </c>
      <c r="I42" s="28">
        <v>1</v>
      </c>
      <c r="J42" s="453">
        <f t="shared" si="22" ref="J42">H42/G42*I42</f>
        <v>0.40</v>
      </c>
      <c r="K42" s="436">
        <f>(820)/1000</f>
        <v>0.82</v>
      </c>
      <c r="L42" s="267">
        <f t="shared" si="23" ref="L42">J42*K42</f>
        <v>0.32800000000000001</v>
      </c>
      <c r="M42" s="433">
        <f t="shared" si="24" ref="M42">L42*N42</f>
        <v>57.728000000000002</v>
      </c>
      <c r="N42" s="434">
        <v>176</v>
      </c>
      <c r="O42" s="435">
        <f t="shared" si="25" ref="O42">J42/I42*K42</f>
        <v>0.32800000000000001</v>
      </c>
    </row>
    <row r="43" spans="1:15" ht="15">
      <c r="A43" s="644"/>
      <c r="B43" s="641"/>
      <c r="C43" s="13" t="s">
        <v>867</v>
      </c>
      <c r="D43" s="90">
        <v>107</v>
      </c>
      <c r="E43" s="647"/>
      <c r="F43" s="13" t="s">
        <v>10</v>
      </c>
      <c r="G43" s="28">
        <v>28.50</v>
      </c>
      <c r="H43" s="440">
        <v>10</v>
      </c>
      <c r="I43" s="28">
        <v>1</v>
      </c>
      <c r="J43" s="453">
        <f t="shared" si="16"/>
        <v>0.35087719298245612</v>
      </c>
      <c r="K43" s="436">
        <f>(820)/1000+0.1</f>
        <v>0.92</v>
      </c>
      <c r="L43" s="267">
        <f t="shared" si="17"/>
        <v>0.3228070175438596</v>
      </c>
      <c r="M43" s="433">
        <f t="shared" si="18"/>
        <v>64.561403508771917</v>
      </c>
      <c r="N43" s="434">
        <v>200</v>
      </c>
      <c r="O43" s="435">
        <f t="shared" si="19"/>
        <v>0.3228070175438596</v>
      </c>
    </row>
    <row r="44" spans="1:15" ht="15">
      <c r="A44" s="57" t="s">
        <v>348</v>
      </c>
      <c r="B44" s="56" t="s">
        <v>1007</v>
      </c>
      <c r="C44" s="13" t="s">
        <v>523</v>
      </c>
      <c r="D44" s="13">
        <v>224</v>
      </c>
      <c r="E44" s="13"/>
      <c r="F44" s="13"/>
      <c r="G44" s="28">
        <v>60</v>
      </c>
      <c r="H44" s="440">
        <v>10</v>
      </c>
      <c r="I44" s="28">
        <v>1</v>
      </c>
      <c r="J44" s="441">
        <f t="shared" si="16"/>
        <v>0.16666666666666666</v>
      </c>
      <c r="K44" s="432">
        <v>3</v>
      </c>
      <c r="L44" s="435">
        <f t="shared" si="17"/>
        <v>0.50</v>
      </c>
      <c r="M44" s="266">
        <f t="shared" si="18"/>
        <v>100</v>
      </c>
      <c r="N44" s="433">
        <v>200</v>
      </c>
      <c r="O44" s="435">
        <f t="shared" si="19"/>
        <v>0.50</v>
      </c>
    </row>
    <row r="45" spans="1:15" ht="15">
      <c r="A45" s="57" t="s">
        <v>325</v>
      </c>
      <c r="B45" s="56" t="s">
        <v>327</v>
      </c>
      <c r="C45" s="13" t="s">
        <v>326</v>
      </c>
      <c r="D45" s="13">
        <v>112</v>
      </c>
      <c r="E45" s="13"/>
      <c r="F45" s="13" t="s">
        <v>513</v>
      </c>
      <c r="G45" s="28">
        <v>22</v>
      </c>
      <c r="H45" s="440">
        <v>10</v>
      </c>
      <c r="I45" s="28">
        <v>2</v>
      </c>
      <c r="J45" s="441">
        <f t="shared" si="16"/>
        <v>0.90909090909090906</v>
      </c>
      <c r="K45" s="432">
        <v>1</v>
      </c>
      <c r="L45" s="435">
        <f t="shared" si="17"/>
        <v>0.90909090909090906</v>
      </c>
      <c r="M45" s="266">
        <f t="shared" si="18"/>
        <v>181.81818181818181</v>
      </c>
      <c r="N45" s="433">
        <v>200</v>
      </c>
      <c r="O45" s="435">
        <f t="shared" si="19"/>
        <v>0.45454545454545453</v>
      </c>
    </row>
    <row r="46" spans="1:15" ht="15">
      <c r="A46" s="637" t="s">
        <v>197</v>
      </c>
      <c r="B46" s="638" t="s">
        <v>110</v>
      </c>
      <c r="C46" s="13" t="s">
        <v>47</v>
      </c>
      <c r="D46" s="13">
        <v>112</v>
      </c>
      <c r="E46" s="13"/>
      <c r="F46" s="4" t="s">
        <v>111</v>
      </c>
      <c r="G46" s="28">
        <v>20</v>
      </c>
      <c r="H46" s="440">
        <v>10</v>
      </c>
      <c r="I46" s="28">
        <v>2</v>
      </c>
      <c r="J46" s="441">
        <f t="shared" si="16"/>
        <v>1</v>
      </c>
      <c r="K46" s="28">
        <v>1</v>
      </c>
      <c r="L46" s="267">
        <f t="shared" si="17"/>
        <v>1</v>
      </c>
      <c r="M46" s="433">
        <f t="shared" si="18"/>
        <v>200</v>
      </c>
      <c r="N46" s="434">
        <v>200</v>
      </c>
      <c r="O46" s="435">
        <f t="shared" si="19"/>
        <v>0.50</v>
      </c>
    </row>
    <row r="47" spans="1:15" ht="15">
      <c r="A47" s="637"/>
      <c r="B47" s="638"/>
      <c r="C47" s="13" t="s">
        <v>48</v>
      </c>
      <c r="D47" s="13">
        <v>112</v>
      </c>
      <c r="E47" s="13" t="s">
        <v>46</v>
      </c>
      <c r="F47" s="13" t="s">
        <v>10</v>
      </c>
      <c r="G47" s="28">
        <v>40</v>
      </c>
      <c r="H47" s="440">
        <v>10</v>
      </c>
      <c r="I47" s="28">
        <v>1</v>
      </c>
      <c r="J47" s="441">
        <f t="shared" si="16"/>
        <v>0.25</v>
      </c>
      <c r="K47" s="436">
        <f>(1020*2+107*2+1048+1048/2)/1000</f>
        <v>3.8260000000000001</v>
      </c>
      <c r="L47" s="267">
        <f t="shared" si="17"/>
        <v>0.95650000000000002</v>
      </c>
      <c r="M47" s="433">
        <f t="shared" si="18"/>
        <v>191.30</v>
      </c>
      <c r="N47" s="434">
        <v>200</v>
      </c>
      <c r="O47" s="435">
        <f t="shared" si="19"/>
        <v>0.95650000000000002</v>
      </c>
    </row>
    <row r="48" spans="1:15" ht="15">
      <c r="A48" s="54" t="s">
        <v>888</v>
      </c>
      <c r="B48" s="56" t="s">
        <v>1407</v>
      </c>
      <c r="C48" s="13" t="s">
        <v>862</v>
      </c>
      <c r="D48" s="13">
        <v>224</v>
      </c>
      <c r="E48" s="13"/>
      <c r="F48" s="17"/>
      <c r="G48" s="28">
        <f>(600-25)/10</f>
        <v>57.50</v>
      </c>
      <c r="H48" s="440">
        <v>10</v>
      </c>
      <c r="I48" s="28">
        <v>2</v>
      </c>
      <c r="J48" s="441">
        <f t="shared" si="16"/>
        <v>0.34782608695652173</v>
      </c>
      <c r="K48" s="28">
        <v>1</v>
      </c>
      <c r="L48" s="267">
        <f t="shared" si="17"/>
        <v>0.34782608695652173</v>
      </c>
      <c r="M48" s="433">
        <f t="shared" si="18"/>
        <v>69.565217391304344</v>
      </c>
      <c r="N48" s="434">
        <v>200</v>
      </c>
      <c r="O48" s="435">
        <f t="shared" si="19"/>
        <v>0.17391304347826086</v>
      </c>
    </row>
    <row r="49" spans="1:15" ht="15">
      <c r="A49" s="13" t="s">
        <v>199</v>
      </c>
      <c r="B49" s="27" t="s">
        <v>890</v>
      </c>
      <c r="C49" s="13" t="s">
        <v>47</v>
      </c>
      <c r="D49" s="13">
        <v>112</v>
      </c>
      <c r="E49" s="13"/>
      <c r="F49" s="4" t="s">
        <v>870</v>
      </c>
      <c r="G49" s="28">
        <v>16</v>
      </c>
      <c r="H49" s="440">
        <v>10</v>
      </c>
      <c r="I49" s="28">
        <v>2</v>
      </c>
      <c r="J49" s="441">
        <f t="shared" si="16"/>
        <v>1.25</v>
      </c>
      <c r="K49" s="28">
        <v>1</v>
      </c>
      <c r="L49" s="267">
        <f t="shared" si="17"/>
        <v>1.25</v>
      </c>
      <c r="M49" s="433">
        <f t="shared" si="18"/>
        <v>250</v>
      </c>
      <c r="N49" s="434">
        <v>200</v>
      </c>
      <c r="O49" s="435">
        <f t="shared" si="19"/>
        <v>0.625</v>
      </c>
    </row>
    <row r="50" spans="1:15" ht="15">
      <c r="A50" s="39"/>
      <c r="B50" s="649" t="s">
        <v>132</v>
      </c>
      <c r="C50" s="649"/>
      <c r="D50" s="649"/>
      <c r="E50" s="649"/>
      <c r="F50" s="649"/>
      <c r="G50" s="649"/>
      <c r="H50" s="649"/>
      <c r="I50" s="649"/>
      <c r="J50" s="649"/>
      <c r="K50" s="649"/>
      <c r="L50" s="267"/>
      <c r="M50" s="262">
        <f>SUM(M51:M62)</f>
        <v>4572.3556343872415</v>
      </c>
      <c r="N50" s="263"/>
      <c r="O50" s="264">
        <f>SUM(O51:O62)</f>
        <v>16.311871410083164</v>
      </c>
    </row>
    <row r="51" spans="1:15" ht="15">
      <c r="A51" s="650" t="s">
        <v>200</v>
      </c>
      <c r="B51" s="638" t="s">
        <v>871</v>
      </c>
      <c r="C51" s="13" t="s">
        <v>872</v>
      </c>
      <c r="D51" s="13">
        <v>105</v>
      </c>
      <c r="E51" s="13"/>
      <c r="F51" s="13" t="s">
        <v>353</v>
      </c>
      <c r="G51" s="442">
        <f>600/10</f>
        <v>60</v>
      </c>
      <c r="H51" s="440">
        <v>10</v>
      </c>
      <c r="I51" s="28">
        <v>1</v>
      </c>
      <c r="J51" s="441">
        <f t="shared" si="26" ref="J51:J62">H51/G51*I51</f>
        <v>0.16666666666666666</v>
      </c>
      <c r="K51" s="432">
        <v>2</v>
      </c>
      <c r="L51" s="435">
        <f t="shared" si="27" ref="L51:L54">J51*K51</f>
        <v>0.33333333333333331</v>
      </c>
      <c r="M51" s="266">
        <f t="shared" si="28" ref="M51:M62">L51*N51</f>
        <v>66.666666666666657</v>
      </c>
      <c r="N51" s="433">
        <v>200</v>
      </c>
      <c r="O51" s="435">
        <f t="shared" si="29" ref="O51:O62">J51/I51*K51</f>
        <v>0.33333333333333331</v>
      </c>
    </row>
    <row r="52" spans="1:15" ht="15">
      <c r="A52" s="650"/>
      <c r="B52" s="638"/>
      <c r="C52" s="13" t="s">
        <v>874</v>
      </c>
      <c r="D52" s="13">
        <v>105</v>
      </c>
      <c r="E52" s="13"/>
      <c r="F52" s="13" t="s">
        <v>353</v>
      </c>
      <c r="G52" s="442">
        <v>120</v>
      </c>
      <c r="H52" s="440">
        <v>10</v>
      </c>
      <c r="I52" s="28">
        <v>1</v>
      </c>
      <c r="J52" s="441">
        <f t="shared" si="26"/>
        <v>0.083333333333333329</v>
      </c>
      <c r="K52" s="432">
        <v>2</v>
      </c>
      <c r="L52" s="435">
        <f t="shared" si="27"/>
        <v>0.16666666666666666</v>
      </c>
      <c r="M52" s="266">
        <f t="shared" si="28"/>
        <v>33.333333333333329</v>
      </c>
      <c r="N52" s="433">
        <v>200</v>
      </c>
      <c r="O52" s="435">
        <f t="shared" si="29"/>
        <v>0.16666666666666666</v>
      </c>
    </row>
    <row r="53" spans="1:15" ht="15">
      <c r="A53" s="650"/>
      <c r="B53" s="638"/>
      <c r="C53" s="13" t="s">
        <v>873</v>
      </c>
      <c r="D53" s="13">
        <v>105</v>
      </c>
      <c r="E53" s="13"/>
      <c r="F53" s="13" t="s">
        <v>353</v>
      </c>
      <c r="G53" s="442">
        <f>600/5</f>
        <v>120</v>
      </c>
      <c r="H53" s="440">
        <v>10</v>
      </c>
      <c r="I53" s="28">
        <v>1</v>
      </c>
      <c r="J53" s="441">
        <f t="shared" si="26"/>
        <v>0.083333333333333329</v>
      </c>
      <c r="K53" s="432">
        <v>2</v>
      </c>
      <c r="L53" s="435">
        <f t="shared" si="27"/>
        <v>0.16666666666666666</v>
      </c>
      <c r="M53" s="266">
        <f t="shared" si="28"/>
        <v>33.333333333333329</v>
      </c>
      <c r="N53" s="433">
        <v>200</v>
      </c>
      <c r="O53" s="435">
        <f t="shared" si="29"/>
        <v>0.16666666666666666</v>
      </c>
    </row>
    <row r="54" spans="1:15" ht="15">
      <c r="A54" s="57" t="s">
        <v>662</v>
      </c>
      <c r="B54" s="56" t="s">
        <v>891</v>
      </c>
      <c r="C54" s="13" t="s">
        <v>862</v>
      </c>
      <c r="D54" s="13">
        <v>224</v>
      </c>
      <c r="E54" s="13"/>
      <c r="F54" s="17"/>
      <c r="G54" s="442">
        <f>(600-25)/10</f>
        <v>57.50</v>
      </c>
      <c r="H54" s="440">
        <v>10</v>
      </c>
      <c r="I54" s="28">
        <v>2</v>
      </c>
      <c r="J54" s="441">
        <f t="shared" si="26"/>
        <v>0.34782608695652173</v>
      </c>
      <c r="K54" s="28">
        <v>1</v>
      </c>
      <c r="L54" s="267">
        <f t="shared" si="27"/>
        <v>0.34782608695652173</v>
      </c>
      <c r="M54" s="433">
        <f t="shared" si="28"/>
        <v>69.565217391304344</v>
      </c>
      <c r="N54" s="434">
        <v>200</v>
      </c>
      <c r="O54" s="435">
        <f t="shared" si="29"/>
        <v>0.17391304347826086</v>
      </c>
    </row>
    <row r="55" spans="1:15" ht="15">
      <c r="A55" s="13" t="s">
        <v>205</v>
      </c>
      <c r="B55" s="27" t="s">
        <v>875</v>
      </c>
      <c r="C55" s="13" t="s">
        <v>138</v>
      </c>
      <c r="D55" s="13">
        <v>117</v>
      </c>
      <c r="E55" s="13"/>
      <c r="F55" s="4" t="s">
        <v>13</v>
      </c>
      <c r="G55" s="442">
        <f>1.818*1.4</f>
        <v>2.5451999999999999</v>
      </c>
      <c r="H55" s="440">
        <v>10</v>
      </c>
      <c r="I55" s="28">
        <v>2</v>
      </c>
      <c r="J55" s="441">
        <f t="shared" si="26"/>
        <v>7.8579286500078585</v>
      </c>
      <c r="K55" s="28">
        <v>1</v>
      </c>
      <c r="L55" s="267">
        <f>J55*K55</f>
        <v>7.8579286500078585</v>
      </c>
      <c r="M55" s="433">
        <f t="shared" si="28"/>
        <v>1571.5857300015716</v>
      </c>
      <c r="N55" s="434">
        <v>200</v>
      </c>
      <c r="O55" s="435">
        <f t="shared" si="29"/>
        <v>3.9289643250039292</v>
      </c>
    </row>
    <row r="56" spans="1:15" ht="15">
      <c r="A56" s="13" t="s">
        <v>877</v>
      </c>
      <c r="B56" s="27" t="s">
        <v>876</v>
      </c>
      <c r="C56" s="13" t="s">
        <v>160</v>
      </c>
      <c r="D56" s="13">
        <v>117</v>
      </c>
      <c r="E56" s="13"/>
      <c r="F56" s="4" t="s">
        <v>13</v>
      </c>
      <c r="G56" s="442">
        <v>40</v>
      </c>
      <c r="H56" s="440">
        <v>10</v>
      </c>
      <c r="I56" s="28">
        <v>1</v>
      </c>
      <c r="J56" s="441">
        <f t="shared" si="30" ref="J56">H56/G56*I56</f>
        <v>0.25</v>
      </c>
      <c r="K56" s="442">
        <f>(2462+2154+2063+636+16*3.1415*8+219*3.1415+25*3)/1000</f>
        <v>8.4801005000000007</v>
      </c>
      <c r="L56" s="267">
        <f>J56*K56</f>
        <v>2.1200251250000002</v>
      </c>
      <c r="M56" s="433">
        <f t="shared" si="31" ref="M56">L56*N56</f>
        <v>424.00502500000005</v>
      </c>
      <c r="N56" s="434">
        <v>200</v>
      </c>
      <c r="O56" s="435">
        <f t="shared" si="32" ref="O56">J56/I56*K56</f>
        <v>2.1200251250000002</v>
      </c>
    </row>
    <row r="57" spans="1:15" ht="15">
      <c r="A57" s="13" t="s">
        <v>206</v>
      </c>
      <c r="B57" s="27" t="s">
        <v>94</v>
      </c>
      <c r="C57" s="13" t="s">
        <v>160</v>
      </c>
      <c r="D57" s="13">
        <v>114</v>
      </c>
      <c r="E57" s="13"/>
      <c r="F57" s="4" t="s">
        <v>13</v>
      </c>
      <c r="G57" s="442">
        <v>40</v>
      </c>
      <c r="H57" s="440">
        <v>10</v>
      </c>
      <c r="I57" s="28">
        <v>1</v>
      </c>
      <c r="J57" s="441">
        <f t="shared" si="26"/>
        <v>0.25</v>
      </c>
      <c r="K57" s="442">
        <f>(2420*2+120*3+16*3.1415*8+219*3.1415+2154+2300+2335+19*3.1415*2+23*3.1415*2+2055)/1000</f>
        <v>15.3979865</v>
      </c>
      <c r="L57" s="267">
        <f>J57*K57</f>
        <v>3.849496625</v>
      </c>
      <c r="M57" s="433">
        <f t="shared" si="28"/>
        <v>769.89932499999998</v>
      </c>
      <c r="N57" s="434">
        <v>200</v>
      </c>
      <c r="O57" s="435">
        <f t="shared" si="29"/>
        <v>3.849496625</v>
      </c>
    </row>
    <row r="58" spans="1:15" ht="15">
      <c r="A58" s="13" t="s">
        <v>207</v>
      </c>
      <c r="B58" s="56" t="s">
        <v>55</v>
      </c>
      <c r="C58" s="13" t="s">
        <v>29</v>
      </c>
      <c r="D58" s="13">
        <v>120</v>
      </c>
      <c r="E58" s="13"/>
      <c r="F58" s="13" t="s">
        <v>13</v>
      </c>
      <c r="G58" s="442">
        <v>20.50</v>
      </c>
      <c r="H58" s="440">
        <v>10</v>
      </c>
      <c r="I58" s="28">
        <v>1</v>
      </c>
      <c r="J58" s="441">
        <f t="shared" si="26"/>
        <v>0.48780487804878048</v>
      </c>
      <c r="K58" s="28">
        <v>1</v>
      </c>
      <c r="L58" s="267">
        <f t="shared" si="33" ref="L58:L61">J58*K58</f>
        <v>0.48780487804878048</v>
      </c>
      <c r="M58" s="433">
        <f t="shared" si="28"/>
        <v>85.853658536585357</v>
      </c>
      <c r="N58" s="434">
        <v>176</v>
      </c>
      <c r="O58" s="435">
        <f t="shared" si="29"/>
        <v>0.48780487804878048</v>
      </c>
    </row>
    <row r="59" spans="1:15" ht="15">
      <c r="A59" s="13" t="s">
        <v>208</v>
      </c>
      <c r="B59" s="56" t="s">
        <v>56</v>
      </c>
      <c r="C59" s="13" t="s">
        <v>29</v>
      </c>
      <c r="D59" s="13">
        <v>120</v>
      </c>
      <c r="E59" s="13"/>
      <c r="F59" s="13" t="s">
        <v>13</v>
      </c>
      <c r="G59" s="442">
        <v>20.50</v>
      </c>
      <c r="H59" s="440">
        <v>10</v>
      </c>
      <c r="I59" s="28">
        <v>1</v>
      </c>
      <c r="J59" s="441">
        <f t="shared" si="26"/>
        <v>0.48780487804878048</v>
      </c>
      <c r="K59" s="28">
        <v>1</v>
      </c>
      <c r="L59" s="267">
        <f t="shared" si="33"/>
        <v>0.48780487804878048</v>
      </c>
      <c r="M59" s="433">
        <f t="shared" si="28"/>
        <v>85.853658536585357</v>
      </c>
      <c r="N59" s="434">
        <v>176</v>
      </c>
      <c r="O59" s="435">
        <f t="shared" si="29"/>
        <v>0.48780487804878048</v>
      </c>
    </row>
    <row r="60" spans="1:16" ht="30">
      <c r="A60" s="13" t="s">
        <v>209</v>
      </c>
      <c r="B60" s="27" t="s">
        <v>892</v>
      </c>
      <c r="C60" s="13" t="s">
        <v>14</v>
      </c>
      <c r="D60" s="13">
        <v>119</v>
      </c>
      <c r="E60" s="13"/>
      <c r="F60" s="13" t="s">
        <v>58</v>
      </c>
      <c r="G60" s="442">
        <v>61</v>
      </c>
      <c r="H60" s="440">
        <v>10</v>
      </c>
      <c r="I60" s="28">
        <v>1</v>
      </c>
      <c r="J60" s="441">
        <f t="shared" si="26"/>
        <v>0.16393442622950818</v>
      </c>
      <c r="K60" s="28">
        <v>1</v>
      </c>
      <c r="L60" s="267">
        <f t="shared" si="33"/>
        <v>0.16393442622950818</v>
      </c>
      <c r="M60" s="433">
        <f t="shared" si="28"/>
        <v>32.786885245901637</v>
      </c>
      <c r="N60" s="434">
        <v>200</v>
      </c>
      <c r="O60" s="435">
        <f t="shared" si="29"/>
        <v>0.16393442622950818</v>
      </c>
      <c r="P60" s="22"/>
    </row>
    <row r="61" spans="1:16" ht="30">
      <c r="A61" s="13" t="s">
        <v>210</v>
      </c>
      <c r="B61" s="27" t="s">
        <v>114</v>
      </c>
      <c r="C61" s="13" t="s">
        <v>54</v>
      </c>
      <c r="D61" s="13">
        <v>116</v>
      </c>
      <c r="E61" s="13"/>
      <c r="F61" s="13" t="s">
        <v>13</v>
      </c>
      <c r="G61" s="442">
        <v>3.90</v>
      </c>
      <c r="H61" s="440">
        <v>10</v>
      </c>
      <c r="I61" s="28">
        <v>2</v>
      </c>
      <c r="J61" s="441">
        <f t="shared" si="26"/>
        <v>5.1282051282051286</v>
      </c>
      <c r="K61" s="28">
        <v>1</v>
      </c>
      <c r="L61" s="267">
        <f t="shared" si="33"/>
        <v>5.1282051282051286</v>
      </c>
      <c r="M61" s="433">
        <f t="shared" si="28"/>
        <v>1025.6410256410256</v>
      </c>
      <c r="N61" s="434">
        <v>200</v>
      </c>
      <c r="O61" s="435">
        <f t="shared" si="29"/>
        <v>2.5641025641025643</v>
      </c>
      <c r="P61" s="22"/>
    </row>
    <row r="62" spans="1:15" ht="30">
      <c r="A62" s="13" t="s">
        <v>211</v>
      </c>
      <c r="B62" s="56" t="s">
        <v>60</v>
      </c>
      <c r="C62" s="13" t="s">
        <v>14</v>
      </c>
      <c r="D62" s="13">
        <v>226</v>
      </c>
      <c r="E62" s="13"/>
      <c r="F62" s="4" t="s">
        <v>58</v>
      </c>
      <c r="G62" s="442">
        <v>5.35</v>
      </c>
      <c r="H62" s="440">
        <v>10</v>
      </c>
      <c r="I62" s="28">
        <v>1</v>
      </c>
      <c r="J62" s="441">
        <f t="shared" si="26"/>
        <v>1.8691588785046731</v>
      </c>
      <c r="K62" s="28">
        <v>1</v>
      </c>
      <c r="L62" s="267">
        <f>J62*K62</f>
        <v>1.8691588785046731</v>
      </c>
      <c r="M62" s="433">
        <f t="shared" si="28"/>
        <v>373.8317757009346</v>
      </c>
      <c r="N62" s="434">
        <v>200</v>
      </c>
      <c r="O62" s="435">
        <f t="shared" si="29"/>
        <v>1.8691588785046731</v>
      </c>
    </row>
    <row r="63" spans="1:15" ht="15">
      <c r="A63" s="39"/>
      <c r="B63" s="649" t="s">
        <v>140</v>
      </c>
      <c r="C63" s="649"/>
      <c r="D63" s="649"/>
      <c r="E63" s="649"/>
      <c r="F63" s="649"/>
      <c r="G63" s="649"/>
      <c r="H63" s="649"/>
      <c r="I63" s="649"/>
      <c r="J63" s="649"/>
      <c r="K63" s="649"/>
      <c r="L63" s="267"/>
      <c r="M63" s="262">
        <f>SUM(M64:M69)</f>
        <v>1926.6092014332999</v>
      </c>
      <c r="N63" s="263"/>
      <c r="O63" s="264">
        <f>SUM(O64:O69)</f>
        <v>6.2088579361854883</v>
      </c>
    </row>
    <row r="64" spans="1:15" ht="15">
      <c r="A64" s="57" t="s">
        <v>893</v>
      </c>
      <c r="B64" s="27" t="s">
        <v>881</v>
      </c>
      <c r="C64" s="13" t="s">
        <v>880</v>
      </c>
      <c r="D64" s="13">
        <v>224</v>
      </c>
      <c r="E64" s="13"/>
      <c r="F64" s="13" t="s">
        <v>353</v>
      </c>
      <c r="G64" s="436">
        <f>600/20</f>
        <v>30</v>
      </c>
      <c r="H64" s="440">
        <v>10</v>
      </c>
      <c r="I64" s="28">
        <v>1</v>
      </c>
      <c r="J64" s="441">
        <f t="shared" si="34" ref="J64:J69">H64/G64*I64</f>
        <v>0.33333333333333331</v>
      </c>
      <c r="K64" s="432">
        <v>1</v>
      </c>
      <c r="L64" s="435">
        <f t="shared" si="35" ref="L64:L69">J64*K64</f>
        <v>0.33333333333333331</v>
      </c>
      <c r="M64" s="266">
        <f t="shared" si="36" ref="M64:M69">L64*N64</f>
        <v>66.666666666666657</v>
      </c>
      <c r="N64" s="433">
        <v>200</v>
      </c>
      <c r="O64" s="435">
        <f t="shared" si="37" ref="O64:O69">J64/I64*K64</f>
        <v>0.33333333333333331</v>
      </c>
    </row>
    <row r="65" spans="1:15" ht="15">
      <c r="A65" s="57" t="s">
        <v>212</v>
      </c>
      <c r="B65" s="56" t="s">
        <v>922</v>
      </c>
      <c r="C65" s="13" t="s">
        <v>862</v>
      </c>
      <c r="D65" s="13">
        <v>224</v>
      </c>
      <c r="E65" s="13"/>
      <c r="F65" s="17"/>
      <c r="G65" s="28">
        <f>(600-25)/10</f>
        <v>57.50</v>
      </c>
      <c r="H65" s="440">
        <v>10</v>
      </c>
      <c r="I65" s="28">
        <v>2</v>
      </c>
      <c r="J65" s="441">
        <f t="shared" si="34"/>
        <v>0.34782608695652173</v>
      </c>
      <c r="K65" s="28">
        <v>1</v>
      </c>
      <c r="L65" s="267">
        <f t="shared" si="35"/>
        <v>0.34782608695652173</v>
      </c>
      <c r="M65" s="433">
        <f t="shared" si="36"/>
        <v>69.565217391304344</v>
      </c>
      <c r="N65" s="434">
        <v>200</v>
      </c>
      <c r="O65" s="435">
        <f t="shared" si="37"/>
        <v>0.17391304347826086</v>
      </c>
    </row>
    <row r="66" spans="1:15" ht="15">
      <c r="A66" s="57" t="s">
        <v>878</v>
      </c>
      <c r="B66" s="27" t="s">
        <v>882</v>
      </c>
      <c r="C66" s="13" t="s">
        <v>879</v>
      </c>
      <c r="D66" s="13">
        <v>117</v>
      </c>
      <c r="E66" s="13"/>
      <c r="F66" s="13" t="s">
        <v>353</v>
      </c>
      <c r="G66" s="28">
        <v>60</v>
      </c>
      <c r="H66" s="440">
        <v>10</v>
      </c>
      <c r="I66" s="28">
        <v>1</v>
      </c>
      <c r="J66" s="441">
        <f t="shared" si="34"/>
        <v>0.16666666666666666</v>
      </c>
      <c r="K66" s="432">
        <v>1</v>
      </c>
      <c r="L66" s="435">
        <f t="shared" si="35"/>
        <v>0.16666666666666666</v>
      </c>
      <c r="M66" s="266">
        <f t="shared" si="36"/>
        <v>33.333333333333329</v>
      </c>
      <c r="N66" s="433">
        <v>200</v>
      </c>
      <c r="O66" s="435">
        <f t="shared" si="37"/>
        <v>0.16666666666666666</v>
      </c>
    </row>
    <row r="67" spans="1:15" ht="15">
      <c r="A67" s="57" t="s">
        <v>214</v>
      </c>
      <c r="B67" s="56" t="s">
        <v>883</v>
      </c>
      <c r="C67" s="13" t="s">
        <v>33</v>
      </c>
      <c r="D67" s="13">
        <v>118</v>
      </c>
      <c r="E67" s="13"/>
      <c r="F67" s="13" t="s">
        <v>510</v>
      </c>
      <c r="G67" s="28">
        <v>40</v>
      </c>
      <c r="H67" s="440">
        <v>10</v>
      </c>
      <c r="I67" s="28">
        <v>2</v>
      </c>
      <c r="J67" s="441">
        <f t="shared" si="34"/>
        <v>0.50</v>
      </c>
      <c r="K67" s="432">
        <v>2</v>
      </c>
      <c r="L67" s="267">
        <f t="shared" si="35"/>
        <v>1</v>
      </c>
      <c r="M67" s="433">
        <f t="shared" si="36"/>
        <v>200</v>
      </c>
      <c r="N67" s="434">
        <v>200</v>
      </c>
      <c r="O67" s="435">
        <f t="shared" si="37"/>
        <v>0.50</v>
      </c>
    </row>
    <row r="68" spans="1:15" ht="15">
      <c r="A68" s="13" t="s">
        <v>219</v>
      </c>
      <c r="B68" s="56" t="s">
        <v>91</v>
      </c>
      <c r="C68" s="13" t="s">
        <v>54</v>
      </c>
      <c r="D68" s="13">
        <v>118</v>
      </c>
      <c r="E68" s="13"/>
      <c r="F68" s="4" t="s">
        <v>59</v>
      </c>
      <c r="G68" s="436">
        <v>3.6360000000000001</v>
      </c>
      <c r="H68" s="440">
        <v>10</v>
      </c>
      <c r="I68" s="28">
        <v>2</v>
      </c>
      <c r="J68" s="441">
        <f t="shared" si="34"/>
        <v>5.5005500550055002</v>
      </c>
      <c r="K68" s="432">
        <v>1</v>
      </c>
      <c r="L68" s="267">
        <f t="shared" si="35"/>
        <v>5.5005500550055002</v>
      </c>
      <c r="M68" s="433">
        <f t="shared" si="36"/>
        <v>1100.1100110011</v>
      </c>
      <c r="N68" s="434">
        <v>200</v>
      </c>
      <c r="O68" s="435">
        <f t="shared" si="37"/>
        <v>2.7502750275027501</v>
      </c>
    </row>
    <row r="69" spans="1:15" ht="15">
      <c r="A69" s="13" t="s">
        <v>220</v>
      </c>
      <c r="B69" s="56" t="s">
        <v>92</v>
      </c>
      <c r="C69" s="13" t="s">
        <v>54</v>
      </c>
      <c r="D69" s="13">
        <v>118</v>
      </c>
      <c r="E69" s="13"/>
      <c r="F69" s="4" t="s">
        <v>59</v>
      </c>
      <c r="G69" s="436">
        <v>4.3769999999999998</v>
      </c>
      <c r="H69" s="440">
        <v>10</v>
      </c>
      <c r="I69" s="28">
        <v>1</v>
      </c>
      <c r="J69" s="441">
        <f t="shared" si="34"/>
        <v>2.2846698652044779</v>
      </c>
      <c r="K69" s="432">
        <v>1</v>
      </c>
      <c r="L69" s="267">
        <f t="shared" si="35"/>
        <v>2.2846698652044779</v>
      </c>
      <c r="M69" s="433">
        <f t="shared" si="36"/>
        <v>456.93397304089558</v>
      </c>
      <c r="N69" s="434">
        <v>200</v>
      </c>
      <c r="O69" s="435">
        <f t="shared" si="37"/>
        <v>2.2846698652044779</v>
      </c>
    </row>
    <row r="70" spans="1:15" ht="15">
      <c r="A70" s="39"/>
      <c r="B70" s="649" t="s">
        <v>135</v>
      </c>
      <c r="C70" s="649"/>
      <c r="D70" s="649"/>
      <c r="E70" s="649"/>
      <c r="F70" s="649"/>
      <c r="G70" s="649"/>
      <c r="H70" s="649"/>
      <c r="I70" s="649"/>
      <c r="J70" s="649"/>
      <c r="K70" s="649"/>
      <c r="L70" s="435"/>
      <c r="M70" s="262">
        <f>SUM(M71:M73)</f>
        <v>542.1416234887738</v>
      </c>
      <c r="N70" s="263"/>
      <c r="O70" s="264">
        <f>SUM(O71:O73)</f>
        <v>1.4607081174438687</v>
      </c>
    </row>
    <row r="71" spans="1:15" ht="15">
      <c r="A71" s="13" t="s">
        <v>136</v>
      </c>
      <c r="B71" s="56" t="s">
        <v>137</v>
      </c>
      <c r="C71" s="13" t="s">
        <v>138</v>
      </c>
      <c r="D71" s="13">
        <v>117</v>
      </c>
      <c r="E71" s="13"/>
      <c r="F71" s="4" t="s">
        <v>139</v>
      </c>
      <c r="G71" s="28">
        <v>10</v>
      </c>
      <c r="H71" s="440">
        <v>10</v>
      </c>
      <c r="I71" s="28">
        <v>2</v>
      </c>
      <c r="J71" s="441">
        <f>H71/G71*I71</f>
        <v>2</v>
      </c>
      <c r="K71" s="28">
        <v>1</v>
      </c>
      <c r="L71" s="435">
        <f t="shared" si="38" ref="L71:L73">J71*K71</f>
        <v>2</v>
      </c>
      <c r="M71" s="266">
        <f>L71*N71</f>
        <v>400</v>
      </c>
      <c r="N71" s="433">
        <v>200</v>
      </c>
      <c r="O71" s="435">
        <f>J71/I71*K71</f>
        <v>1</v>
      </c>
    </row>
    <row r="72" spans="1:15" ht="15">
      <c r="A72" s="13" t="s">
        <v>346</v>
      </c>
      <c r="B72" s="56" t="s">
        <v>347</v>
      </c>
      <c r="C72" s="13" t="s">
        <v>14</v>
      </c>
      <c r="D72" s="13">
        <v>226</v>
      </c>
      <c r="E72" s="13"/>
      <c r="F72" s="13" t="s">
        <v>58</v>
      </c>
      <c r="G72" s="28">
        <v>23.16</v>
      </c>
      <c r="H72" s="440">
        <v>10</v>
      </c>
      <c r="I72" s="28">
        <v>1</v>
      </c>
      <c r="J72" s="441">
        <f>H72/G72*I72</f>
        <v>0.43177892918825561</v>
      </c>
      <c r="K72" s="28">
        <f>0.122*4</f>
        <v>0.48799999999999999</v>
      </c>
      <c r="L72" s="435">
        <f t="shared" si="38"/>
        <v>0.21070811744386872</v>
      </c>
      <c r="M72" s="266">
        <f>L72*N72</f>
        <v>42.141623488773746</v>
      </c>
      <c r="N72" s="433">
        <v>200</v>
      </c>
      <c r="O72" s="435">
        <f>J72/I72*K72</f>
        <v>0.21070811744386872</v>
      </c>
    </row>
    <row r="73" spans="1:15" ht="15">
      <c r="A73" s="13" t="s">
        <v>344</v>
      </c>
      <c r="B73" s="56" t="s">
        <v>345</v>
      </c>
      <c r="C73" s="13" t="s">
        <v>24</v>
      </c>
      <c r="D73" s="13">
        <v>219</v>
      </c>
      <c r="E73" s="13"/>
      <c r="F73" s="4" t="s">
        <v>139</v>
      </c>
      <c r="G73" s="28">
        <v>40</v>
      </c>
      <c r="H73" s="440">
        <v>10</v>
      </c>
      <c r="I73" s="28">
        <v>2</v>
      </c>
      <c r="J73" s="441">
        <f>H73/G73*I73</f>
        <v>0.50</v>
      </c>
      <c r="K73" s="28">
        <v>1</v>
      </c>
      <c r="L73" s="435">
        <f t="shared" si="38"/>
        <v>0.50</v>
      </c>
      <c r="M73" s="266">
        <f>L73*N73</f>
        <v>100</v>
      </c>
      <c r="N73" s="433">
        <v>200</v>
      </c>
      <c r="O73" s="435">
        <f>J73/I73*K73</f>
        <v>0.25</v>
      </c>
    </row>
    <row r="74" spans="1:15" ht="15">
      <c r="A74" s="39"/>
      <c r="B74" s="649" t="s">
        <v>133</v>
      </c>
      <c r="C74" s="649"/>
      <c r="D74" s="649"/>
      <c r="E74" s="649"/>
      <c r="F74" s="649"/>
      <c r="G74" s="649"/>
      <c r="H74" s="649"/>
      <c r="I74" s="649"/>
      <c r="J74" s="649"/>
      <c r="K74" s="649"/>
      <c r="L74" s="267"/>
      <c r="M74" s="262">
        <f>SUM(M75:M119)</f>
        <v>11183.78292931386</v>
      </c>
      <c r="N74" s="263"/>
      <c r="O74" s="264">
        <f>SUM(O75:O119)</f>
        <v>33.780529782305479</v>
      </c>
    </row>
    <row r="75" spans="1:15" ht="15">
      <c r="A75" s="13" t="s">
        <v>221</v>
      </c>
      <c r="B75" s="56" t="s">
        <v>715</v>
      </c>
      <c r="C75" s="13" t="s">
        <v>24</v>
      </c>
      <c r="D75" s="13">
        <v>112</v>
      </c>
      <c r="E75" s="13"/>
      <c r="F75" s="13" t="s">
        <v>11</v>
      </c>
      <c r="G75" s="432">
        <v>10</v>
      </c>
      <c r="H75" s="440">
        <v>10</v>
      </c>
      <c r="I75" s="28">
        <v>2</v>
      </c>
      <c r="J75" s="441">
        <f t="shared" si="39" ref="J75:J119">H75/G75*I75</f>
        <v>2</v>
      </c>
      <c r="K75" s="28">
        <v>1</v>
      </c>
      <c r="L75" s="267">
        <f t="shared" si="40" ref="L75:L119">J75*K75</f>
        <v>2</v>
      </c>
      <c r="M75" s="433">
        <f t="shared" si="41" ref="M75:M119">L75*N75</f>
        <v>400</v>
      </c>
      <c r="N75" s="434">
        <v>200</v>
      </c>
      <c r="O75" s="435">
        <f t="shared" si="42" ref="O75:O119">J75/I75*K75</f>
        <v>1</v>
      </c>
    </row>
    <row r="76" spans="1:15" ht="30">
      <c r="A76" s="13" t="s">
        <v>225</v>
      </c>
      <c r="B76" s="27" t="s">
        <v>230</v>
      </c>
      <c r="C76" s="13" t="s">
        <v>226</v>
      </c>
      <c r="D76" s="13">
        <v>302</v>
      </c>
      <c r="E76" s="13"/>
      <c r="F76" s="13" t="s">
        <v>227</v>
      </c>
      <c r="G76" s="28">
        <f>600/2.5</f>
        <v>240</v>
      </c>
      <c r="H76" s="440">
        <v>10</v>
      </c>
      <c r="I76" s="28">
        <v>2</v>
      </c>
      <c r="J76" s="441">
        <f t="shared" si="39"/>
        <v>0.083333333333333329</v>
      </c>
      <c r="K76" s="28">
        <v>18</v>
      </c>
      <c r="L76" s="435">
        <f t="shared" si="40"/>
        <v>1.50</v>
      </c>
      <c r="M76" s="433">
        <f t="shared" si="41"/>
        <v>300</v>
      </c>
      <c r="N76" s="433">
        <v>200</v>
      </c>
      <c r="O76" s="435">
        <f t="shared" si="42"/>
        <v>0.75</v>
      </c>
    </row>
    <row r="77" spans="1:15" ht="30">
      <c r="A77" s="13" t="s">
        <v>228</v>
      </c>
      <c r="B77" s="27" t="s">
        <v>1282</v>
      </c>
      <c r="C77" s="13" t="s">
        <v>24</v>
      </c>
      <c r="D77" s="13">
        <v>110</v>
      </c>
      <c r="E77" s="13"/>
      <c r="F77" s="13" t="s">
        <v>63</v>
      </c>
      <c r="G77" s="28">
        <f>10*40</f>
        <v>400</v>
      </c>
      <c r="H77" s="440">
        <v>10</v>
      </c>
      <c r="I77" s="28">
        <v>2</v>
      </c>
      <c r="J77" s="441">
        <f t="shared" si="39"/>
        <v>0.05</v>
      </c>
      <c r="K77" s="28">
        <v>18</v>
      </c>
      <c r="L77" s="435">
        <f t="shared" si="40"/>
        <v>0.90</v>
      </c>
      <c r="M77" s="433">
        <f t="shared" si="41"/>
        <v>136.80000000000001</v>
      </c>
      <c r="N77" s="433">
        <v>152</v>
      </c>
      <c r="O77" s="435">
        <f t="shared" si="42"/>
        <v>0.45</v>
      </c>
    </row>
    <row r="78" spans="1:15" ht="15">
      <c r="A78" s="13" t="s">
        <v>232</v>
      </c>
      <c r="B78" s="27" t="s">
        <v>61</v>
      </c>
      <c r="C78" s="13" t="s">
        <v>62</v>
      </c>
      <c r="D78" s="13">
        <v>112</v>
      </c>
      <c r="E78" s="13"/>
      <c r="F78" s="13" t="s">
        <v>63</v>
      </c>
      <c r="G78" s="28">
        <v>200</v>
      </c>
      <c r="H78" s="440">
        <v>10</v>
      </c>
      <c r="I78" s="28">
        <v>2</v>
      </c>
      <c r="J78" s="441">
        <f t="shared" si="39"/>
        <v>0.10000000000000001</v>
      </c>
      <c r="K78" s="28">
        <v>18</v>
      </c>
      <c r="L78" s="267">
        <f t="shared" si="40"/>
        <v>1.80</v>
      </c>
      <c r="M78" s="433">
        <f t="shared" si="41"/>
        <v>273.60000000000002</v>
      </c>
      <c r="N78" s="434">
        <v>152</v>
      </c>
      <c r="O78" s="435">
        <f t="shared" si="42"/>
        <v>0.90</v>
      </c>
    </row>
    <row r="79" spans="1:15" ht="15">
      <c r="A79" s="13" t="s">
        <v>536</v>
      </c>
      <c r="B79" s="27" t="s">
        <v>537</v>
      </c>
      <c r="C79" s="13" t="s">
        <v>538</v>
      </c>
      <c r="D79" s="13">
        <v>115</v>
      </c>
      <c r="E79" s="13"/>
      <c r="F79" s="13" t="s">
        <v>63</v>
      </c>
      <c r="G79" s="28">
        <v>1200</v>
      </c>
      <c r="H79" s="440">
        <v>10</v>
      </c>
      <c r="I79" s="28">
        <v>1</v>
      </c>
      <c r="J79" s="441">
        <f t="shared" si="39"/>
        <v>0.0083333333333333332</v>
      </c>
      <c r="K79" s="28">
        <v>18</v>
      </c>
      <c r="L79" s="267">
        <f t="shared" si="40"/>
        <v>0.14999999999999999</v>
      </c>
      <c r="M79" s="433">
        <f t="shared" si="41"/>
        <v>30</v>
      </c>
      <c r="N79" s="434">
        <v>200</v>
      </c>
      <c r="O79" s="435">
        <f t="shared" si="42"/>
        <v>0.14999999999999999</v>
      </c>
    </row>
    <row r="80" spans="1:15" ht="30">
      <c r="A80" s="13" t="s">
        <v>233</v>
      </c>
      <c r="B80" s="27" t="s">
        <v>66</v>
      </c>
      <c r="C80" s="13" t="s">
        <v>48</v>
      </c>
      <c r="D80" s="13">
        <v>112</v>
      </c>
      <c r="E80" s="13"/>
      <c r="F80" s="13" t="s">
        <v>67</v>
      </c>
      <c r="G80" s="28">
        <v>80</v>
      </c>
      <c r="H80" s="440">
        <v>10</v>
      </c>
      <c r="I80" s="28">
        <v>2</v>
      </c>
      <c r="J80" s="441">
        <f t="shared" si="39"/>
        <v>0.25</v>
      </c>
      <c r="K80" s="28">
        <v>4</v>
      </c>
      <c r="L80" s="267">
        <f t="shared" si="40"/>
        <v>1</v>
      </c>
      <c r="M80" s="433">
        <f t="shared" si="41"/>
        <v>200</v>
      </c>
      <c r="N80" s="434">
        <v>200</v>
      </c>
      <c r="O80" s="435">
        <f t="shared" si="42"/>
        <v>0.50</v>
      </c>
    </row>
    <row r="81" spans="1:15" ht="15">
      <c r="A81" s="637" t="s">
        <v>234</v>
      </c>
      <c r="B81" s="648" t="s">
        <v>235</v>
      </c>
      <c r="C81" s="13" t="s">
        <v>72</v>
      </c>
      <c r="D81" s="13">
        <v>115</v>
      </c>
      <c r="E81" s="13"/>
      <c r="F81" s="13" t="s">
        <v>236</v>
      </c>
      <c r="G81" s="28">
        <v>30</v>
      </c>
      <c r="H81" s="440">
        <v>10</v>
      </c>
      <c r="I81" s="28">
        <v>2</v>
      </c>
      <c r="J81" s="441">
        <f t="shared" si="39"/>
        <v>0.66666666666666663</v>
      </c>
      <c r="K81" s="28">
        <v>2</v>
      </c>
      <c r="L81" s="267">
        <f t="shared" si="40"/>
        <v>1.3333333333333333</v>
      </c>
      <c r="M81" s="433">
        <f t="shared" si="41"/>
        <v>266.66666666666663</v>
      </c>
      <c r="N81" s="434">
        <v>200</v>
      </c>
      <c r="O81" s="435">
        <f t="shared" si="42"/>
        <v>0.66666666666666663</v>
      </c>
    </row>
    <row r="82" spans="1:15" ht="15">
      <c r="A82" s="637"/>
      <c r="B82" s="648"/>
      <c r="C82" s="13" t="s">
        <v>48</v>
      </c>
      <c r="D82" s="13">
        <v>115</v>
      </c>
      <c r="E82" s="13" t="s">
        <v>529</v>
      </c>
      <c r="F82" s="13" t="s">
        <v>10</v>
      </c>
      <c r="G82" s="28">
        <v>40</v>
      </c>
      <c r="H82" s="440">
        <v>10</v>
      </c>
      <c r="I82" s="28">
        <v>1</v>
      </c>
      <c r="J82" s="441">
        <f t="shared" si="39"/>
        <v>0.25</v>
      </c>
      <c r="K82" s="442">
        <f>(486+774)/1000</f>
        <v>1.26</v>
      </c>
      <c r="L82" s="267">
        <f t="shared" si="40"/>
        <v>0.315</v>
      </c>
      <c r="M82" s="433">
        <f t="shared" si="41"/>
        <v>63</v>
      </c>
      <c r="N82" s="434">
        <v>200</v>
      </c>
      <c r="O82" s="435">
        <f t="shared" si="42"/>
        <v>0.315</v>
      </c>
    </row>
    <row r="83" spans="1:15" ht="15">
      <c r="A83" s="13" t="s">
        <v>237</v>
      </c>
      <c r="B83" s="56" t="s">
        <v>238</v>
      </c>
      <c r="C83" s="13" t="s">
        <v>69</v>
      </c>
      <c r="D83" s="13">
        <v>110</v>
      </c>
      <c r="E83" s="13"/>
      <c r="F83" s="13" t="s">
        <v>34</v>
      </c>
      <c r="G83" s="28">
        <v>10</v>
      </c>
      <c r="H83" s="440">
        <v>10</v>
      </c>
      <c r="I83" s="28">
        <v>2</v>
      </c>
      <c r="J83" s="441">
        <f t="shared" si="39"/>
        <v>2</v>
      </c>
      <c r="K83" s="28">
        <v>1</v>
      </c>
      <c r="L83" s="267">
        <f t="shared" si="40"/>
        <v>2</v>
      </c>
      <c r="M83" s="433">
        <f t="shared" si="41"/>
        <v>400</v>
      </c>
      <c r="N83" s="434">
        <v>200</v>
      </c>
      <c r="O83" s="435">
        <f t="shared" si="42"/>
        <v>1</v>
      </c>
    </row>
    <row r="84" spans="1:15" ht="30">
      <c r="A84" s="13" t="s">
        <v>896</v>
      </c>
      <c r="B84" s="56" t="s">
        <v>894</v>
      </c>
      <c r="C84" s="13" t="s">
        <v>138</v>
      </c>
      <c r="D84" s="13">
        <v>110</v>
      </c>
      <c r="E84" s="13"/>
      <c r="F84" s="13" t="s">
        <v>12</v>
      </c>
      <c r="G84" s="28">
        <v>20</v>
      </c>
      <c r="H84" s="440">
        <v>10</v>
      </c>
      <c r="I84" s="28">
        <v>2</v>
      </c>
      <c r="J84" s="441">
        <f t="shared" si="39"/>
        <v>1</v>
      </c>
      <c r="K84" s="28">
        <v>1</v>
      </c>
      <c r="L84" s="267">
        <f t="shared" si="40"/>
        <v>1</v>
      </c>
      <c r="M84" s="433">
        <f t="shared" si="41"/>
        <v>200</v>
      </c>
      <c r="N84" s="434">
        <v>200</v>
      </c>
      <c r="O84" s="435">
        <f t="shared" si="42"/>
        <v>0.50</v>
      </c>
    </row>
    <row r="85" spans="1:15" ht="30">
      <c r="A85" s="13" t="s">
        <v>243</v>
      </c>
      <c r="B85" s="56" t="s">
        <v>244</v>
      </c>
      <c r="C85" s="13" t="s">
        <v>25</v>
      </c>
      <c r="D85" s="13">
        <v>110</v>
      </c>
      <c r="E85" s="13" t="s">
        <v>53</v>
      </c>
      <c r="F85" s="13" t="s">
        <v>10</v>
      </c>
      <c r="G85" s="28">
        <v>40</v>
      </c>
      <c r="H85" s="440">
        <v>10</v>
      </c>
      <c r="I85" s="28">
        <v>1</v>
      </c>
      <c r="J85" s="441">
        <f t="shared" si="39"/>
        <v>0.25</v>
      </c>
      <c r="K85" s="28">
        <f>2.469*2</f>
        <v>4.9379999999999997</v>
      </c>
      <c r="L85" s="267">
        <f t="shared" si="40"/>
        <v>1.2344999999999999</v>
      </c>
      <c r="M85" s="433">
        <f t="shared" si="41"/>
        <v>246.89999999999998</v>
      </c>
      <c r="N85" s="434">
        <v>200</v>
      </c>
      <c r="O85" s="435">
        <f t="shared" si="42"/>
        <v>1.2344999999999999</v>
      </c>
    </row>
    <row r="86" spans="1:15" ht="15">
      <c r="A86" s="13" t="s">
        <v>237</v>
      </c>
      <c r="B86" s="56" t="s">
        <v>71</v>
      </c>
      <c r="C86" s="13" t="s">
        <v>68</v>
      </c>
      <c r="D86" s="13">
        <v>110</v>
      </c>
      <c r="E86" s="13"/>
      <c r="F86" s="13" t="s">
        <v>34</v>
      </c>
      <c r="G86" s="28">
        <v>20</v>
      </c>
      <c r="H86" s="440">
        <v>10</v>
      </c>
      <c r="I86" s="28">
        <v>2</v>
      </c>
      <c r="J86" s="441">
        <f t="shared" si="39"/>
        <v>1</v>
      </c>
      <c r="K86" s="28">
        <v>1</v>
      </c>
      <c r="L86" s="267">
        <f t="shared" si="40"/>
        <v>1</v>
      </c>
      <c r="M86" s="433">
        <f t="shared" si="41"/>
        <v>200</v>
      </c>
      <c r="N86" s="434">
        <v>200</v>
      </c>
      <c r="O86" s="435">
        <f t="shared" si="42"/>
        <v>0.50</v>
      </c>
    </row>
    <row r="87" spans="1:15" ht="30">
      <c r="A87" s="13" t="s">
        <v>897</v>
      </c>
      <c r="B87" s="56" t="s">
        <v>895</v>
      </c>
      <c r="C87" s="13" t="s">
        <v>138</v>
      </c>
      <c r="D87" s="13">
        <v>110</v>
      </c>
      <c r="E87" s="13"/>
      <c r="F87" s="13" t="s">
        <v>12</v>
      </c>
      <c r="G87" s="28">
        <v>20</v>
      </c>
      <c r="H87" s="440">
        <v>10</v>
      </c>
      <c r="I87" s="28">
        <v>2</v>
      </c>
      <c r="J87" s="441">
        <f t="shared" si="39"/>
        <v>1</v>
      </c>
      <c r="K87" s="28">
        <v>1</v>
      </c>
      <c r="L87" s="267">
        <f t="shared" si="40"/>
        <v>1</v>
      </c>
      <c r="M87" s="433">
        <f t="shared" si="41"/>
        <v>200</v>
      </c>
      <c r="N87" s="434">
        <v>200</v>
      </c>
      <c r="O87" s="435">
        <f t="shared" si="42"/>
        <v>0.50</v>
      </c>
    </row>
    <row r="88" spans="1:15" ht="30">
      <c r="A88" s="13" t="s">
        <v>249</v>
      </c>
      <c r="B88" s="56" t="s">
        <v>248</v>
      </c>
      <c r="C88" s="13" t="s">
        <v>25</v>
      </c>
      <c r="D88" s="13">
        <v>110</v>
      </c>
      <c r="E88" s="13" t="s">
        <v>53</v>
      </c>
      <c r="F88" s="13" t="s">
        <v>10</v>
      </c>
      <c r="G88" s="28">
        <v>40</v>
      </c>
      <c r="H88" s="440">
        <v>10</v>
      </c>
      <c r="I88" s="28">
        <v>1</v>
      </c>
      <c r="J88" s="441">
        <f t="shared" si="39"/>
        <v>0.25</v>
      </c>
      <c r="K88" s="28">
        <f>2.469*2</f>
        <v>4.9379999999999997</v>
      </c>
      <c r="L88" s="267">
        <f t="shared" si="40"/>
        <v>1.2344999999999999</v>
      </c>
      <c r="M88" s="433">
        <f t="shared" si="41"/>
        <v>246.89999999999998</v>
      </c>
      <c r="N88" s="434">
        <v>200</v>
      </c>
      <c r="O88" s="435">
        <f t="shared" si="42"/>
        <v>1.2344999999999999</v>
      </c>
    </row>
    <row r="89" spans="1:15" ht="15">
      <c r="A89" s="13" t="s">
        <v>237</v>
      </c>
      <c r="B89" s="56" t="s">
        <v>71</v>
      </c>
      <c r="C89" s="13" t="s">
        <v>68</v>
      </c>
      <c r="D89" s="13">
        <v>110</v>
      </c>
      <c r="E89" s="13"/>
      <c r="F89" s="13" t="s">
        <v>34</v>
      </c>
      <c r="G89" s="28">
        <v>20</v>
      </c>
      <c r="H89" s="440">
        <v>10</v>
      </c>
      <c r="I89" s="28">
        <v>2</v>
      </c>
      <c r="J89" s="441">
        <f t="shared" si="39"/>
        <v>1</v>
      </c>
      <c r="K89" s="28">
        <v>1</v>
      </c>
      <c r="L89" s="267">
        <f t="shared" si="40"/>
        <v>1</v>
      </c>
      <c r="M89" s="433">
        <f t="shared" si="41"/>
        <v>200</v>
      </c>
      <c r="N89" s="434">
        <v>200</v>
      </c>
      <c r="O89" s="435">
        <f t="shared" si="42"/>
        <v>0.50</v>
      </c>
    </row>
    <row r="90" spans="1:15" ht="30">
      <c r="A90" s="13" t="s">
        <v>239</v>
      </c>
      <c r="B90" s="56" t="s">
        <v>240</v>
      </c>
      <c r="C90" s="13" t="s">
        <v>25</v>
      </c>
      <c r="D90" s="13">
        <v>113</v>
      </c>
      <c r="E90" s="13"/>
      <c r="F90" s="13" t="s">
        <v>63</v>
      </c>
      <c r="G90" s="432">
        <v>112</v>
      </c>
      <c r="H90" s="440">
        <v>10</v>
      </c>
      <c r="I90" s="28">
        <v>1</v>
      </c>
      <c r="J90" s="441">
        <f t="shared" si="43" ref="J90:J93">H90/G90*I90</f>
        <v>0.089285714285714288</v>
      </c>
      <c r="K90" s="28">
        <v>18</v>
      </c>
      <c r="L90" s="267">
        <f t="shared" si="44" ref="L90:L93">J90*K90</f>
        <v>1.6071428571428572</v>
      </c>
      <c r="M90" s="433">
        <f t="shared" si="45" ref="M90:M93">L90*N90</f>
        <v>417.85714285714289</v>
      </c>
      <c r="N90" s="434">
        <v>260</v>
      </c>
      <c r="O90" s="435">
        <f t="shared" si="46" ref="O90:O93">J90/I90*K90</f>
        <v>1.6071428571428572</v>
      </c>
    </row>
    <row r="91" spans="1:15" ht="30">
      <c r="A91" s="13" t="s">
        <v>317</v>
      </c>
      <c r="B91" s="56" t="s">
        <v>316</v>
      </c>
      <c r="C91" s="13" t="s">
        <v>25</v>
      </c>
      <c r="D91" s="13">
        <v>113</v>
      </c>
      <c r="E91" s="13" t="s">
        <v>70</v>
      </c>
      <c r="F91" s="13" t="s">
        <v>10</v>
      </c>
      <c r="G91" s="28">
        <v>40</v>
      </c>
      <c r="H91" s="440">
        <v>10</v>
      </c>
      <c r="I91" s="28">
        <v>1</v>
      </c>
      <c r="J91" s="441">
        <f t="shared" si="43"/>
        <v>0.25</v>
      </c>
      <c r="K91" s="436">
        <f>426/1000*3.1415</f>
        <v>1.338279</v>
      </c>
      <c r="L91" s="267">
        <f t="shared" si="44"/>
        <v>0.33456975</v>
      </c>
      <c r="M91" s="433">
        <f t="shared" si="45"/>
        <v>66.91395</v>
      </c>
      <c r="N91" s="434">
        <v>200</v>
      </c>
      <c r="O91" s="435">
        <f t="shared" si="46"/>
        <v>0.33456975</v>
      </c>
    </row>
    <row r="92" spans="1:15" ht="30">
      <c r="A92" s="13" t="s">
        <v>245</v>
      </c>
      <c r="B92" s="56" t="s">
        <v>246</v>
      </c>
      <c r="C92" s="13" t="s">
        <v>25</v>
      </c>
      <c r="D92" s="13">
        <v>113</v>
      </c>
      <c r="E92" s="13"/>
      <c r="F92" s="13" t="s">
        <v>63</v>
      </c>
      <c r="G92" s="432">
        <v>112</v>
      </c>
      <c r="H92" s="440">
        <v>10</v>
      </c>
      <c r="I92" s="28">
        <v>1</v>
      </c>
      <c r="J92" s="441">
        <f t="shared" si="43"/>
        <v>0.089285714285714288</v>
      </c>
      <c r="K92" s="28">
        <v>18</v>
      </c>
      <c r="L92" s="267">
        <f t="shared" si="44"/>
        <v>1.6071428571428572</v>
      </c>
      <c r="M92" s="433">
        <f t="shared" si="45"/>
        <v>417.85714285714289</v>
      </c>
      <c r="N92" s="434">
        <v>260</v>
      </c>
      <c r="O92" s="435">
        <f t="shared" si="46"/>
        <v>1.6071428571428572</v>
      </c>
    </row>
    <row r="93" spans="1:15" ht="15">
      <c r="A93" s="13" t="s">
        <v>741</v>
      </c>
      <c r="B93" s="56" t="s">
        <v>1281</v>
      </c>
      <c r="C93" s="13" t="s">
        <v>33</v>
      </c>
      <c r="D93" s="13">
        <v>115</v>
      </c>
      <c r="E93" s="13"/>
      <c r="F93" s="13"/>
      <c r="G93" s="28">
        <v>10</v>
      </c>
      <c r="H93" s="440">
        <v>10</v>
      </c>
      <c r="I93" s="28">
        <v>1</v>
      </c>
      <c r="J93" s="441">
        <f t="shared" si="43"/>
        <v>1</v>
      </c>
      <c r="K93" s="28">
        <v>1</v>
      </c>
      <c r="L93" s="267">
        <f t="shared" si="44"/>
        <v>1</v>
      </c>
      <c r="M93" s="433">
        <f t="shared" si="45"/>
        <v>200</v>
      </c>
      <c r="N93" s="434">
        <v>200</v>
      </c>
      <c r="O93" s="435">
        <f t="shared" si="46"/>
        <v>1</v>
      </c>
    </row>
    <row r="94" spans="1:15" ht="15">
      <c r="A94" s="637" t="s">
        <v>254</v>
      </c>
      <c r="B94" s="638" t="s">
        <v>884</v>
      </c>
      <c r="C94" s="13" t="s">
        <v>76</v>
      </c>
      <c r="D94" s="13">
        <v>115</v>
      </c>
      <c r="E94" s="13"/>
      <c r="F94" s="13" t="s">
        <v>78</v>
      </c>
      <c r="G94" s="28">
        <v>20</v>
      </c>
      <c r="H94" s="440">
        <v>10</v>
      </c>
      <c r="I94" s="28">
        <v>2</v>
      </c>
      <c r="J94" s="441">
        <f t="shared" si="39"/>
        <v>1</v>
      </c>
      <c r="K94" s="28">
        <v>2</v>
      </c>
      <c r="L94" s="267">
        <f t="shared" si="40"/>
        <v>2</v>
      </c>
      <c r="M94" s="433">
        <f t="shared" si="41"/>
        <v>400</v>
      </c>
      <c r="N94" s="434">
        <v>200</v>
      </c>
      <c r="O94" s="435">
        <f t="shared" si="42"/>
        <v>1</v>
      </c>
    </row>
    <row r="95" spans="1:15" ht="15">
      <c r="A95" s="637"/>
      <c r="B95" s="638"/>
      <c r="C95" s="13" t="s">
        <v>77</v>
      </c>
      <c r="D95" s="13">
        <v>115</v>
      </c>
      <c r="E95" s="13" t="s">
        <v>79</v>
      </c>
      <c r="F95" s="13" t="s">
        <v>10</v>
      </c>
      <c r="G95" s="28">
        <v>40</v>
      </c>
      <c r="H95" s="440">
        <v>10</v>
      </c>
      <c r="I95" s="28">
        <v>1</v>
      </c>
      <c r="J95" s="441">
        <f t="shared" si="39"/>
        <v>0.25</v>
      </c>
      <c r="K95" s="442">
        <f>(116*2*4+130*4)/1000</f>
        <v>1.448</v>
      </c>
      <c r="L95" s="267">
        <f t="shared" si="40"/>
        <v>0.36199999999999999</v>
      </c>
      <c r="M95" s="433">
        <f t="shared" si="41"/>
        <v>72.399999999999991</v>
      </c>
      <c r="N95" s="434">
        <v>200</v>
      </c>
      <c r="O95" s="435">
        <f t="shared" si="42"/>
        <v>0.36199999999999999</v>
      </c>
    </row>
    <row r="96" spans="1:15" ht="15">
      <c r="A96" s="637" t="s">
        <v>257</v>
      </c>
      <c r="B96" s="638" t="s">
        <v>258</v>
      </c>
      <c r="C96" s="13" t="s">
        <v>527</v>
      </c>
      <c r="D96" s="13">
        <v>107</v>
      </c>
      <c r="E96" s="13" t="s">
        <v>260</v>
      </c>
      <c r="F96" s="13" t="s">
        <v>261</v>
      </c>
      <c r="G96" s="28">
        <v>76</v>
      </c>
      <c r="H96" s="440">
        <v>10</v>
      </c>
      <c r="I96" s="28">
        <v>2</v>
      </c>
      <c r="J96" s="441">
        <f t="shared" si="39"/>
        <v>0.26315789473684209</v>
      </c>
      <c r="K96" s="28">
        <v>2</v>
      </c>
      <c r="L96" s="435">
        <f t="shared" si="40"/>
        <v>0.52631578947368418</v>
      </c>
      <c r="M96" s="266">
        <f t="shared" si="41"/>
        <v>105.26315789473684</v>
      </c>
      <c r="N96" s="433">
        <v>200</v>
      </c>
      <c r="O96" s="435">
        <f t="shared" si="42"/>
        <v>0.26315789473684209</v>
      </c>
    </row>
    <row r="97" spans="1:15" ht="15">
      <c r="A97" s="637"/>
      <c r="B97" s="638"/>
      <c r="C97" s="13" t="s">
        <v>528</v>
      </c>
      <c r="D97" s="13">
        <v>107</v>
      </c>
      <c r="E97" s="13" t="s">
        <v>260</v>
      </c>
      <c r="F97" s="13" t="s">
        <v>261</v>
      </c>
      <c r="G97" s="28">
        <v>132</v>
      </c>
      <c r="H97" s="440">
        <v>10</v>
      </c>
      <c r="I97" s="28">
        <v>2</v>
      </c>
      <c r="J97" s="441">
        <f t="shared" si="39"/>
        <v>0.15151515151515152</v>
      </c>
      <c r="K97" s="28">
        <v>4</v>
      </c>
      <c r="L97" s="435">
        <f t="shared" si="40"/>
        <v>0.60606060606060608</v>
      </c>
      <c r="M97" s="266">
        <f t="shared" si="41"/>
        <v>121.21212121212122</v>
      </c>
      <c r="N97" s="433">
        <v>200</v>
      </c>
      <c r="O97" s="435">
        <f t="shared" si="42"/>
        <v>0.30303030303030304</v>
      </c>
    </row>
    <row r="98" spans="1:15" ht="15">
      <c r="A98" s="637" t="s">
        <v>265</v>
      </c>
      <c r="B98" s="638" t="s">
        <v>266</v>
      </c>
      <c r="C98" s="13" t="s">
        <v>76</v>
      </c>
      <c r="D98" s="13">
        <v>116</v>
      </c>
      <c r="E98" s="13"/>
      <c r="F98" s="13" t="s">
        <v>82</v>
      </c>
      <c r="G98" s="28">
        <v>10</v>
      </c>
      <c r="H98" s="440">
        <v>10</v>
      </c>
      <c r="I98" s="28">
        <v>2</v>
      </c>
      <c r="J98" s="441">
        <f t="shared" si="39"/>
        <v>2</v>
      </c>
      <c r="K98" s="28">
        <v>1</v>
      </c>
      <c r="L98" s="267">
        <f t="shared" si="40"/>
        <v>2</v>
      </c>
      <c r="M98" s="433">
        <f t="shared" si="41"/>
        <v>400</v>
      </c>
      <c r="N98" s="434">
        <v>200</v>
      </c>
      <c r="O98" s="435">
        <f t="shared" si="42"/>
        <v>1</v>
      </c>
    </row>
    <row r="99" spans="1:15" ht="15">
      <c r="A99" s="637"/>
      <c r="B99" s="638"/>
      <c r="C99" s="13" t="s">
        <v>77</v>
      </c>
      <c r="D99" s="13">
        <v>116</v>
      </c>
      <c r="E99" s="13" t="s">
        <v>264</v>
      </c>
      <c r="F99" s="13" t="s">
        <v>10</v>
      </c>
      <c r="G99" s="28">
        <v>40</v>
      </c>
      <c r="H99" s="440">
        <v>10</v>
      </c>
      <c r="I99" s="28">
        <v>1</v>
      </c>
      <c r="J99" s="441">
        <f t="shared" si="39"/>
        <v>0.25</v>
      </c>
      <c r="K99" s="442">
        <f>(57*3.1415*3)*2/1000</f>
        <v>1.0743929999999999</v>
      </c>
      <c r="L99" s="267">
        <f t="shared" si="40"/>
        <v>0.26859824999999998</v>
      </c>
      <c r="M99" s="433">
        <f t="shared" si="41"/>
        <v>53.719649999999994</v>
      </c>
      <c r="N99" s="434">
        <v>200</v>
      </c>
      <c r="O99" s="435">
        <f t="shared" si="42"/>
        <v>0.26859824999999998</v>
      </c>
    </row>
    <row r="100" spans="1:15" ht="30">
      <c r="A100" s="13" t="s">
        <v>267</v>
      </c>
      <c r="B100" s="27" t="s">
        <v>519</v>
      </c>
      <c r="C100" s="13" t="s">
        <v>77</v>
      </c>
      <c r="D100" s="13">
        <v>116</v>
      </c>
      <c r="E100" s="13"/>
      <c r="F100" s="13" t="s">
        <v>67</v>
      </c>
      <c r="G100" s="28">
        <v>10</v>
      </c>
      <c r="H100" s="440">
        <v>10</v>
      </c>
      <c r="I100" s="28">
        <v>2</v>
      </c>
      <c r="J100" s="441">
        <f t="shared" si="39"/>
        <v>2</v>
      </c>
      <c r="K100" s="28">
        <v>1</v>
      </c>
      <c r="L100" s="267">
        <f t="shared" si="40"/>
        <v>2</v>
      </c>
      <c r="M100" s="433">
        <f t="shared" si="41"/>
        <v>400</v>
      </c>
      <c r="N100" s="434">
        <v>200</v>
      </c>
      <c r="O100" s="435">
        <f t="shared" si="42"/>
        <v>1</v>
      </c>
    </row>
    <row r="101" spans="1:15" ht="15">
      <c r="A101" s="13" t="s">
        <v>268</v>
      </c>
      <c r="B101" s="27" t="s">
        <v>334</v>
      </c>
      <c r="C101" s="13" t="s">
        <v>83</v>
      </c>
      <c r="D101" s="13">
        <v>116</v>
      </c>
      <c r="E101" s="13"/>
      <c r="F101" s="4" t="s">
        <v>84</v>
      </c>
      <c r="G101" s="28">
        <v>14.70</v>
      </c>
      <c r="H101" s="440">
        <v>10</v>
      </c>
      <c r="I101" s="28">
        <v>2</v>
      </c>
      <c r="J101" s="441">
        <f t="shared" si="39"/>
        <v>1.3605442176870748</v>
      </c>
      <c r="K101" s="28">
        <v>1</v>
      </c>
      <c r="L101" s="267">
        <f t="shared" si="40"/>
        <v>1.3605442176870748</v>
      </c>
      <c r="M101" s="433">
        <f t="shared" si="41"/>
        <v>272.10884353741494</v>
      </c>
      <c r="N101" s="434">
        <v>200</v>
      </c>
      <c r="O101" s="435">
        <f t="shared" si="42"/>
        <v>0.68027210884353739</v>
      </c>
    </row>
    <row r="102" spans="1:15" ht="15">
      <c r="A102" s="13" t="s">
        <v>335</v>
      </c>
      <c r="B102" s="27" t="s">
        <v>336</v>
      </c>
      <c r="C102" s="13" t="s">
        <v>83</v>
      </c>
      <c r="D102" s="13">
        <v>116</v>
      </c>
      <c r="E102" s="13"/>
      <c r="F102" s="4" t="s">
        <v>84</v>
      </c>
      <c r="G102" s="28">
        <v>6.60</v>
      </c>
      <c r="H102" s="440">
        <v>10</v>
      </c>
      <c r="I102" s="28">
        <v>2</v>
      </c>
      <c r="J102" s="441">
        <f t="shared" si="39"/>
        <v>3.0303030303030303</v>
      </c>
      <c r="K102" s="28">
        <v>1</v>
      </c>
      <c r="L102" s="267">
        <f t="shared" si="40"/>
        <v>3.0303030303030303</v>
      </c>
      <c r="M102" s="433">
        <f t="shared" si="41"/>
        <v>606.06060606060601</v>
      </c>
      <c r="N102" s="434">
        <v>200</v>
      </c>
      <c r="O102" s="435">
        <f t="shared" si="42"/>
        <v>1.5151515151515151</v>
      </c>
    </row>
    <row r="103" spans="1:15" ht="15">
      <c r="A103" s="13" t="s">
        <v>526</v>
      </c>
      <c r="B103" s="56" t="s">
        <v>524</v>
      </c>
      <c r="C103" s="13" t="s">
        <v>523</v>
      </c>
      <c r="D103" s="13">
        <v>224</v>
      </c>
      <c r="E103" s="13"/>
      <c r="F103" s="4" t="s">
        <v>525</v>
      </c>
      <c r="G103" s="28">
        <v>600</v>
      </c>
      <c r="H103" s="431">
        <v>10</v>
      </c>
      <c r="I103" s="28">
        <v>1</v>
      </c>
      <c r="J103" s="441">
        <f t="shared" si="39"/>
        <v>0.016666666666666666</v>
      </c>
      <c r="K103" s="28">
        <v>4</v>
      </c>
      <c r="L103" s="267">
        <f t="shared" si="47" ref="L103">J103*K103</f>
        <v>0.066666666666666666</v>
      </c>
      <c r="M103" s="433">
        <f t="shared" si="48" ref="M103">L103*N103</f>
        <v>11.733333333333333</v>
      </c>
      <c r="N103" s="434">
        <v>176</v>
      </c>
      <c r="O103" s="435">
        <f t="shared" si="42"/>
        <v>0.066666666666666666</v>
      </c>
    </row>
    <row r="104" spans="1:15" ht="15">
      <c r="A104" s="13" t="s">
        <v>269</v>
      </c>
      <c r="B104" s="56" t="s">
        <v>270</v>
      </c>
      <c r="C104" s="13" t="s">
        <v>523</v>
      </c>
      <c r="D104" s="13">
        <v>224</v>
      </c>
      <c r="E104" s="13"/>
      <c r="F104" s="4" t="s">
        <v>88</v>
      </c>
      <c r="G104" s="28">
        <v>300</v>
      </c>
      <c r="H104" s="431">
        <v>10</v>
      </c>
      <c r="I104" s="28">
        <v>1</v>
      </c>
      <c r="J104" s="441">
        <f t="shared" si="39"/>
        <v>0.033333333333333333</v>
      </c>
      <c r="K104" s="28">
        <v>2</v>
      </c>
      <c r="L104" s="267">
        <f t="shared" si="40"/>
        <v>0.066666666666666666</v>
      </c>
      <c r="M104" s="433">
        <f t="shared" si="41"/>
        <v>11.733333333333333</v>
      </c>
      <c r="N104" s="434">
        <v>176</v>
      </c>
      <c r="O104" s="435">
        <f t="shared" si="42"/>
        <v>0.066666666666666666</v>
      </c>
    </row>
    <row r="105" spans="1:15" ht="15">
      <c r="A105" s="13" t="s">
        <v>918</v>
      </c>
      <c r="B105" s="56" t="s">
        <v>898</v>
      </c>
      <c r="C105" s="13" t="s">
        <v>523</v>
      </c>
      <c r="D105" s="13">
        <v>224</v>
      </c>
      <c r="E105" s="13"/>
      <c r="F105" s="4" t="s">
        <v>88</v>
      </c>
      <c r="G105" s="28">
        <v>600</v>
      </c>
      <c r="H105" s="431">
        <v>10</v>
      </c>
      <c r="I105" s="28">
        <v>1</v>
      </c>
      <c r="J105" s="441">
        <f t="shared" si="49" ref="J105">H105/G105*I105</f>
        <v>0.016666666666666666</v>
      </c>
      <c r="K105" s="28">
        <v>1</v>
      </c>
      <c r="L105" s="267">
        <f t="shared" si="50" ref="L105">J105*K105</f>
        <v>0.016666666666666666</v>
      </c>
      <c r="M105" s="433">
        <f t="shared" si="51" ref="M105">L105*N105</f>
        <v>2.9333333333333331</v>
      </c>
      <c r="N105" s="434">
        <v>176</v>
      </c>
      <c r="O105" s="435">
        <f t="shared" si="52" ref="O105">J105/I105*K105</f>
        <v>0.016666666666666666</v>
      </c>
    </row>
    <row r="106" spans="1:15" ht="30">
      <c r="A106" s="13" t="s">
        <v>271</v>
      </c>
      <c r="B106" s="56" t="s">
        <v>85</v>
      </c>
      <c r="C106" s="13" t="s">
        <v>83</v>
      </c>
      <c r="D106" s="13">
        <v>116</v>
      </c>
      <c r="E106" s="13"/>
      <c r="F106" s="13" t="s">
        <v>12</v>
      </c>
      <c r="G106" s="28">
        <v>2.80</v>
      </c>
      <c r="H106" s="440">
        <v>10</v>
      </c>
      <c r="I106" s="28">
        <v>2</v>
      </c>
      <c r="J106" s="441">
        <f t="shared" si="39"/>
        <v>7.1428571428571432</v>
      </c>
      <c r="K106" s="28">
        <v>1</v>
      </c>
      <c r="L106" s="267">
        <f t="shared" si="40"/>
        <v>7.1428571428571432</v>
      </c>
      <c r="M106" s="433">
        <f t="shared" si="41"/>
        <v>1428.5714285714287</v>
      </c>
      <c r="N106" s="434">
        <v>200</v>
      </c>
      <c r="O106" s="435">
        <f t="shared" si="42"/>
        <v>3.5714285714285716</v>
      </c>
    </row>
    <row r="107" spans="1:15" ht="15">
      <c r="A107" s="13" t="s">
        <v>272</v>
      </c>
      <c r="B107" s="27" t="s">
        <v>337</v>
      </c>
      <c r="C107" s="13" t="s">
        <v>83</v>
      </c>
      <c r="D107" s="13">
        <v>116</v>
      </c>
      <c r="E107" s="13"/>
      <c r="F107" s="4" t="s">
        <v>89</v>
      </c>
      <c r="G107" s="28">
        <v>14.70</v>
      </c>
      <c r="H107" s="440">
        <v>10</v>
      </c>
      <c r="I107" s="28">
        <v>2</v>
      </c>
      <c r="J107" s="441">
        <f t="shared" si="39"/>
        <v>1.3605442176870748</v>
      </c>
      <c r="K107" s="28">
        <v>1</v>
      </c>
      <c r="L107" s="267">
        <f t="shared" si="40"/>
        <v>1.3605442176870748</v>
      </c>
      <c r="M107" s="433">
        <f t="shared" si="41"/>
        <v>272.10884353741494</v>
      </c>
      <c r="N107" s="434">
        <v>200</v>
      </c>
      <c r="O107" s="435">
        <f t="shared" si="42"/>
        <v>0.68027210884353739</v>
      </c>
    </row>
    <row r="108" spans="1:15" ht="30">
      <c r="A108" s="13" t="s">
        <v>339</v>
      </c>
      <c r="B108" s="27" t="s">
        <v>338</v>
      </c>
      <c r="C108" s="13" t="s">
        <v>83</v>
      </c>
      <c r="D108" s="13">
        <v>116</v>
      </c>
      <c r="E108" s="13"/>
      <c r="F108" s="4" t="s">
        <v>89</v>
      </c>
      <c r="G108" s="28">
        <v>7.50</v>
      </c>
      <c r="H108" s="440">
        <v>10</v>
      </c>
      <c r="I108" s="28">
        <v>2</v>
      </c>
      <c r="J108" s="441">
        <f t="shared" si="39"/>
        <v>2.6666666666666665</v>
      </c>
      <c r="K108" s="28">
        <v>1</v>
      </c>
      <c r="L108" s="267">
        <f t="shared" si="40"/>
        <v>2.6666666666666665</v>
      </c>
      <c r="M108" s="433">
        <f t="shared" si="41"/>
        <v>533.33333333333326</v>
      </c>
      <c r="N108" s="434">
        <v>200</v>
      </c>
      <c r="O108" s="435">
        <f t="shared" si="42"/>
        <v>1.3333333333333333</v>
      </c>
    </row>
    <row r="109" spans="1:15" ht="30">
      <c r="A109" s="13" t="s">
        <v>273</v>
      </c>
      <c r="B109" s="27" t="s">
        <v>125</v>
      </c>
      <c r="C109" s="13" t="s">
        <v>54</v>
      </c>
      <c r="D109" s="13">
        <v>116</v>
      </c>
      <c r="E109" s="13"/>
      <c r="F109" s="4" t="s">
        <v>88</v>
      </c>
      <c r="G109" s="28">
        <v>20</v>
      </c>
      <c r="H109" s="440">
        <v>10</v>
      </c>
      <c r="I109" s="28">
        <v>2</v>
      </c>
      <c r="J109" s="441">
        <f t="shared" si="39"/>
        <v>1</v>
      </c>
      <c r="K109" s="28">
        <v>2</v>
      </c>
      <c r="L109" s="267">
        <f t="shared" si="40"/>
        <v>2</v>
      </c>
      <c r="M109" s="433">
        <f t="shared" si="41"/>
        <v>400</v>
      </c>
      <c r="N109" s="434">
        <v>200</v>
      </c>
      <c r="O109" s="435">
        <f t="shared" si="42"/>
        <v>1</v>
      </c>
    </row>
    <row r="110" spans="1:15" ht="30">
      <c r="A110" s="523" t="s">
        <v>1668</v>
      </c>
      <c r="B110" s="522" t="s">
        <v>1670</v>
      </c>
      <c r="C110" s="523" t="s">
        <v>33</v>
      </c>
      <c r="D110" s="523">
        <v>116</v>
      </c>
      <c r="E110" s="523"/>
      <c r="F110" s="523" t="s">
        <v>1666</v>
      </c>
      <c r="G110" s="527">
        <v>18.56</v>
      </c>
      <c r="H110" s="530">
        <v>10</v>
      </c>
      <c r="I110" s="527">
        <v>2</v>
      </c>
      <c r="J110" s="531">
        <f t="shared" si="39"/>
        <v>1.0775862068965518</v>
      </c>
      <c r="K110" s="527">
        <v>1</v>
      </c>
      <c r="L110" s="267">
        <f t="shared" si="40"/>
        <v>1.0775862068965518</v>
      </c>
      <c r="M110" s="433">
        <f t="shared" si="41"/>
        <v>215.51724137931038</v>
      </c>
      <c r="N110" s="434">
        <v>200</v>
      </c>
      <c r="O110" s="435">
        <f t="shared" si="42"/>
        <v>0.53879310344827591</v>
      </c>
    </row>
    <row r="111" spans="1:15" ht="30">
      <c r="A111" s="523" t="s">
        <v>1669</v>
      </c>
      <c r="B111" s="522" t="s">
        <v>1671</v>
      </c>
      <c r="C111" s="523" t="s">
        <v>33</v>
      </c>
      <c r="D111" s="523">
        <v>116</v>
      </c>
      <c r="E111" s="523"/>
      <c r="F111" s="523" t="s">
        <v>10</v>
      </c>
      <c r="G111" s="527">
        <v>40</v>
      </c>
      <c r="H111" s="530">
        <v>10</v>
      </c>
      <c r="I111" s="527">
        <v>1</v>
      </c>
      <c r="J111" s="531">
        <f t="shared" si="39"/>
        <v>0.25</v>
      </c>
      <c r="K111" s="525">
        <f>2393/1000</f>
        <v>2.3929999999999998</v>
      </c>
      <c r="L111" s="267">
        <f t="shared" si="40"/>
        <v>0.59824999999999995</v>
      </c>
      <c r="M111" s="433">
        <f t="shared" si="41"/>
        <v>119.64999999999999</v>
      </c>
      <c r="N111" s="434">
        <v>200</v>
      </c>
      <c r="O111" s="435">
        <f t="shared" si="42"/>
        <v>0.59824999999999995</v>
      </c>
    </row>
    <row r="112" spans="1:15" ht="15">
      <c r="A112" s="13" t="s">
        <v>274</v>
      </c>
      <c r="B112" s="27" t="s">
        <v>275</v>
      </c>
      <c r="C112" s="13" t="s">
        <v>83</v>
      </c>
      <c r="D112" s="13">
        <v>116</v>
      </c>
      <c r="E112" s="13"/>
      <c r="F112" s="4" t="s">
        <v>276</v>
      </c>
      <c r="G112" s="28">
        <v>20</v>
      </c>
      <c r="H112" s="440">
        <v>10</v>
      </c>
      <c r="I112" s="28">
        <v>2</v>
      </c>
      <c r="J112" s="441">
        <f t="shared" si="39"/>
        <v>1</v>
      </c>
      <c r="K112" s="28">
        <v>1</v>
      </c>
      <c r="L112" s="267">
        <f t="shared" si="40"/>
        <v>1</v>
      </c>
      <c r="M112" s="433">
        <f t="shared" si="41"/>
        <v>200</v>
      </c>
      <c r="N112" s="434">
        <v>200</v>
      </c>
      <c r="O112" s="435">
        <f t="shared" si="42"/>
        <v>0.50</v>
      </c>
    </row>
    <row r="113" spans="1:15" ht="15">
      <c r="A113" s="13" t="s">
        <v>277</v>
      </c>
      <c r="B113" s="27" t="s">
        <v>278</v>
      </c>
      <c r="C113" s="13" t="s">
        <v>83</v>
      </c>
      <c r="D113" s="13">
        <v>116</v>
      </c>
      <c r="E113" s="13"/>
      <c r="F113" s="4" t="s">
        <v>90</v>
      </c>
      <c r="G113" s="28">
        <v>16</v>
      </c>
      <c r="H113" s="440">
        <v>10</v>
      </c>
      <c r="I113" s="28">
        <v>2</v>
      </c>
      <c r="J113" s="441">
        <f t="shared" si="39"/>
        <v>1.25</v>
      </c>
      <c r="K113" s="28">
        <v>1</v>
      </c>
      <c r="L113" s="267">
        <f t="shared" si="40"/>
        <v>1.25</v>
      </c>
      <c r="M113" s="433">
        <f t="shared" si="41"/>
        <v>250</v>
      </c>
      <c r="N113" s="434">
        <v>200</v>
      </c>
      <c r="O113" s="435">
        <f t="shared" si="42"/>
        <v>0.625</v>
      </c>
    </row>
    <row r="114" spans="1:15" ht="15">
      <c r="A114" s="13" t="s">
        <v>279</v>
      </c>
      <c r="B114" s="27" t="s">
        <v>280</v>
      </c>
      <c r="C114" s="13" t="s">
        <v>29</v>
      </c>
      <c r="D114" s="13">
        <v>120</v>
      </c>
      <c r="E114" s="13"/>
      <c r="F114" s="13" t="s">
        <v>12</v>
      </c>
      <c r="G114" s="28">
        <v>20</v>
      </c>
      <c r="H114" s="440">
        <v>10</v>
      </c>
      <c r="I114" s="28">
        <v>1</v>
      </c>
      <c r="J114" s="441">
        <f t="shared" si="39"/>
        <v>0.50</v>
      </c>
      <c r="K114" s="28">
        <v>1</v>
      </c>
      <c r="L114" s="435">
        <f t="shared" si="40"/>
        <v>0.50</v>
      </c>
      <c r="M114" s="266">
        <f t="shared" si="41"/>
        <v>88</v>
      </c>
      <c r="N114" s="433">
        <v>176</v>
      </c>
      <c r="O114" s="435">
        <f t="shared" si="42"/>
        <v>0.50</v>
      </c>
    </row>
    <row r="115" spans="1:15" ht="15">
      <c r="A115" s="13" t="s">
        <v>281</v>
      </c>
      <c r="B115" s="56" t="s">
        <v>30</v>
      </c>
      <c r="C115" s="13" t="s">
        <v>29</v>
      </c>
      <c r="D115" s="13">
        <v>120</v>
      </c>
      <c r="E115" s="13"/>
      <c r="F115" s="13" t="s">
        <v>12</v>
      </c>
      <c r="G115" s="436">
        <v>15.29</v>
      </c>
      <c r="H115" s="440">
        <v>10</v>
      </c>
      <c r="I115" s="28">
        <v>1</v>
      </c>
      <c r="J115" s="441">
        <f t="shared" si="39"/>
        <v>0.65402223675604976</v>
      </c>
      <c r="K115" s="28">
        <v>1</v>
      </c>
      <c r="L115" s="267">
        <f t="shared" si="40"/>
        <v>0.65402223675604976</v>
      </c>
      <c r="M115" s="433">
        <f t="shared" si="41"/>
        <v>115.10791366906476</v>
      </c>
      <c r="N115" s="434">
        <v>176</v>
      </c>
      <c r="O115" s="435">
        <f t="shared" si="42"/>
        <v>0.65402223675604976</v>
      </c>
    </row>
    <row r="116" spans="1:15" ht="30">
      <c r="A116" s="13" t="s">
        <v>282</v>
      </c>
      <c r="B116" s="56" t="s">
        <v>283</v>
      </c>
      <c r="C116" s="13" t="s">
        <v>29</v>
      </c>
      <c r="D116" s="13">
        <v>120</v>
      </c>
      <c r="E116" s="13"/>
      <c r="F116" s="13" t="s">
        <v>12</v>
      </c>
      <c r="G116" s="436">
        <v>21.23</v>
      </c>
      <c r="H116" s="440">
        <v>10</v>
      </c>
      <c r="I116" s="28">
        <v>1</v>
      </c>
      <c r="J116" s="441">
        <f t="shared" si="39"/>
        <v>0.47103155911446065</v>
      </c>
      <c r="K116" s="28">
        <v>1</v>
      </c>
      <c r="L116" s="267">
        <f t="shared" si="40"/>
        <v>0.47103155911446065</v>
      </c>
      <c r="M116" s="433">
        <f t="shared" si="41"/>
        <v>82.901554404145074</v>
      </c>
      <c r="N116" s="434">
        <v>176</v>
      </c>
      <c r="O116" s="435">
        <f t="shared" si="42"/>
        <v>0.47103155911446065</v>
      </c>
    </row>
    <row r="117" spans="1:15" ht="15">
      <c r="A117" s="13" t="s">
        <v>902</v>
      </c>
      <c r="B117" s="56" t="s">
        <v>899</v>
      </c>
      <c r="C117" s="13" t="s">
        <v>523</v>
      </c>
      <c r="D117" s="13">
        <v>224</v>
      </c>
      <c r="E117" s="13"/>
      <c r="F117" s="4" t="s">
        <v>900</v>
      </c>
      <c r="G117" s="28">
        <v>600</v>
      </c>
      <c r="H117" s="431">
        <v>10</v>
      </c>
      <c r="I117" s="28">
        <v>1</v>
      </c>
      <c r="J117" s="441">
        <f t="shared" si="39"/>
        <v>0.016666666666666666</v>
      </c>
      <c r="K117" s="28">
        <v>1</v>
      </c>
      <c r="L117" s="267">
        <f t="shared" si="40"/>
        <v>0.016666666666666666</v>
      </c>
      <c r="M117" s="433">
        <f t="shared" si="41"/>
        <v>2.9333333333333331</v>
      </c>
      <c r="N117" s="434">
        <v>176</v>
      </c>
      <c r="O117" s="435">
        <f t="shared" si="42"/>
        <v>0.016666666666666666</v>
      </c>
    </row>
    <row r="118" spans="1:15" ht="15">
      <c r="A118" s="13" t="s">
        <v>285</v>
      </c>
      <c r="B118" s="56" t="s">
        <v>901</v>
      </c>
      <c r="C118" s="13" t="s">
        <v>83</v>
      </c>
      <c r="D118" s="13">
        <v>116</v>
      </c>
      <c r="E118" s="13"/>
      <c r="F118" s="13" t="s">
        <v>12</v>
      </c>
      <c r="G118" s="28">
        <v>10</v>
      </c>
      <c r="H118" s="440">
        <v>10</v>
      </c>
      <c r="I118" s="28">
        <v>2</v>
      </c>
      <c r="J118" s="441">
        <f t="shared" si="39"/>
        <v>2</v>
      </c>
      <c r="K118" s="28">
        <v>1</v>
      </c>
      <c r="L118" s="267">
        <f t="shared" si="40"/>
        <v>2</v>
      </c>
      <c r="M118" s="433">
        <f t="shared" si="41"/>
        <v>400</v>
      </c>
      <c r="N118" s="434">
        <v>200</v>
      </c>
      <c r="O118" s="435">
        <f t="shared" si="42"/>
        <v>1</v>
      </c>
    </row>
    <row r="119" spans="1:15" ht="15">
      <c r="A119" s="13" t="s">
        <v>286</v>
      </c>
      <c r="B119" s="27" t="s">
        <v>288</v>
      </c>
      <c r="C119" s="13" t="s">
        <v>287</v>
      </c>
      <c r="D119" s="13">
        <v>116</v>
      </c>
      <c r="E119" s="13"/>
      <c r="F119" s="13" t="s">
        <v>67</v>
      </c>
      <c r="G119" s="28">
        <v>40</v>
      </c>
      <c r="H119" s="440">
        <v>10</v>
      </c>
      <c r="I119" s="28">
        <v>1</v>
      </c>
      <c r="J119" s="441">
        <f t="shared" si="39"/>
        <v>0.25</v>
      </c>
      <c r="K119" s="28">
        <v>4</v>
      </c>
      <c r="L119" s="267">
        <f t="shared" si="40"/>
        <v>1</v>
      </c>
      <c r="M119" s="433">
        <f t="shared" si="41"/>
        <v>152</v>
      </c>
      <c r="N119" s="434">
        <v>152</v>
      </c>
      <c r="O119" s="435">
        <f t="shared" si="42"/>
        <v>1</v>
      </c>
    </row>
    <row r="120" spans="1:15" ht="15">
      <c r="A120" s="39"/>
      <c r="B120" s="649" t="s">
        <v>134</v>
      </c>
      <c r="C120" s="649"/>
      <c r="D120" s="649"/>
      <c r="E120" s="649"/>
      <c r="F120" s="649"/>
      <c r="G120" s="649"/>
      <c r="H120" s="649"/>
      <c r="I120" s="649"/>
      <c r="J120" s="649"/>
      <c r="K120" s="649"/>
      <c r="L120" s="267"/>
      <c r="M120" s="262">
        <f>SUM(M121:M141)</f>
        <v>4017.500647389827</v>
      </c>
      <c r="N120" s="263"/>
      <c r="O120" s="264">
        <f>SUM(O121:O141)</f>
        <v>13.845855877283757</v>
      </c>
    </row>
    <row r="121" spans="1:16" ht="30">
      <c r="A121" s="13" t="s">
        <v>297</v>
      </c>
      <c r="B121" s="56" t="s">
        <v>298</v>
      </c>
      <c r="C121" s="13" t="s">
        <v>33</v>
      </c>
      <c r="D121" s="13">
        <v>116</v>
      </c>
      <c r="E121" s="13"/>
      <c r="F121" s="13" t="s">
        <v>96</v>
      </c>
      <c r="G121" s="432">
        <v>10</v>
      </c>
      <c r="H121" s="440">
        <v>10</v>
      </c>
      <c r="I121" s="28">
        <v>2</v>
      </c>
      <c r="J121" s="441">
        <f t="shared" si="53" ref="J121:J141">H121/G121*I121</f>
        <v>2</v>
      </c>
      <c r="K121" s="28">
        <v>1</v>
      </c>
      <c r="L121" s="267">
        <f t="shared" si="54" ref="L121:L141">J121*K121</f>
        <v>2</v>
      </c>
      <c r="M121" s="433">
        <f t="shared" si="55" ref="M121:M141">L121*N121</f>
        <v>400</v>
      </c>
      <c r="N121" s="434">
        <v>200</v>
      </c>
      <c r="O121" s="435">
        <f t="shared" si="56" ref="O121:O141">J121/I121*K121</f>
        <v>1</v>
      </c>
      <c r="P121" s="22"/>
    </row>
    <row r="122" spans="1:16" ht="30">
      <c r="A122" s="523" t="s">
        <v>1663</v>
      </c>
      <c r="B122" s="522" t="s">
        <v>1665</v>
      </c>
      <c r="C122" s="523" t="s">
        <v>33</v>
      </c>
      <c r="D122" s="523">
        <v>116</v>
      </c>
      <c r="E122" s="523"/>
      <c r="F122" s="523" t="s">
        <v>1666</v>
      </c>
      <c r="G122" s="527">
        <v>16.80</v>
      </c>
      <c r="H122" s="530">
        <v>10</v>
      </c>
      <c r="I122" s="527">
        <v>2</v>
      </c>
      <c r="J122" s="531">
        <f t="shared" si="53"/>
        <v>1.1904761904761905</v>
      </c>
      <c r="K122" s="527">
        <v>1</v>
      </c>
      <c r="L122" s="267">
        <f t="shared" si="54"/>
        <v>1.1904761904761905</v>
      </c>
      <c r="M122" s="433">
        <f t="shared" si="55"/>
        <v>238.0952380952381</v>
      </c>
      <c r="N122" s="434">
        <v>200</v>
      </c>
      <c r="O122" s="435">
        <f t="shared" si="56"/>
        <v>0.59523809523809523</v>
      </c>
      <c r="P122" s="22"/>
    </row>
    <row r="123" spans="1:16" ht="30">
      <c r="A123" s="523" t="s">
        <v>1664</v>
      </c>
      <c r="B123" s="522" t="s">
        <v>1667</v>
      </c>
      <c r="C123" s="523" t="s">
        <v>33</v>
      </c>
      <c r="D123" s="523">
        <v>116</v>
      </c>
      <c r="E123" s="523"/>
      <c r="F123" s="523" t="s">
        <v>10</v>
      </c>
      <c r="G123" s="527">
        <v>40</v>
      </c>
      <c r="H123" s="530">
        <v>10</v>
      </c>
      <c r="I123" s="527">
        <v>1</v>
      </c>
      <c r="J123" s="531">
        <f t="shared" si="53"/>
        <v>0.25</v>
      </c>
      <c r="K123" s="525">
        <f>2557/1000</f>
        <v>2.5569999999999999</v>
      </c>
      <c r="L123" s="267">
        <f t="shared" si="54"/>
        <v>0.63924999999999998</v>
      </c>
      <c r="M123" s="433">
        <f t="shared" si="55"/>
        <v>127.84999999999999</v>
      </c>
      <c r="N123" s="434">
        <v>200</v>
      </c>
      <c r="O123" s="435">
        <f t="shared" si="56"/>
        <v>0.63924999999999998</v>
      </c>
      <c r="P123" s="22"/>
    </row>
    <row r="124" spans="1:16" ht="30">
      <c r="A124" s="13" t="s">
        <v>299</v>
      </c>
      <c r="B124" s="56" t="s">
        <v>300</v>
      </c>
      <c r="C124" s="13" t="s">
        <v>33</v>
      </c>
      <c r="D124" s="13">
        <v>119</v>
      </c>
      <c r="E124" s="13"/>
      <c r="F124" s="13" t="s">
        <v>96</v>
      </c>
      <c r="G124" s="442">
        <v>27.44</v>
      </c>
      <c r="H124" s="440">
        <v>10</v>
      </c>
      <c r="I124" s="28">
        <v>2</v>
      </c>
      <c r="J124" s="441">
        <f t="shared" si="53"/>
        <v>0.7288629737609329</v>
      </c>
      <c r="K124" s="28">
        <v>1</v>
      </c>
      <c r="L124" s="267">
        <f t="shared" si="54"/>
        <v>0.7288629737609329</v>
      </c>
      <c r="M124" s="433">
        <f t="shared" si="55"/>
        <v>145.77259475218659</v>
      </c>
      <c r="N124" s="434">
        <v>200</v>
      </c>
      <c r="O124" s="435">
        <f t="shared" si="56"/>
        <v>0.36443148688046645</v>
      </c>
      <c r="P124" s="22"/>
    </row>
    <row r="125" spans="1:16" ht="30">
      <c r="A125" s="13" t="s">
        <v>301</v>
      </c>
      <c r="B125" s="27" t="s">
        <v>97</v>
      </c>
      <c r="C125" s="13" t="s">
        <v>83</v>
      </c>
      <c r="D125" s="13">
        <v>119</v>
      </c>
      <c r="E125" s="13"/>
      <c r="F125" s="13" t="s">
        <v>12</v>
      </c>
      <c r="G125" s="442">
        <v>4.8099999999999996</v>
      </c>
      <c r="H125" s="440">
        <v>10</v>
      </c>
      <c r="I125" s="28">
        <v>2</v>
      </c>
      <c r="J125" s="441">
        <f t="shared" si="53"/>
        <v>4.1580041580041582</v>
      </c>
      <c r="K125" s="28">
        <v>1</v>
      </c>
      <c r="L125" s="267">
        <f t="shared" si="54"/>
        <v>4.1580041580041582</v>
      </c>
      <c r="M125" s="433">
        <f t="shared" si="55"/>
        <v>831.60083160083161</v>
      </c>
      <c r="N125" s="434">
        <v>200</v>
      </c>
      <c r="O125" s="435">
        <f t="shared" si="56"/>
        <v>2.0790020790020791</v>
      </c>
      <c r="P125" s="22"/>
    </row>
    <row r="126" spans="1:15" ht="15">
      <c r="A126" s="57" t="s">
        <v>530</v>
      </c>
      <c r="B126" s="269" t="s">
        <v>531</v>
      </c>
      <c r="C126" s="13" t="s">
        <v>33</v>
      </c>
      <c r="D126" s="13">
        <v>226</v>
      </c>
      <c r="E126" s="13"/>
      <c r="F126" s="13" t="s">
        <v>12</v>
      </c>
      <c r="G126" s="28">
        <v>10</v>
      </c>
      <c r="H126" s="440">
        <v>10</v>
      </c>
      <c r="I126" s="28">
        <v>1</v>
      </c>
      <c r="J126" s="441">
        <f t="shared" si="53"/>
        <v>1</v>
      </c>
      <c r="K126" s="442">
        <v>1</v>
      </c>
      <c r="L126" s="267">
        <f t="shared" si="54"/>
        <v>1</v>
      </c>
      <c r="M126" s="266">
        <f t="shared" si="55"/>
        <v>200</v>
      </c>
      <c r="N126" s="433">
        <v>200</v>
      </c>
      <c r="O126" s="435">
        <f t="shared" si="56"/>
        <v>1</v>
      </c>
    </row>
    <row r="127" spans="1:16" ht="15">
      <c r="A127" s="13" t="s">
        <v>290</v>
      </c>
      <c r="B127" s="27" t="s">
        <v>31</v>
      </c>
      <c r="C127" s="13" t="s">
        <v>14</v>
      </c>
      <c r="D127" s="13">
        <v>226</v>
      </c>
      <c r="E127" s="13"/>
      <c r="F127" s="13" t="s">
        <v>58</v>
      </c>
      <c r="G127" s="28">
        <v>61</v>
      </c>
      <c r="H127" s="440">
        <v>10</v>
      </c>
      <c r="I127" s="28">
        <v>1</v>
      </c>
      <c r="J127" s="441">
        <f t="shared" si="53"/>
        <v>0.16393442622950818</v>
      </c>
      <c r="K127" s="28">
        <v>1.90</v>
      </c>
      <c r="L127" s="267">
        <f t="shared" si="54"/>
        <v>0.31147540983606553</v>
      </c>
      <c r="M127" s="433">
        <f t="shared" si="55"/>
        <v>62.295081967213108</v>
      </c>
      <c r="N127" s="434">
        <v>200</v>
      </c>
      <c r="O127" s="435">
        <f t="shared" si="56"/>
        <v>0.31147540983606553</v>
      </c>
      <c r="P127" s="22"/>
    </row>
    <row r="128" spans="1:16" ht="15">
      <c r="A128" s="13" t="s">
        <v>302</v>
      </c>
      <c r="B128" s="27" t="s">
        <v>903</v>
      </c>
      <c r="C128" s="13" t="s">
        <v>523</v>
      </c>
      <c r="D128" s="13">
        <v>224</v>
      </c>
      <c r="E128" s="13"/>
      <c r="F128" s="13" t="s">
        <v>400</v>
      </c>
      <c r="G128" s="442">
        <v>58</v>
      </c>
      <c r="H128" s="440">
        <v>10</v>
      </c>
      <c r="I128" s="28">
        <v>2</v>
      </c>
      <c r="J128" s="441">
        <f t="shared" si="53"/>
        <v>0.34482758620689657</v>
      </c>
      <c r="K128" s="28">
        <v>2</v>
      </c>
      <c r="L128" s="267">
        <f t="shared" si="54"/>
        <v>0.68965517241379315</v>
      </c>
      <c r="M128" s="433">
        <f t="shared" si="55"/>
        <v>121.37931034482759</v>
      </c>
      <c r="N128" s="434">
        <v>176</v>
      </c>
      <c r="O128" s="435">
        <f t="shared" si="56"/>
        <v>0.34482758620689657</v>
      </c>
      <c r="P128" s="22"/>
    </row>
    <row r="129" spans="1:16" ht="15">
      <c r="A129" s="13" t="s">
        <v>292</v>
      </c>
      <c r="B129" s="27" t="s">
        <v>21</v>
      </c>
      <c r="C129" s="13" t="s">
        <v>33</v>
      </c>
      <c r="D129" s="13">
        <v>219</v>
      </c>
      <c r="E129" s="13"/>
      <c r="F129" s="13" t="s">
        <v>12</v>
      </c>
      <c r="G129" s="569">
        <f>9.167*2</f>
        <v>18.334</v>
      </c>
      <c r="H129" s="440">
        <v>10</v>
      </c>
      <c r="I129" s="28">
        <v>2</v>
      </c>
      <c r="J129" s="441">
        <f t="shared" si="53"/>
        <v>1.0908694229300753</v>
      </c>
      <c r="K129" s="28">
        <v>1</v>
      </c>
      <c r="L129" s="267">
        <f t="shared" si="54"/>
        <v>1.0908694229300753</v>
      </c>
      <c r="M129" s="433">
        <f t="shared" si="55"/>
        <v>181.08432420639249</v>
      </c>
      <c r="N129" s="434">
        <v>166</v>
      </c>
      <c r="O129" s="435">
        <f t="shared" si="56"/>
        <v>0.54543471146503764</v>
      </c>
      <c r="P129" s="22"/>
    </row>
    <row r="130" spans="1:16" ht="30">
      <c r="A130" s="13" t="s">
        <v>406</v>
      </c>
      <c r="B130" s="27" t="s">
        <v>407</v>
      </c>
      <c r="C130" s="13" t="s">
        <v>14</v>
      </c>
      <c r="D130" s="13">
        <v>226</v>
      </c>
      <c r="E130" s="13"/>
      <c r="F130" s="13" t="s">
        <v>12</v>
      </c>
      <c r="G130" s="442">
        <v>61</v>
      </c>
      <c r="H130" s="440">
        <v>10</v>
      </c>
      <c r="I130" s="28">
        <v>1</v>
      </c>
      <c r="J130" s="441">
        <f t="shared" si="53"/>
        <v>0.16393442622950818</v>
      </c>
      <c r="K130" s="28">
        <v>0.80</v>
      </c>
      <c r="L130" s="435">
        <f t="shared" si="54"/>
        <v>0.13114754098360656</v>
      </c>
      <c r="M130" s="266">
        <f t="shared" si="55"/>
        <v>26.229508196721312</v>
      </c>
      <c r="N130" s="433">
        <v>200</v>
      </c>
      <c r="O130" s="435">
        <f t="shared" si="56"/>
        <v>0.13114754098360656</v>
      </c>
      <c r="P130" s="22"/>
    </row>
    <row r="131" spans="1:16" ht="15">
      <c r="A131" s="13" t="s">
        <v>291</v>
      </c>
      <c r="B131" s="27" t="s">
        <v>101</v>
      </c>
      <c r="C131" s="13" t="s">
        <v>33</v>
      </c>
      <c r="D131" s="13">
        <v>219</v>
      </c>
      <c r="E131" s="13"/>
      <c r="F131" s="13" t="s">
        <v>12</v>
      </c>
      <c r="G131" s="442">
        <v>15</v>
      </c>
      <c r="H131" s="440">
        <v>10</v>
      </c>
      <c r="I131" s="28">
        <v>2</v>
      </c>
      <c r="J131" s="441">
        <f t="shared" si="53"/>
        <v>1.3333333333333333</v>
      </c>
      <c r="K131" s="28">
        <v>1</v>
      </c>
      <c r="L131" s="267">
        <f t="shared" si="54"/>
        <v>1.3333333333333333</v>
      </c>
      <c r="M131" s="433">
        <f t="shared" si="55"/>
        <v>266.66666666666663</v>
      </c>
      <c r="N131" s="434">
        <v>200</v>
      </c>
      <c r="O131" s="435">
        <f t="shared" si="56"/>
        <v>0.66666666666666663</v>
      </c>
      <c r="P131" s="22"/>
    </row>
    <row r="132" spans="1:16" ht="15">
      <c r="A132" s="13" t="s">
        <v>303</v>
      </c>
      <c r="B132" s="27" t="s">
        <v>304</v>
      </c>
      <c r="C132" s="13" t="s">
        <v>226</v>
      </c>
      <c r="D132" s="13">
        <v>302</v>
      </c>
      <c r="E132" s="13"/>
      <c r="F132" s="13" t="s">
        <v>103</v>
      </c>
      <c r="G132" s="432">
        <v>215.71428571428572</v>
      </c>
      <c r="H132" s="440">
        <v>10</v>
      </c>
      <c r="I132" s="28">
        <v>1</v>
      </c>
      <c r="J132" s="441">
        <f t="shared" si="53"/>
        <v>0.046357615894039736</v>
      </c>
      <c r="K132" s="28">
        <v>18</v>
      </c>
      <c r="L132" s="267">
        <f t="shared" si="54"/>
        <v>0.83443708609271527</v>
      </c>
      <c r="M132" s="433">
        <f t="shared" si="55"/>
        <v>146.86092715231788</v>
      </c>
      <c r="N132" s="434">
        <v>176</v>
      </c>
      <c r="O132" s="435">
        <f t="shared" si="56"/>
        <v>0.83443708609271527</v>
      </c>
      <c r="P132" s="22"/>
    </row>
    <row r="133" spans="1:16" ht="15">
      <c r="A133" s="13" t="s">
        <v>293</v>
      </c>
      <c r="B133" s="27" t="s">
        <v>102</v>
      </c>
      <c r="C133" s="13" t="s">
        <v>33</v>
      </c>
      <c r="D133" s="13">
        <v>219</v>
      </c>
      <c r="E133" s="13"/>
      <c r="F133" s="13" t="s">
        <v>103</v>
      </c>
      <c r="G133" s="28">
        <f>10*60/1</f>
        <v>600</v>
      </c>
      <c r="H133" s="440">
        <v>10</v>
      </c>
      <c r="I133" s="28">
        <v>1</v>
      </c>
      <c r="J133" s="441">
        <f t="shared" si="53"/>
        <v>0.016666666666666666</v>
      </c>
      <c r="K133" s="28">
        <v>18</v>
      </c>
      <c r="L133" s="267">
        <f t="shared" si="54"/>
        <v>0.30</v>
      </c>
      <c r="M133" s="433">
        <f t="shared" si="55"/>
        <v>45.60</v>
      </c>
      <c r="N133" s="434">
        <v>152</v>
      </c>
      <c r="O133" s="435">
        <f t="shared" si="56"/>
        <v>0.30</v>
      </c>
      <c r="P133" s="22"/>
    </row>
    <row r="134" spans="1:16" ht="15">
      <c r="A134" s="13" t="s">
        <v>305</v>
      </c>
      <c r="B134" s="27" t="s">
        <v>343</v>
      </c>
      <c r="C134" s="13" t="s">
        <v>14</v>
      </c>
      <c r="D134" s="13">
        <v>226</v>
      </c>
      <c r="E134" s="13"/>
      <c r="F134" s="13" t="s">
        <v>58</v>
      </c>
      <c r="G134" s="28">
        <v>55.20</v>
      </c>
      <c r="H134" s="440">
        <v>10</v>
      </c>
      <c r="I134" s="28">
        <v>1</v>
      </c>
      <c r="J134" s="441">
        <f t="shared" si="53"/>
        <v>0.18115942028985507</v>
      </c>
      <c r="K134" s="28">
        <v>1</v>
      </c>
      <c r="L134" s="435">
        <f t="shared" si="54"/>
        <v>0.18115942028985507</v>
      </c>
      <c r="M134" s="266">
        <f t="shared" si="55"/>
        <v>36.231884057971016</v>
      </c>
      <c r="N134" s="433">
        <v>200</v>
      </c>
      <c r="O134" s="435">
        <f t="shared" si="56"/>
        <v>0.18115942028985507</v>
      </c>
      <c r="P134" s="22"/>
    </row>
    <row r="135" spans="1:16" ht="30">
      <c r="A135" s="13" t="s">
        <v>306</v>
      </c>
      <c r="B135" s="27" t="s">
        <v>307</v>
      </c>
      <c r="C135" s="13" t="s">
        <v>14</v>
      </c>
      <c r="D135" s="13">
        <v>226</v>
      </c>
      <c r="E135" s="13"/>
      <c r="F135" s="13" t="s">
        <v>12</v>
      </c>
      <c r="G135" s="28">
        <v>10</v>
      </c>
      <c r="H135" s="440">
        <v>10</v>
      </c>
      <c r="I135" s="28">
        <v>1</v>
      </c>
      <c r="J135" s="441">
        <f t="shared" si="53"/>
        <v>1</v>
      </c>
      <c r="K135" s="28">
        <v>1</v>
      </c>
      <c r="L135" s="435">
        <f t="shared" si="54"/>
        <v>1</v>
      </c>
      <c r="M135" s="266">
        <f t="shared" si="55"/>
        <v>200</v>
      </c>
      <c r="N135" s="433">
        <v>200</v>
      </c>
      <c r="O135" s="435">
        <f t="shared" si="56"/>
        <v>1</v>
      </c>
      <c r="P135" s="22"/>
    </row>
    <row r="136" spans="1:16" ht="15">
      <c r="A136" s="13" t="s">
        <v>296</v>
      </c>
      <c r="B136" s="56" t="s">
        <v>105</v>
      </c>
      <c r="C136" s="13" t="s">
        <v>33</v>
      </c>
      <c r="D136" s="13">
        <v>219</v>
      </c>
      <c r="E136" s="13"/>
      <c r="F136" s="13" t="s">
        <v>96</v>
      </c>
      <c r="G136" s="28">
        <v>12.60</v>
      </c>
      <c r="H136" s="440">
        <v>10</v>
      </c>
      <c r="I136" s="28">
        <v>2</v>
      </c>
      <c r="J136" s="441">
        <f t="shared" si="53"/>
        <v>1.5873015873015874</v>
      </c>
      <c r="K136" s="28">
        <v>1</v>
      </c>
      <c r="L136" s="267">
        <f t="shared" si="54"/>
        <v>1.5873015873015874</v>
      </c>
      <c r="M136" s="433">
        <f t="shared" si="55"/>
        <v>317.46031746031747</v>
      </c>
      <c r="N136" s="434">
        <v>200</v>
      </c>
      <c r="O136" s="435">
        <f t="shared" si="56"/>
        <v>0.79365079365079372</v>
      </c>
      <c r="P136" s="22"/>
    </row>
    <row r="137" spans="1:16" ht="15">
      <c r="A137" s="523" t="s">
        <v>1695</v>
      </c>
      <c r="B137" s="522" t="s">
        <v>1696</v>
      </c>
      <c r="C137" s="523" t="s">
        <v>33</v>
      </c>
      <c r="D137" s="523">
        <v>226</v>
      </c>
      <c r="E137" s="523"/>
      <c r="F137" s="523" t="s">
        <v>12</v>
      </c>
      <c r="G137" s="527">
        <v>20</v>
      </c>
      <c r="H137" s="530">
        <v>10</v>
      </c>
      <c r="I137" s="527">
        <v>1</v>
      </c>
      <c r="J137" s="531">
        <f t="shared" si="53"/>
        <v>0.50</v>
      </c>
      <c r="K137" s="527">
        <v>1</v>
      </c>
      <c r="L137" s="267">
        <f t="shared" si="54"/>
        <v>0.50</v>
      </c>
      <c r="M137" s="433">
        <f t="shared" si="55"/>
        <v>100</v>
      </c>
      <c r="N137" s="434">
        <v>200</v>
      </c>
      <c r="O137" s="435">
        <f t="shared" si="56"/>
        <v>0.50</v>
      </c>
      <c r="P137" s="22"/>
    </row>
    <row r="138" spans="1:16" ht="15">
      <c r="A138" s="13" t="s">
        <v>308</v>
      </c>
      <c r="B138" s="27" t="s">
        <v>309</v>
      </c>
      <c r="C138" s="13" t="s">
        <v>14</v>
      </c>
      <c r="D138" s="13">
        <v>226</v>
      </c>
      <c r="E138" s="13"/>
      <c r="F138" s="13" t="s">
        <v>58</v>
      </c>
      <c r="G138" s="442">
        <v>55</v>
      </c>
      <c r="H138" s="440">
        <v>10</v>
      </c>
      <c r="I138" s="28">
        <v>1</v>
      </c>
      <c r="J138" s="441">
        <f t="shared" si="53"/>
        <v>0.18181818181818182</v>
      </c>
      <c r="K138" s="28">
        <v>1.50</v>
      </c>
      <c r="L138" s="435">
        <f t="shared" si="54"/>
        <v>0.27272727272727271</v>
      </c>
      <c r="M138" s="266">
        <f t="shared" si="55"/>
        <v>41.454545454545453</v>
      </c>
      <c r="N138" s="433">
        <v>152</v>
      </c>
      <c r="O138" s="435">
        <f t="shared" si="56"/>
        <v>0.27272727272727271</v>
      </c>
      <c r="P138" s="22"/>
    </row>
    <row r="139" spans="1:16" ht="15">
      <c r="A139" s="13" t="s">
        <v>294</v>
      </c>
      <c r="B139" s="27" t="s">
        <v>521</v>
      </c>
      <c r="C139" s="13" t="s">
        <v>14</v>
      </c>
      <c r="D139" s="13">
        <v>226</v>
      </c>
      <c r="E139" s="13"/>
      <c r="F139" s="13" t="s">
        <v>58</v>
      </c>
      <c r="G139" s="28">
        <v>23.16</v>
      </c>
      <c r="H139" s="440">
        <v>10</v>
      </c>
      <c r="I139" s="28">
        <v>1</v>
      </c>
      <c r="J139" s="441">
        <f t="shared" si="53"/>
        <v>0.43177892918825561</v>
      </c>
      <c r="K139" s="28">
        <v>3.70</v>
      </c>
      <c r="L139" s="267">
        <f t="shared" si="54"/>
        <v>1.5975820379965457</v>
      </c>
      <c r="M139" s="433">
        <f t="shared" si="55"/>
        <v>319.51640759930916</v>
      </c>
      <c r="N139" s="434">
        <v>200</v>
      </c>
      <c r="O139" s="435">
        <f t="shared" si="56"/>
        <v>1.5975820379965457</v>
      </c>
      <c r="P139" s="22"/>
    </row>
    <row r="140" spans="1:16" ht="15">
      <c r="A140" s="13" t="s">
        <v>1639</v>
      </c>
      <c r="B140" s="27" t="s">
        <v>1640</v>
      </c>
      <c r="C140" s="13" t="s">
        <v>33</v>
      </c>
      <c r="D140" s="13" t="s">
        <v>1333</v>
      </c>
      <c r="E140" s="13"/>
      <c r="F140" s="13" t="s">
        <v>12</v>
      </c>
      <c r="G140" s="442">
        <v>30</v>
      </c>
      <c r="H140" s="440">
        <v>10</v>
      </c>
      <c r="I140" s="28">
        <v>2</v>
      </c>
      <c r="J140" s="441">
        <f t="shared" si="53"/>
        <v>0.66666666666666663</v>
      </c>
      <c r="K140" s="28">
        <v>1</v>
      </c>
      <c r="L140" s="267">
        <f t="shared" si="54"/>
        <v>0.66666666666666663</v>
      </c>
      <c r="M140" s="433">
        <f t="shared" si="55"/>
        <v>101.33333333333333</v>
      </c>
      <c r="N140" s="434">
        <v>152</v>
      </c>
      <c r="O140" s="435">
        <f t="shared" si="56"/>
        <v>0.33333333333333331</v>
      </c>
      <c r="P140" s="21"/>
    </row>
    <row r="141" spans="1:16" ht="15">
      <c r="A141" s="13" t="s">
        <v>295</v>
      </c>
      <c r="B141" s="27" t="s">
        <v>104</v>
      </c>
      <c r="C141" s="13" t="s">
        <v>33</v>
      </c>
      <c r="D141" s="13" t="s">
        <v>1333</v>
      </c>
      <c r="E141" s="13"/>
      <c r="F141" s="13" t="s">
        <v>12</v>
      </c>
      <c r="G141" s="28">
        <v>28.13</v>
      </c>
      <c r="H141" s="440">
        <v>10</v>
      </c>
      <c r="I141" s="28">
        <v>2</v>
      </c>
      <c r="J141" s="441">
        <f t="shared" si="53"/>
        <v>0.71098471382865269</v>
      </c>
      <c r="K141" s="28">
        <v>1</v>
      </c>
      <c r="L141" s="267">
        <f t="shared" si="54"/>
        <v>0.71098471382865269</v>
      </c>
      <c r="M141" s="433">
        <f t="shared" si="55"/>
        <v>108.06967650195521</v>
      </c>
      <c r="N141" s="434">
        <v>152</v>
      </c>
      <c r="O141" s="435">
        <f t="shared" si="56"/>
        <v>0.35549235691432635</v>
      </c>
      <c r="P141" s="21"/>
    </row>
    <row r="142" spans="1:15" s="22" customFormat="1" ht="15">
      <c r="A142" s="443"/>
      <c r="B142" s="495" t="s">
        <v>15</v>
      </c>
      <c r="C142" s="443"/>
      <c r="D142" s="443"/>
      <c r="E142" s="443"/>
      <c r="F142" s="444"/>
      <c r="G142" s="443"/>
      <c r="H142" s="445"/>
      <c r="I142" s="443"/>
      <c r="J142" s="446"/>
      <c r="K142" s="443"/>
      <c r="L142" s="447">
        <f>SUM(L6:L141)</f>
        <v>135.32591962514815</v>
      </c>
      <c r="M142" s="455">
        <f>M17+M36+M50+M63+M74+M120+M70+M5</f>
        <v>26783.387714301072</v>
      </c>
      <c r="N142" s="110"/>
      <c r="O142" s="454">
        <f>O17+O36+O50+O63+O74+O120+O70+O5</f>
        <v>90.785134283544181</v>
      </c>
    </row>
    <row r="143" spans="12:15" ht="15">
      <c r="L143" s="448" t="s">
        <v>16</v>
      </c>
      <c r="O143" s="448" t="s">
        <v>17</v>
      </c>
    </row>
    <row r="144" spans="6:15" ht="15">
      <c r="F144" s="107"/>
      <c r="J144" s="450"/>
      <c r="K144" s="451" t="s">
        <v>18</v>
      </c>
      <c r="L144" s="452">
        <f>L142/G2</f>
        <v>241.65342790205023</v>
      </c>
      <c r="M144" s="450" t="s">
        <v>19</v>
      </c>
      <c r="N144" s="450"/>
      <c r="O144" s="450"/>
    </row>
    <row r="145" spans="6:6" ht="15">
      <c r="F145" s="107"/>
    </row>
    <row r="146" spans="2:8" ht="15">
      <c r="B146" s="493" t="s">
        <v>858</v>
      </c>
      <c r="C146" s="449"/>
      <c r="F146" s="107"/>
      <c r="H146" s="268"/>
    </row>
    <row r="147" spans="6:6" ht="15">
      <c r="F147" s="107"/>
    </row>
    <row r="148" spans="2:3" ht="15">
      <c r="B148" s="493" t="s">
        <v>848</v>
      </c>
      <c r="C148" s="449"/>
    </row>
    <row r="150" spans="2:3" ht="15">
      <c r="B150" s="493" t="s">
        <v>849</v>
      </c>
      <c r="C150" s="449"/>
    </row>
    <row r="153" ht="15.75"/>
    <row r="154" spans="1:8" ht="15" hidden="1">
      <c r="A154" s="481" t="s">
        <v>328</v>
      </c>
      <c r="B154" s="496" t="s">
        <v>329</v>
      </c>
      <c r="C154" s="481" t="s">
        <v>330</v>
      </c>
      <c r="D154" s="481" t="s">
        <v>331</v>
      </c>
      <c r="E154" s="481" t="s">
        <v>332</v>
      </c>
      <c r="F154" s="481" t="s">
        <v>333</v>
      </c>
      <c r="G154" s="427"/>
      <c r="H154" s="268"/>
    </row>
    <row r="155" spans="1:8" ht="30" hidden="1">
      <c r="A155" s="482">
        <v>1</v>
      </c>
      <c r="B155" s="483" t="s">
        <v>1021</v>
      </c>
      <c r="C155" s="482">
        <v>1</v>
      </c>
      <c r="D155" s="482">
        <v>3</v>
      </c>
      <c r="E155" s="482" t="s">
        <v>954</v>
      </c>
      <c r="F155" s="484">
        <v>44508</v>
      </c>
      <c r="G155" s="427"/>
      <c r="H155" s="268"/>
    </row>
    <row r="156" spans="1:8" ht="15" hidden="1">
      <c r="A156" s="482">
        <v>2</v>
      </c>
      <c r="B156" s="483" t="s">
        <v>1022</v>
      </c>
      <c r="C156" s="482"/>
      <c r="D156" s="482"/>
      <c r="E156" s="482" t="s">
        <v>954</v>
      </c>
      <c r="F156" s="484">
        <v>44508</v>
      </c>
      <c r="G156" s="427"/>
      <c r="H156" s="268"/>
    </row>
    <row r="157" spans="1:8" ht="45" hidden="1">
      <c r="A157" s="482">
        <v>3</v>
      </c>
      <c r="B157" s="483" t="s">
        <v>1107</v>
      </c>
      <c r="C157" s="482">
        <v>2.1259999999999999</v>
      </c>
      <c r="D157" s="482">
        <v>3.8260000000000001</v>
      </c>
      <c r="E157" s="482" t="s">
        <v>954</v>
      </c>
      <c r="F157" s="484">
        <v>44508</v>
      </c>
      <c r="G157" s="427"/>
      <c r="H157" s="268"/>
    </row>
    <row r="158" spans="1:8" ht="45" hidden="1">
      <c r="A158" s="482">
        <v>4</v>
      </c>
      <c r="B158" s="483" t="s">
        <v>1106</v>
      </c>
      <c r="C158" s="482"/>
      <c r="D158" s="482">
        <v>27.44</v>
      </c>
      <c r="E158" s="482" t="s">
        <v>954</v>
      </c>
      <c r="F158" s="484">
        <v>44508</v>
      </c>
      <c r="G158" s="427"/>
      <c r="H158" s="268"/>
    </row>
    <row r="159" spans="1:8" ht="75" hidden="1">
      <c r="A159" s="482">
        <v>5</v>
      </c>
      <c r="B159" s="483" t="s">
        <v>1283</v>
      </c>
      <c r="C159" s="482">
        <v>600</v>
      </c>
      <c r="D159" s="482">
        <v>400</v>
      </c>
      <c r="E159" s="482" t="s">
        <v>954</v>
      </c>
      <c r="F159" s="484">
        <v>44602</v>
      </c>
      <c r="G159" s="427"/>
      <c r="H159" s="268"/>
    </row>
    <row r="160" spans="1:8" ht="30" hidden="1">
      <c r="A160" s="482">
        <v>6</v>
      </c>
      <c r="B160" s="483" t="s">
        <v>1284</v>
      </c>
      <c r="C160" s="485"/>
      <c r="D160" s="485"/>
      <c r="E160" s="482" t="s">
        <v>954</v>
      </c>
      <c r="F160" s="484">
        <v>44602</v>
      </c>
      <c r="G160" s="427"/>
      <c r="H160" s="268"/>
    </row>
    <row r="161" spans="1:6" ht="30" hidden="1">
      <c r="A161" s="482">
        <v>7</v>
      </c>
      <c r="B161" s="483" t="s">
        <v>1296</v>
      </c>
      <c r="C161" s="485"/>
      <c r="D161" s="485"/>
      <c r="E161" s="482" t="s">
        <v>954</v>
      </c>
      <c r="F161" s="484">
        <v>44634</v>
      </c>
    </row>
    <row r="162" spans="1:6" ht="30" hidden="1">
      <c r="A162" s="482">
        <v>8</v>
      </c>
      <c r="B162" s="483" t="s">
        <v>1409</v>
      </c>
      <c r="C162" s="485"/>
      <c r="D162" s="485"/>
      <c r="E162" s="482" t="s">
        <v>954</v>
      </c>
      <c r="F162" s="484">
        <v>44634</v>
      </c>
    </row>
    <row r="163" spans="1:6" ht="30" hidden="1">
      <c r="A163" s="482">
        <v>9</v>
      </c>
      <c r="B163" s="483" t="s">
        <v>1298</v>
      </c>
      <c r="C163" s="485"/>
      <c r="D163" s="485"/>
      <c r="E163" s="482" t="s">
        <v>954</v>
      </c>
      <c r="F163" s="484">
        <v>44634</v>
      </c>
    </row>
    <row r="164" spans="1:6" ht="30" hidden="1">
      <c r="A164" s="482">
        <v>10</v>
      </c>
      <c r="B164" s="483" t="s">
        <v>1554</v>
      </c>
      <c r="C164" s="485"/>
      <c r="D164" s="485"/>
      <c r="E164" s="482" t="s">
        <v>954</v>
      </c>
      <c r="F164" s="484">
        <v>44634</v>
      </c>
    </row>
    <row r="165" spans="1:6" ht="30" hidden="1">
      <c r="A165" s="482">
        <v>11</v>
      </c>
      <c r="B165" s="483" t="s">
        <v>1553</v>
      </c>
      <c r="C165" s="485"/>
      <c r="D165" s="485"/>
      <c r="E165" s="482" t="s">
        <v>954</v>
      </c>
      <c r="F165" s="484">
        <v>44634</v>
      </c>
    </row>
    <row r="166" spans="1:6" ht="30" hidden="1">
      <c r="A166" s="482">
        <v>12</v>
      </c>
      <c r="B166" s="483" t="s">
        <v>1552</v>
      </c>
      <c r="C166" s="485"/>
      <c r="D166" s="485"/>
      <c r="E166" s="482" t="s">
        <v>954</v>
      </c>
      <c r="F166" s="484">
        <v>44634</v>
      </c>
    </row>
    <row r="167" spans="1:6" ht="30" hidden="1">
      <c r="A167" s="482">
        <v>13</v>
      </c>
      <c r="B167" s="483" t="s">
        <v>1551</v>
      </c>
      <c r="C167" s="485"/>
      <c r="D167" s="485"/>
      <c r="E167" s="482" t="s">
        <v>954</v>
      </c>
      <c r="F167" s="484">
        <v>44634</v>
      </c>
    </row>
    <row r="168" spans="1:6" ht="30" hidden="1">
      <c r="A168" s="482">
        <v>14</v>
      </c>
      <c r="B168" s="483" t="s">
        <v>1550</v>
      </c>
      <c r="C168" s="485"/>
      <c r="D168" s="485"/>
      <c r="E168" s="482" t="s">
        <v>954</v>
      </c>
      <c r="F168" s="484">
        <v>44634</v>
      </c>
    </row>
    <row r="169" spans="1:6" ht="30" hidden="1">
      <c r="A169" s="482">
        <v>15</v>
      </c>
      <c r="B169" s="483" t="s">
        <v>1307</v>
      </c>
      <c r="C169" s="485"/>
      <c r="D169" s="485"/>
      <c r="E169" s="482" t="s">
        <v>954</v>
      </c>
      <c r="F169" s="484">
        <v>44634</v>
      </c>
    </row>
    <row r="170" spans="1:6" ht="45.75" hidden="1" thickBot="1">
      <c r="A170" s="482">
        <v>16</v>
      </c>
      <c r="B170" s="483" t="s">
        <v>1420</v>
      </c>
      <c r="C170" s="485"/>
      <c r="D170" s="485"/>
      <c r="E170" s="482" t="s">
        <v>954</v>
      </c>
      <c r="F170" s="484">
        <v>44634</v>
      </c>
    </row>
    <row r="171" spans="1:15" ht="15">
      <c r="A171" s="500" t="s">
        <v>328</v>
      </c>
      <c r="B171" s="631" t="s">
        <v>1593</v>
      </c>
      <c r="C171" s="632"/>
      <c r="D171" s="633"/>
      <c r="E171" s="501" t="s">
        <v>332</v>
      </c>
      <c r="F171" s="502" t="s">
        <v>333</v>
      </c>
      <c r="G171" s="427"/>
      <c r="H171" s="268"/>
      <c r="O171" s="503"/>
    </row>
    <row r="172" spans="1:15" ht="15.75" thickBot="1">
      <c r="A172" s="504">
        <v>1</v>
      </c>
      <c r="B172" s="634" t="s">
        <v>1605</v>
      </c>
      <c r="C172" s="635"/>
      <c r="D172" s="636"/>
      <c r="E172" s="505" t="s">
        <v>1334</v>
      </c>
      <c r="F172" s="506">
        <v>44677</v>
      </c>
      <c r="G172" s="427"/>
      <c r="H172" s="268"/>
      <c r="O172" s="503"/>
    </row>
    <row r="173" spans="1:16" ht="15">
      <c r="A173" s="13" t="s">
        <v>1639</v>
      </c>
      <c r="B173" s="27" t="s">
        <v>1640</v>
      </c>
      <c r="C173" s="13" t="s">
        <v>33</v>
      </c>
      <c r="D173" s="13" t="s">
        <v>1333</v>
      </c>
      <c r="E173" s="13"/>
      <c r="F173" s="13" t="s">
        <v>12</v>
      </c>
      <c r="G173" s="442">
        <v>30</v>
      </c>
      <c r="H173" s="440">
        <v>10</v>
      </c>
      <c r="I173" s="28">
        <v>2</v>
      </c>
      <c r="J173" s="441">
        <f t="shared" si="57" ref="J173">H173/G173*I173</f>
        <v>0.66666666666666663</v>
      </c>
      <c r="K173" s="28">
        <v>1</v>
      </c>
      <c r="L173" s="267">
        <f t="shared" si="58" ref="L173">J173*K173</f>
        <v>0.66666666666666663</v>
      </c>
      <c r="M173" s="433">
        <f t="shared" si="59" ref="M173">L173*N173</f>
        <v>101.33333333333333</v>
      </c>
      <c r="N173" s="434">
        <v>152</v>
      </c>
      <c r="O173" s="435">
        <f t="shared" si="60" ref="O173">J173/I173*K173</f>
        <v>0.33333333333333331</v>
      </c>
      <c r="P173" s="21"/>
    </row>
    <row r="174" ht="15.75" thickBot="1"/>
    <row r="175" spans="1:7" ht="15">
      <c r="A175" s="500" t="s">
        <v>328</v>
      </c>
      <c r="B175" s="631" t="s">
        <v>1593</v>
      </c>
      <c r="C175" s="632"/>
      <c r="D175" s="633"/>
      <c r="E175" s="501" t="s">
        <v>332</v>
      </c>
      <c r="F175" s="502" t="s">
        <v>333</v>
      </c>
      <c r="G175" s="68"/>
    </row>
    <row r="176" spans="1:7" ht="15.75" thickBot="1">
      <c r="A176" s="504">
        <v>2</v>
      </c>
      <c r="B176" s="634" t="s">
        <v>1605</v>
      </c>
      <c r="C176" s="635"/>
      <c r="D176" s="636"/>
      <c r="E176" s="505" t="s">
        <v>1682</v>
      </c>
      <c r="F176" s="506">
        <v>44987</v>
      </c>
      <c r="G176" s="68"/>
    </row>
    <row r="177" spans="1:15" ht="30">
      <c r="A177" s="523" t="s">
        <v>1668</v>
      </c>
      <c r="B177" s="522" t="s">
        <v>1670</v>
      </c>
      <c r="C177" s="523" t="s">
        <v>33</v>
      </c>
      <c r="D177" s="523">
        <v>116</v>
      </c>
      <c r="E177" s="523"/>
      <c r="F177" s="523" t="s">
        <v>1666</v>
      </c>
      <c r="G177" s="527">
        <v>18.56</v>
      </c>
      <c r="H177" s="530">
        <v>10</v>
      </c>
      <c r="I177" s="527">
        <v>2</v>
      </c>
      <c r="J177" s="531">
        <f t="shared" si="61" ref="J177:J180">H177/G177*I177</f>
        <v>1.0775862068965518</v>
      </c>
      <c r="K177" s="527">
        <v>1</v>
      </c>
      <c r="L177" s="267">
        <f t="shared" si="62" ref="L177:L180">J177*K177</f>
        <v>1.0775862068965518</v>
      </c>
      <c r="M177" s="433">
        <f t="shared" si="63" ref="M177:M180">L177*N177</f>
        <v>215.51724137931038</v>
      </c>
      <c r="N177" s="434">
        <v>200</v>
      </c>
      <c r="O177" s="435">
        <f t="shared" si="64" ref="O177:O180">J177/I177*K177</f>
        <v>0.53879310344827591</v>
      </c>
    </row>
    <row r="178" spans="1:15" ht="30">
      <c r="A178" s="523" t="s">
        <v>1669</v>
      </c>
      <c r="B178" s="522" t="s">
        <v>1671</v>
      </c>
      <c r="C178" s="523" t="s">
        <v>33</v>
      </c>
      <c r="D178" s="523">
        <v>116</v>
      </c>
      <c r="E178" s="523"/>
      <c r="F178" s="523" t="s">
        <v>10</v>
      </c>
      <c r="G178" s="527">
        <v>40</v>
      </c>
      <c r="H178" s="530">
        <v>10</v>
      </c>
      <c r="I178" s="527">
        <v>1</v>
      </c>
      <c r="J178" s="531">
        <f t="shared" si="61"/>
        <v>0.25</v>
      </c>
      <c r="K178" s="525">
        <f>2393/1000</f>
        <v>2.3929999999999998</v>
      </c>
      <c r="L178" s="267">
        <f t="shared" si="62"/>
        <v>0.59824999999999995</v>
      </c>
      <c r="M178" s="433">
        <f t="shared" si="63"/>
        <v>119.64999999999999</v>
      </c>
      <c r="N178" s="434">
        <v>200</v>
      </c>
      <c r="O178" s="435">
        <f t="shared" si="64"/>
        <v>0.59824999999999995</v>
      </c>
    </row>
    <row r="179" spans="1:15" ht="30">
      <c r="A179" s="523" t="s">
        <v>1663</v>
      </c>
      <c r="B179" s="522" t="s">
        <v>1665</v>
      </c>
      <c r="C179" s="523" t="s">
        <v>33</v>
      </c>
      <c r="D179" s="523">
        <v>116</v>
      </c>
      <c r="E179" s="523"/>
      <c r="F179" s="523" t="s">
        <v>1666</v>
      </c>
      <c r="G179" s="527">
        <v>16.80</v>
      </c>
      <c r="H179" s="530">
        <v>10</v>
      </c>
      <c r="I179" s="527">
        <v>2</v>
      </c>
      <c r="J179" s="531">
        <f t="shared" si="61"/>
        <v>1.1904761904761905</v>
      </c>
      <c r="K179" s="527">
        <v>1</v>
      </c>
      <c r="L179" s="267">
        <f t="shared" si="62"/>
        <v>1.1904761904761905</v>
      </c>
      <c r="M179" s="433">
        <f t="shared" si="63"/>
        <v>238.0952380952381</v>
      </c>
      <c r="N179" s="434">
        <v>200</v>
      </c>
      <c r="O179" s="435">
        <f t="shared" si="64"/>
        <v>0.59523809523809523</v>
      </c>
    </row>
    <row r="180" spans="1:15" ht="30">
      <c r="A180" s="523" t="s">
        <v>1664</v>
      </c>
      <c r="B180" s="522" t="s">
        <v>1667</v>
      </c>
      <c r="C180" s="523" t="s">
        <v>33</v>
      </c>
      <c r="D180" s="523">
        <v>116</v>
      </c>
      <c r="E180" s="523"/>
      <c r="F180" s="523" t="s">
        <v>10</v>
      </c>
      <c r="G180" s="527">
        <v>40</v>
      </c>
      <c r="H180" s="530">
        <v>10</v>
      </c>
      <c r="I180" s="527">
        <v>1</v>
      </c>
      <c r="J180" s="531">
        <f t="shared" si="61"/>
        <v>0.25</v>
      </c>
      <c r="K180" s="525">
        <f>2557/1000</f>
        <v>2.5569999999999999</v>
      </c>
      <c r="L180" s="267">
        <f t="shared" si="62"/>
        <v>0.63924999999999998</v>
      </c>
      <c r="M180" s="433">
        <f t="shared" si="63"/>
        <v>127.84999999999999</v>
      </c>
      <c r="N180" s="434">
        <v>200</v>
      </c>
      <c r="O180" s="435">
        <f t="shared" si="64"/>
        <v>0.63924999999999998</v>
      </c>
    </row>
    <row r="181" ht="15.75" thickBot="1"/>
    <row r="182" spans="1:6" ht="15">
      <c r="A182" s="500" t="s">
        <v>328</v>
      </c>
      <c r="B182" s="631" t="s">
        <v>1593</v>
      </c>
      <c r="C182" s="632"/>
      <c r="D182" s="633"/>
      <c r="E182" s="501" t="s">
        <v>332</v>
      </c>
      <c r="F182" s="502" t="s">
        <v>333</v>
      </c>
    </row>
    <row r="183" spans="1:6" ht="15.75" thickBot="1">
      <c r="A183" s="504">
        <v>3</v>
      </c>
      <c r="B183" s="634" t="s">
        <v>1605</v>
      </c>
      <c r="C183" s="635"/>
      <c r="D183" s="636"/>
      <c r="E183" s="505" t="s">
        <v>1682</v>
      </c>
      <c r="F183" s="506">
        <v>45055</v>
      </c>
    </row>
    <row r="184" spans="1:15" ht="15">
      <c r="A184" s="523" t="s">
        <v>1695</v>
      </c>
      <c r="B184" s="522" t="s">
        <v>1696</v>
      </c>
      <c r="C184" s="523" t="s">
        <v>33</v>
      </c>
      <c r="D184" s="523">
        <v>226</v>
      </c>
      <c r="E184" s="523"/>
      <c r="F184" s="523" t="s">
        <v>12</v>
      </c>
      <c r="G184" s="527">
        <v>20</v>
      </c>
      <c r="H184" s="530">
        <v>10</v>
      </c>
      <c r="I184" s="527">
        <v>1</v>
      </c>
      <c r="J184" s="531">
        <f t="shared" si="65" ref="J184">H184/G184*I184</f>
        <v>0.50</v>
      </c>
      <c r="K184" s="527">
        <v>1</v>
      </c>
      <c r="L184" s="267">
        <f t="shared" si="66" ref="L184">J184*K184</f>
        <v>0.50</v>
      </c>
      <c r="M184" s="433">
        <f t="shared" si="67" ref="M184">L184*N184</f>
        <v>100</v>
      </c>
      <c r="N184" s="434">
        <v>200</v>
      </c>
      <c r="O184" s="435">
        <f t="shared" si="68" ref="O184">J184/I184*K184</f>
        <v>0.50</v>
      </c>
    </row>
    <row r="185" ht="15.75" thickBot="1"/>
    <row r="186" spans="1:6" ht="15">
      <c r="A186" s="500" t="s">
        <v>328</v>
      </c>
      <c r="B186" s="631" t="s">
        <v>1593</v>
      </c>
      <c r="C186" s="632"/>
      <c r="D186" s="633"/>
      <c r="E186" s="501" t="s">
        <v>332</v>
      </c>
      <c r="F186" s="502" t="s">
        <v>333</v>
      </c>
    </row>
    <row r="187" spans="1:6" ht="15.75" thickBot="1">
      <c r="A187" s="504">
        <v>4</v>
      </c>
      <c r="B187" s="634" t="s">
        <v>1657</v>
      </c>
      <c r="C187" s="635"/>
      <c r="D187" s="636"/>
      <c r="E187" s="505" t="s">
        <v>1697</v>
      </c>
      <c r="F187" s="506">
        <v>45142</v>
      </c>
    </row>
    <row r="188" spans="1:16" ht="15">
      <c r="A188" s="13" t="s">
        <v>292</v>
      </c>
      <c r="B188" s="27" t="s">
        <v>21</v>
      </c>
      <c r="C188" s="13" t="s">
        <v>33</v>
      </c>
      <c r="D188" s="13">
        <v>219</v>
      </c>
      <c r="E188" s="13"/>
      <c r="F188" s="13" t="s">
        <v>12</v>
      </c>
      <c r="G188" s="436">
        <v>9.1669999999999998</v>
      </c>
      <c r="H188" s="440">
        <v>10</v>
      </c>
      <c r="I188" s="28">
        <v>2</v>
      </c>
      <c r="J188" s="441">
        <f t="shared" si="69" ref="J188:J189">H188/G188*I188</f>
        <v>2.1817388458601505</v>
      </c>
      <c r="K188" s="28">
        <v>1</v>
      </c>
      <c r="L188" s="267">
        <f t="shared" si="70" ref="L188:L189">J188*K188</f>
        <v>2.1817388458601505</v>
      </c>
      <c r="M188" s="433">
        <f t="shared" si="71" ref="M188:M189">L188*N188</f>
        <v>362.16864841278499</v>
      </c>
      <c r="N188" s="434">
        <v>166</v>
      </c>
      <c r="O188" s="435">
        <f t="shared" si="72" ref="O188:O189">J188/I188*K188</f>
        <v>1.0908694229300753</v>
      </c>
      <c r="P188" s="22"/>
    </row>
    <row r="189" spans="1:16" ht="15">
      <c r="A189" s="13" t="s">
        <v>292</v>
      </c>
      <c r="B189" s="27" t="s">
        <v>21</v>
      </c>
      <c r="C189" s="13" t="s">
        <v>33</v>
      </c>
      <c r="D189" s="13">
        <v>219</v>
      </c>
      <c r="E189" s="13"/>
      <c r="F189" s="13" t="s">
        <v>12</v>
      </c>
      <c r="G189" s="569">
        <f t="shared" si="73" ref="G189">9.167*2</f>
        <v>18.334</v>
      </c>
      <c r="H189" s="440">
        <v>10</v>
      </c>
      <c r="I189" s="28">
        <v>2</v>
      </c>
      <c r="J189" s="441">
        <f t="shared" si="69"/>
        <v>1.0908694229300753</v>
      </c>
      <c r="K189" s="28">
        <v>1</v>
      </c>
      <c r="L189" s="267">
        <f t="shared" si="70"/>
        <v>1.0908694229300753</v>
      </c>
      <c r="M189" s="433">
        <f t="shared" si="71"/>
        <v>181.08432420639249</v>
      </c>
      <c r="N189" s="434">
        <v>166</v>
      </c>
      <c r="O189" s="435">
        <f t="shared" si="72"/>
        <v>0.54543471146503764</v>
      </c>
      <c r="P189" s="22"/>
    </row>
  </sheetData>
  <autoFilter ref="A4:Q144"/>
  <mergeCells count="42">
    <mergeCell ref="B5:K5"/>
    <mergeCell ref="B36:K36"/>
    <mergeCell ref="A39:A40"/>
    <mergeCell ref="B17:K17"/>
    <mergeCell ref="A23:A24"/>
    <mergeCell ref="B23:B24"/>
    <mergeCell ref="E23:E24"/>
    <mergeCell ref="B25:B27"/>
    <mergeCell ref="A25:A27"/>
    <mergeCell ref="E25:E27"/>
    <mergeCell ref="A29:A30"/>
    <mergeCell ref="B29:B30"/>
    <mergeCell ref="B39:B40"/>
    <mergeCell ref="E39:E40"/>
    <mergeCell ref="B171:D171"/>
    <mergeCell ref="B172:D172"/>
    <mergeCell ref="B41:B43"/>
    <mergeCell ref="A41:A43"/>
    <mergeCell ref="E41:E43"/>
    <mergeCell ref="A81:A82"/>
    <mergeCell ref="B81:B82"/>
    <mergeCell ref="B70:K70"/>
    <mergeCell ref="B74:K74"/>
    <mergeCell ref="B63:K63"/>
    <mergeCell ref="B51:B53"/>
    <mergeCell ref="A51:A53"/>
    <mergeCell ref="A46:A47"/>
    <mergeCell ref="B46:B47"/>
    <mergeCell ref="B50:K50"/>
    <mergeCell ref="B120:K120"/>
    <mergeCell ref="A94:A95"/>
    <mergeCell ref="B94:B95"/>
    <mergeCell ref="A96:A97"/>
    <mergeCell ref="B96:B97"/>
    <mergeCell ref="A98:A99"/>
    <mergeCell ref="B98:B99"/>
    <mergeCell ref="B186:D186"/>
    <mergeCell ref="B187:D187"/>
    <mergeCell ref="B182:D182"/>
    <mergeCell ref="B183:D183"/>
    <mergeCell ref="B175:D175"/>
    <mergeCell ref="B176:D176"/>
  </mergeCells>
  <printOptions horizontalCentered="1"/>
  <pageMargins left="0.25" right="0.25" top="0.75" bottom="0.75" header="0.3" footer="0.3"/>
  <pageSetup fitToHeight="0" orientation="landscape" paperSize="8" scale="7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14"/>
  <sheetViews>
    <sheetView zoomScale="80" zoomScaleNormal="80" workbookViewId="0" topLeftCell="A1">
      <pane ySplit="4" topLeftCell="A201" activePane="bottomLeft" state="frozen"/>
      <selection pane="topLeft" activeCell="A1" sqref="A1"/>
      <selection pane="bottomLeft" activeCell="A211" sqref="A211:XFD212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5.285714285714285" style="268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44519</v>
      </c>
    </row>
    <row r="2" spans="2:9" ht="31.5">
      <c r="B2" s="492" t="s">
        <v>1136</v>
      </c>
      <c r="F2" s="429" t="s">
        <v>22</v>
      </c>
      <c r="G2" s="268">
        <f>1726/1000</f>
        <v>1.726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SUM(M6:M17)</f>
        <v>583.99733333333347</v>
      </c>
      <c r="N5" s="263"/>
      <c r="O5" s="264">
        <f>SUM(O6:O17)</f>
        <v>3.3181666666666669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7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21</v>
      </c>
      <c r="L6" s="465">
        <f t="shared" si="1" ref="L6:L17">J6*K6</f>
        <v>0.40949999999999998</v>
      </c>
      <c r="M6" s="466">
        <f t="shared" si="2" ref="M6:M17">L6*N6</f>
        <v>72.072000000000003</v>
      </c>
      <c r="N6" s="466">
        <v>176</v>
      </c>
      <c r="O6" s="456">
        <f t="shared" si="3" ref="O6:O17">J6/I6*K6</f>
        <v>0.40949999999999998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200</v>
      </c>
      <c r="H8" s="462">
        <v>10</v>
      </c>
      <c r="I8" s="463">
        <v>1</v>
      </c>
      <c r="J8" s="464">
        <f>3/60</f>
        <v>0.05</v>
      </c>
      <c r="K8" s="461">
        <v>2</v>
      </c>
      <c r="L8" s="465">
        <f t="shared" si="1"/>
        <v>0.10000000000000001</v>
      </c>
      <c r="M8" s="466">
        <f t="shared" si="2"/>
        <v>17.60</v>
      </c>
      <c r="N8" s="466">
        <v>176</v>
      </c>
      <c r="O8" s="456">
        <f t="shared" si="3"/>
        <v>0.10000000000000001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2</v>
      </c>
      <c r="L9" s="465">
        <f t="shared" si="1"/>
        <v>0.034333333333333334</v>
      </c>
      <c r="M9" s="466">
        <f t="shared" si="2"/>
        <v>6.0426666666666664</v>
      </c>
      <c r="N9" s="466">
        <v>176</v>
      </c>
      <c r="O9" s="456">
        <f t="shared" si="3"/>
        <v>0.034333333333333334</v>
      </c>
    </row>
    <row r="10" spans="1:15" s="457" customFormat="1" ht="15">
      <c r="A10" s="459" t="s">
        <v>839</v>
      </c>
      <c r="B10" s="494" t="s">
        <v>929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44.477390659747961</v>
      </c>
      <c r="H10" s="462">
        <v>10</v>
      </c>
      <c r="I10" s="463">
        <v>1</v>
      </c>
      <c r="J10" s="464">
        <f>13.49/60</f>
        <v>0.22483333333333333</v>
      </c>
      <c r="K10" s="461">
        <v>1</v>
      </c>
      <c r="L10" s="465">
        <f t="shared" si="1"/>
        <v>0.22483333333333333</v>
      </c>
      <c r="M10" s="466">
        <f t="shared" si="2"/>
        <v>39.570666666666668</v>
      </c>
      <c r="N10" s="466">
        <v>176</v>
      </c>
      <c r="O10" s="456">
        <f t="shared" si="3"/>
        <v>0.22483333333333333</v>
      </c>
    </row>
    <row r="11" spans="1:15" s="457" customFormat="1" ht="15">
      <c r="A11" s="459" t="s">
        <v>840</v>
      </c>
      <c r="B11" s="494" t="s">
        <v>931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419.58041958041963</v>
      </c>
      <c r="H11" s="462">
        <v>10</v>
      </c>
      <c r="I11" s="463">
        <v>1</v>
      </c>
      <c r="J11" s="464">
        <f>1.43/60</f>
        <v>0.023833333333333331</v>
      </c>
      <c r="K11" s="461">
        <v>6</v>
      </c>
      <c r="L11" s="465">
        <f t="shared" si="1"/>
        <v>0.14299999999999999</v>
      </c>
      <c r="M11" s="466">
        <f t="shared" si="2"/>
        <v>25.167999999999999</v>
      </c>
      <c r="N11" s="466">
        <v>176</v>
      </c>
      <c r="O11" s="456">
        <f t="shared" si="3"/>
        <v>0.14299999999999999</v>
      </c>
    </row>
    <row r="12" spans="1:15" s="457" customFormat="1" ht="15">
      <c r="A12" s="459" t="s">
        <v>841</v>
      </c>
      <c r="B12" s="494" t="s">
        <v>1043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322.58064516129036</v>
      </c>
      <c r="H12" s="462">
        <v>10</v>
      </c>
      <c r="I12" s="463">
        <v>1</v>
      </c>
      <c r="J12" s="464">
        <f>1.86/60</f>
        <v>0.030999999999999996</v>
      </c>
      <c r="K12" s="461">
        <v>2</v>
      </c>
      <c r="L12" s="465">
        <f t="shared" si="1"/>
        <v>0.061999999999999993</v>
      </c>
      <c r="M12" s="466">
        <f t="shared" si="2"/>
        <v>10.911999999999999</v>
      </c>
      <c r="N12" s="466">
        <v>176</v>
      </c>
      <c r="O12" s="456">
        <f t="shared" si="3"/>
        <v>0.061999999999999993</v>
      </c>
    </row>
    <row r="13" spans="1:15" s="457" customFormat="1" ht="15">
      <c r="A13" s="459" t="s">
        <v>842</v>
      </c>
      <c r="B13" s="494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0.038833333333333338</v>
      </c>
      <c r="K13" s="461">
        <v>49</v>
      </c>
      <c r="L13" s="465">
        <f t="shared" si="1"/>
        <v>1.9028333333333336</v>
      </c>
      <c r="M13" s="466">
        <f t="shared" si="2"/>
        <v>334.89866666666671</v>
      </c>
      <c r="N13" s="466">
        <v>176</v>
      </c>
      <c r="O13" s="456">
        <f t="shared" si="3"/>
        <v>1.9028333333333336</v>
      </c>
    </row>
    <row r="14" spans="1:15" s="457" customFormat="1" ht="15">
      <c r="A14" s="459" t="s">
        <v>843</v>
      </c>
      <c r="B14" s="494" t="s">
        <v>932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132.45033112582783</v>
      </c>
      <c r="H14" s="462">
        <v>10</v>
      </c>
      <c r="I14" s="463">
        <v>1</v>
      </c>
      <c r="J14" s="464">
        <f>4.53/60</f>
        <v>0.075499999999999998</v>
      </c>
      <c r="K14" s="461">
        <v>2</v>
      </c>
      <c r="L14" s="465">
        <f t="shared" si="1"/>
        <v>0.151</v>
      </c>
      <c r="M14" s="466">
        <f t="shared" si="2"/>
        <v>26.576000000000001</v>
      </c>
      <c r="N14" s="466">
        <v>176</v>
      </c>
      <c r="O14" s="456">
        <f t="shared" si="3"/>
        <v>0.151</v>
      </c>
    </row>
    <row r="15" spans="1:15" s="457" customFormat="1" ht="15">
      <c r="A15" s="459" t="s">
        <v>844</v>
      </c>
      <c r="B15" s="494" t="s">
        <v>854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631.57894736842115</v>
      </c>
      <c r="H15" s="462">
        <v>10</v>
      </c>
      <c r="I15" s="463">
        <v>1</v>
      </c>
      <c r="J15" s="464">
        <f>0.95/60</f>
        <v>0.015833333333333331</v>
      </c>
      <c r="K15" s="461">
        <v>8</v>
      </c>
      <c r="L15" s="465">
        <f t="shared" si="1"/>
        <v>0.12666666666666665</v>
      </c>
      <c r="M15" s="466">
        <f t="shared" si="2"/>
        <v>22.293333333333329</v>
      </c>
      <c r="N15" s="466">
        <v>176</v>
      </c>
      <c r="O15" s="456">
        <f t="shared" si="3"/>
        <v>0.12666666666666665</v>
      </c>
    </row>
    <row r="16" spans="1:15" s="457" customFormat="1" ht="15">
      <c r="A16" s="459" t="s">
        <v>845</v>
      </c>
      <c r="B16" s="494" t="s">
        <v>855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454.5454545454545</v>
      </c>
      <c r="H16" s="462">
        <v>10</v>
      </c>
      <c r="I16" s="463">
        <v>1</v>
      </c>
      <c r="J16" s="464">
        <f>1.32/60</f>
        <v>0.022000000000000002</v>
      </c>
      <c r="K16" s="461">
        <v>4</v>
      </c>
      <c r="L16" s="465">
        <f t="shared" si="1"/>
        <v>0.088000000000000009</v>
      </c>
      <c r="M16" s="466">
        <f t="shared" si="2"/>
        <v>15.488000000000001</v>
      </c>
      <c r="N16" s="466">
        <v>176</v>
      </c>
      <c r="O16" s="456">
        <f t="shared" si="3"/>
        <v>0.088000000000000009</v>
      </c>
    </row>
    <row r="17" spans="1:15" s="457" customFormat="1" ht="15">
      <c r="A17" s="459" t="s">
        <v>846</v>
      </c>
      <c r="B17" s="494" t="s">
        <v>861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857.14285714285722</v>
      </c>
      <c r="H17" s="462">
        <v>10</v>
      </c>
      <c r="I17" s="463">
        <v>1</v>
      </c>
      <c r="J17" s="464">
        <f>0.7/60</f>
        <v>0.011666666666666665</v>
      </c>
      <c r="K17" s="461">
        <v>2</v>
      </c>
      <c r="L17" s="465">
        <f t="shared" si="1"/>
        <v>0.023333333333333331</v>
      </c>
      <c r="M17" s="466">
        <f t="shared" si="2"/>
        <v>4.1066666666666665</v>
      </c>
      <c r="N17" s="466">
        <v>176</v>
      </c>
      <c r="O17" s="456">
        <f t="shared" si="3"/>
        <v>0.023333333333333331</v>
      </c>
    </row>
    <row r="18" spans="1:15" ht="15">
      <c r="A18" s="39"/>
      <c r="B18" s="649" t="s">
        <v>130</v>
      </c>
      <c r="C18" s="649"/>
      <c r="D18" s="649"/>
      <c r="E18" s="649"/>
      <c r="F18" s="649"/>
      <c r="G18" s="649"/>
      <c r="H18" s="649"/>
      <c r="I18" s="649"/>
      <c r="J18" s="649"/>
      <c r="K18" s="649"/>
      <c r="L18" s="265"/>
      <c r="M18" s="262">
        <f>SUM(M19:M48)</f>
        <v>4113.6510234784873</v>
      </c>
      <c r="N18" s="430"/>
      <c r="O18" s="264">
        <f>SUM(O19:O48)</f>
        <v>17.850604130939477</v>
      </c>
    </row>
    <row r="19" spans="1:15" ht="15">
      <c r="A19" s="659" t="s">
        <v>141</v>
      </c>
      <c r="B19" s="660" t="s">
        <v>311</v>
      </c>
      <c r="C19" s="13" t="s">
        <v>1052</v>
      </c>
      <c r="D19" s="13">
        <v>106</v>
      </c>
      <c r="E19" s="13"/>
      <c r="F19" s="13" t="s">
        <v>1053</v>
      </c>
      <c r="G19" s="442">
        <v>20</v>
      </c>
      <c r="H19" s="437">
        <v>10</v>
      </c>
      <c r="I19" s="28">
        <v>2</v>
      </c>
      <c r="J19" s="468">
        <f t="shared" si="4" ref="J19:J21">H19/G19*I19</f>
        <v>1</v>
      </c>
      <c r="K19" s="442">
        <v>1</v>
      </c>
      <c r="L19" s="267">
        <f t="shared" si="5" ref="L19:L48">J19*K19</f>
        <v>1</v>
      </c>
      <c r="M19" s="474">
        <f t="shared" si="6" ref="M19:M21">L19*N19</f>
        <v>200</v>
      </c>
      <c r="N19" s="475">
        <v>200</v>
      </c>
      <c r="O19" s="267">
        <f t="shared" si="7" ref="O19:O21">J19/I19*K19</f>
        <v>0.50</v>
      </c>
    </row>
    <row r="20" spans="1:15" ht="15">
      <c r="A20" s="646"/>
      <c r="B20" s="661"/>
      <c r="C20" s="13" t="s">
        <v>1137</v>
      </c>
      <c r="D20" s="13">
        <v>106</v>
      </c>
      <c r="E20" s="13"/>
      <c r="F20" s="13" t="s">
        <v>10</v>
      </c>
      <c r="G20" s="442">
        <v>40</v>
      </c>
      <c r="H20" s="437">
        <v>10</v>
      </c>
      <c r="I20" s="28">
        <v>1</v>
      </c>
      <c r="J20" s="468">
        <f t="shared" si="4"/>
        <v>0.25</v>
      </c>
      <c r="K20" s="442">
        <f>(1560)/1000</f>
        <v>1.56</v>
      </c>
      <c r="L20" s="267">
        <f t="shared" si="5"/>
        <v>0.39</v>
      </c>
      <c r="M20" s="266">
        <f t="shared" si="6"/>
        <v>78</v>
      </c>
      <c r="N20" s="433">
        <v>200</v>
      </c>
      <c r="O20" s="267">
        <f t="shared" si="7"/>
        <v>0.39</v>
      </c>
    </row>
    <row r="21" spans="1:15" ht="15">
      <c r="A21" s="647"/>
      <c r="B21" s="662"/>
      <c r="C21" s="13" t="s">
        <v>1138</v>
      </c>
      <c r="D21" s="13">
        <v>106</v>
      </c>
      <c r="E21" s="13" t="s">
        <v>44</v>
      </c>
      <c r="F21" s="13" t="s">
        <v>10</v>
      </c>
      <c r="G21" s="442">
        <v>27</v>
      </c>
      <c r="H21" s="437">
        <v>10</v>
      </c>
      <c r="I21" s="28">
        <v>1</v>
      </c>
      <c r="J21" s="468">
        <f t="shared" si="4"/>
        <v>0.37037037037037035</v>
      </c>
      <c r="K21" s="442">
        <f>(1560)/1000+0.2</f>
        <v>1.76</v>
      </c>
      <c r="L21" s="267">
        <f t="shared" si="5"/>
        <v>0.65185185185185179</v>
      </c>
      <c r="M21" s="266">
        <f t="shared" si="6"/>
        <v>130.37037037037035</v>
      </c>
      <c r="N21" s="433">
        <v>200</v>
      </c>
      <c r="O21" s="267">
        <f t="shared" si="7"/>
        <v>0.65185185185185179</v>
      </c>
    </row>
    <row r="22" spans="1:15" s="0" customFormat="1" ht="15">
      <c r="A22" s="57" t="s">
        <v>143</v>
      </c>
      <c r="B22" s="56" t="s">
        <v>144</v>
      </c>
      <c r="C22" s="13" t="s">
        <v>1139</v>
      </c>
      <c r="D22" s="13">
        <v>105</v>
      </c>
      <c r="E22" s="13"/>
      <c r="F22" s="17" t="s">
        <v>353</v>
      </c>
      <c r="G22" s="469">
        <v>18.20</v>
      </c>
      <c r="H22" s="252">
        <v>10</v>
      </c>
      <c r="I22" s="16">
        <v>1</v>
      </c>
      <c r="J22" s="253">
        <f>H22/G22*I22</f>
        <v>0.5494505494505495</v>
      </c>
      <c r="K22" s="52">
        <v>1</v>
      </c>
      <c r="L22" s="26">
        <f t="shared" si="5"/>
        <v>0.5494505494505495</v>
      </c>
      <c r="M22" s="37">
        <f>L22*N22</f>
        <v>109.8901098901099</v>
      </c>
      <c r="N22" s="85">
        <v>200</v>
      </c>
      <c r="O22" s="8">
        <f>J22/I22*K22</f>
        <v>0.5494505494505495</v>
      </c>
    </row>
    <row r="23" spans="1:15" s="0" customFormat="1" ht="15">
      <c r="A23" s="642" t="s">
        <v>146</v>
      </c>
      <c r="B23" s="639" t="s">
        <v>411</v>
      </c>
      <c r="C23" s="13" t="s">
        <v>1140</v>
      </c>
      <c r="D23" s="54">
        <v>109</v>
      </c>
      <c r="E23" s="645" t="s">
        <v>911</v>
      </c>
      <c r="F23" s="17" t="s">
        <v>10</v>
      </c>
      <c r="G23" s="16">
        <v>40</v>
      </c>
      <c r="H23" s="252">
        <v>10</v>
      </c>
      <c r="I23" s="16">
        <v>1</v>
      </c>
      <c r="J23" s="253">
        <f t="shared" si="8" ref="J23:J48">H23/G23*I23</f>
        <v>0.25</v>
      </c>
      <c r="K23" s="260">
        <f>1560/1000+0.1</f>
        <v>1.66</v>
      </c>
      <c r="L23" s="26">
        <f t="shared" si="5"/>
        <v>0.41500000000000004</v>
      </c>
      <c r="M23" s="43">
        <f t="shared" si="9" ref="M23:M48">L23*N23</f>
        <v>83</v>
      </c>
      <c r="N23" s="85">
        <v>200</v>
      </c>
      <c r="O23" s="8">
        <f t="shared" si="10" ref="O23:O48">J23/I23*K23</f>
        <v>0.41500000000000004</v>
      </c>
    </row>
    <row r="24" spans="1:15" s="0" customFormat="1" ht="15">
      <c r="A24" s="647"/>
      <c r="B24" s="641"/>
      <c r="C24" s="13" t="s">
        <v>1141</v>
      </c>
      <c r="D24" s="90">
        <v>109</v>
      </c>
      <c r="E24" s="647"/>
      <c r="F24" s="17" t="s">
        <v>10</v>
      </c>
      <c r="G24" s="16">
        <v>27</v>
      </c>
      <c r="H24" s="252">
        <v>10</v>
      </c>
      <c r="I24" s="16">
        <v>1</v>
      </c>
      <c r="J24" s="253">
        <f t="shared" si="8"/>
        <v>0.37037037037037035</v>
      </c>
      <c r="K24" s="260">
        <f>1560/1000+0.1</f>
        <v>1.66</v>
      </c>
      <c r="L24" s="26">
        <f t="shared" si="5"/>
        <v>0.61481481481481481</v>
      </c>
      <c r="M24" s="43">
        <f t="shared" si="9"/>
        <v>122.96296296296296</v>
      </c>
      <c r="N24" s="85">
        <v>200</v>
      </c>
      <c r="O24" s="8">
        <f t="shared" si="10"/>
        <v>0.61481481481481481</v>
      </c>
    </row>
    <row r="25" spans="1:15" s="0" customFormat="1" ht="15">
      <c r="A25" s="642" t="s">
        <v>148</v>
      </c>
      <c r="B25" s="639" t="s">
        <v>412</v>
      </c>
      <c r="C25" s="13" t="s">
        <v>1142</v>
      </c>
      <c r="D25" s="54">
        <v>107</v>
      </c>
      <c r="E25" s="645" t="s">
        <v>43</v>
      </c>
      <c r="F25" s="17" t="s">
        <v>10</v>
      </c>
      <c r="G25" s="16">
        <v>25</v>
      </c>
      <c r="H25" s="252">
        <v>10</v>
      </c>
      <c r="I25" s="16">
        <v>1</v>
      </c>
      <c r="J25" s="253">
        <f t="shared" si="8"/>
        <v>0.40</v>
      </c>
      <c r="K25" s="30">
        <f>1560/1000</f>
        <v>1.56</v>
      </c>
      <c r="L25" s="26">
        <f t="shared" si="11" ref="L25">J25*K25</f>
        <v>0.62400000000000011</v>
      </c>
      <c r="M25" s="43">
        <f t="shared" si="12" ref="M25">L25*N25</f>
        <v>109.82400000000001</v>
      </c>
      <c r="N25" s="85">
        <v>176</v>
      </c>
      <c r="O25" s="8">
        <f t="shared" si="10"/>
        <v>0.62400000000000011</v>
      </c>
    </row>
    <row r="26" spans="1:15" s="0" customFormat="1" ht="15">
      <c r="A26" s="644"/>
      <c r="B26" s="641"/>
      <c r="C26" s="13" t="s">
        <v>1143</v>
      </c>
      <c r="D26" s="90">
        <v>107</v>
      </c>
      <c r="E26" s="647"/>
      <c r="F26" s="17" t="s">
        <v>10</v>
      </c>
      <c r="G26" s="16">
        <v>28.50</v>
      </c>
      <c r="H26" s="252">
        <v>10</v>
      </c>
      <c r="I26" s="16">
        <v>1</v>
      </c>
      <c r="J26" s="253">
        <f t="shared" si="8"/>
        <v>0.35087719298245612</v>
      </c>
      <c r="K26" s="30">
        <f>1560/1000+0.1</f>
        <v>1.66</v>
      </c>
      <c r="L26" s="26">
        <f t="shared" si="5"/>
        <v>0.58245614035087723</v>
      </c>
      <c r="M26" s="37">
        <f t="shared" si="9"/>
        <v>116.49122807017545</v>
      </c>
      <c r="N26" s="85">
        <v>200</v>
      </c>
      <c r="O26" s="8">
        <f t="shared" si="10"/>
        <v>0.58245614035087723</v>
      </c>
    </row>
    <row r="27" spans="1:15" s="0" customFormat="1" ht="30">
      <c r="A27" s="57" t="s">
        <v>421</v>
      </c>
      <c r="B27" s="91" t="s">
        <v>149</v>
      </c>
      <c r="C27" s="13" t="s">
        <v>1139</v>
      </c>
      <c r="D27" s="13">
        <v>105</v>
      </c>
      <c r="E27" s="13"/>
      <c r="F27" s="17" t="s">
        <v>353</v>
      </c>
      <c r="G27" s="469">
        <f>18.2/0.65</f>
        <v>27.999999999999996</v>
      </c>
      <c r="H27" s="252">
        <v>10</v>
      </c>
      <c r="I27" s="16">
        <v>1</v>
      </c>
      <c r="J27" s="253">
        <f t="shared" si="8"/>
        <v>0.35714285714285721</v>
      </c>
      <c r="K27" s="52">
        <v>1</v>
      </c>
      <c r="L27" s="26">
        <f t="shared" si="5"/>
        <v>0.35714285714285721</v>
      </c>
      <c r="M27" s="37">
        <f t="shared" si="9"/>
        <v>71.428571428571445</v>
      </c>
      <c r="N27" s="43">
        <v>200</v>
      </c>
      <c r="O27" s="8">
        <f t="shared" si="10"/>
        <v>0.35714285714285721</v>
      </c>
    </row>
    <row r="28" spans="1:15" s="0" customFormat="1" ht="30">
      <c r="A28" s="529" t="s">
        <v>1662</v>
      </c>
      <c r="B28" s="522" t="s">
        <v>1661</v>
      </c>
      <c r="C28" s="523" t="s">
        <v>9</v>
      </c>
      <c r="D28" s="523">
        <v>109</v>
      </c>
      <c r="E28" s="523"/>
      <c r="F28" s="524" t="s">
        <v>10</v>
      </c>
      <c r="G28" s="525">
        <v>33</v>
      </c>
      <c r="H28" s="526">
        <v>10</v>
      </c>
      <c r="I28" s="527">
        <v>1</v>
      </c>
      <c r="J28" s="528">
        <f t="shared" si="8"/>
        <v>0.30303030303030304</v>
      </c>
      <c r="K28" s="525">
        <f>(350*2)/1000</f>
        <v>0.70</v>
      </c>
      <c r="L28" s="267">
        <f t="shared" si="5"/>
        <v>0.21212121212121213</v>
      </c>
      <c r="M28" s="266">
        <f t="shared" si="9"/>
        <v>32.242424242424242</v>
      </c>
      <c r="N28" s="433">
        <v>152</v>
      </c>
      <c r="O28" s="267">
        <f t="shared" si="10"/>
        <v>0.21212121212121213</v>
      </c>
    </row>
    <row r="29" spans="1:15" ht="15">
      <c r="A29" s="57" t="s">
        <v>152</v>
      </c>
      <c r="B29" s="56" t="s">
        <v>153</v>
      </c>
      <c r="C29" s="13" t="s">
        <v>154</v>
      </c>
      <c r="D29" s="13">
        <v>124</v>
      </c>
      <c r="E29" s="13"/>
      <c r="F29" s="13" t="s">
        <v>354</v>
      </c>
      <c r="G29" s="442">
        <v>13.10</v>
      </c>
      <c r="H29" s="440">
        <v>10</v>
      </c>
      <c r="I29" s="28">
        <v>1</v>
      </c>
      <c r="J29" s="441">
        <f t="shared" si="8"/>
        <v>0.76335877862595425</v>
      </c>
      <c r="K29" s="432">
        <v>1</v>
      </c>
      <c r="L29" s="267">
        <f t="shared" si="5"/>
        <v>0.76335877862595425</v>
      </c>
      <c r="M29" s="433">
        <f t="shared" si="9"/>
        <v>152.67175572519085</v>
      </c>
      <c r="N29" s="434">
        <v>200</v>
      </c>
      <c r="O29" s="435">
        <f t="shared" si="10"/>
        <v>0.76335877862595425</v>
      </c>
    </row>
    <row r="30" spans="1:15" ht="30">
      <c r="A30" s="57" t="s">
        <v>155</v>
      </c>
      <c r="B30" s="56" t="s">
        <v>156</v>
      </c>
      <c r="C30" s="13" t="s">
        <v>157</v>
      </c>
      <c r="D30" s="13" t="s">
        <v>1329</v>
      </c>
      <c r="E30" s="13"/>
      <c r="F30" s="13" t="s">
        <v>354</v>
      </c>
      <c r="G30" s="442">
        <v>5.63</v>
      </c>
      <c r="H30" s="440">
        <v>10</v>
      </c>
      <c r="I30" s="28">
        <v>1</v>
      </c>
      <c r="J30" s="441">
        <f t="shared" si="8"/>
        <v>1.7761989342806395</v>
      </c>
      <c r="K30" s="432">
        <v>1</v>
      </c>
      <c r="L30" s="267">
        <f t="shared" si="5"/>
        <v>1.7761989342806395</v>
      </c>
      <c r="M30" s="433">
        <f t="shared" si="9"/>
        <v>355.23978685612792</v>
      </c>
      <c r="N30" s="434">
        <v>200</v>
      </c>
      <c r="O30" s="435">
        <f t="shared" si="10"/>
        <v>1.7761989342806395</v>
      </c>
    </row>
    <row r="31" spans="1:15" ht="30">
      <c r="A31" s="57" t="s">
        <v>158</v>
      </c>
      <c r="B31" s="56" t="s">
        <v>159</v>
      </c>
      <c r="C31" s="13" t="s">
        <v>160</v>
      </c>
      <c r="D31" s="13" t="s">
        <v>1331</v>
      </c>
      <c r="E31" s="13" t="s">
        <v>161</v>
      </c>
      <c r="F31" s="13" t="s">
        <v>10</v>
      </c>
      <c r="G31" s="439">
        <v>15.40</v>
      </c>
      <c r="H31" s="440">
        <v>10</v>
      </c>
      <c r="I31" s="28">
        <v>1</v>
      </c>
      <c r="J31" s="441">
        <f t="shared" si="8"/>
        <v>0.64935064935064934</v>
      </c>
      <c r="K31" s="436">
        <f>(61/1000)*3.1415*4</f>
        <v>0.76652600000000004</v>
      </c>
      <c r="L31" s="435">
        <f t="shared" si="5"/>
        <v>0.49774415584415588</v>
      </c>
      <c r="M31" s="266">
        <f t="shared" si="9"/>
        <v>99.548831168831171</v>
      </c>
      <c r="N31" s="433">
        <v>200</v>
      </c>
      <c r="O31" s="435">
        <f t="shared" si="10"/>
        <v>0.49774415584415588</v>
      </c>
    </row>
    <row r="32" spans="1:15" ht="15">
      <c r="A32" s="57" t="s">
        <v>427</v>
      </c>
      <c r="B32" s="56" t="s">
        <v>428</v>
      </c>
      <c r="C32" s="13" t="s">
        <v>24</v>
      </c>
      <c r="D32" s="13">
        <v>110</v>
      </c>
      <c r="E32" s="13"/>
      <c r="F32" s="4" t="s">
        <v>38</v>
      </c>
      <c r="G32" s="442">
        <v>13.08</v>
      </c>
      <c r="H32" s="440">
        <v>10</v>
      </c>
      <c r="I32" s="28">
        <v>2</v>
      </c>
      <c r="J32" s="441">
        <f t="shared" si="8"/>
        <v>1.5290519877675841</v>
      </c>
      <c r="K32" s="28">
        <v>1</v>
      </c>
      <c r="L32" s="267">
        <f t="shared" si="5"/>
        <v>1.5290519877675841</v>
      </c>
      <c r="M32" s="433">
        <f t="shared" si="9"/>
        <v>305.81039755351685</v>
      </c>
      <c r="N32" s="434">
        <v>200</v>
      </c>
      <c r="O32" s="435">
        <f t="shared" si="10"/>
        <v>0.76452599388379205</v>
      </c>
    </row>
    <row r="33" spans="1:15" ht="15">
      <c r="A33" s="637" t="s">
        <v>162</v>
      </c>
      <c r="B33" s="638" t="s">
        <v>429</v>
      </c>
      <c r="C33" s="13" t="s">
        <v>160</v>
      </c>
      <c r="D33" s="13">
        <v>109</v>
      </c>
      <c r="E33" s="637" t="s">
        <v>44</v>
      </c>
      <c r="F33" s="13" t="s">
        <v>10</v>
      </c>
      <c r="G33" s="28">
        <v>40</v>
      </c>
      <c r="H33" s="440">
        <v>10</v>
      </c>
      <c r="I33" s="28">
        <v>1</v>
      </c>
      <c r="J33" s="441">
        <f t="shared" si="8"/>
        <v>0.25</v>
      </c>
      <c r="K33" s="436">
        <f>630/1000*3.1415</f>
        <v>1.9791450000000002</v>
      </c>
      <c r="L33" s="267">
        <f t="shared" si="5"/>
        <v>0.49478625000000004</v>
      </c>
      <c r="M33" s="433">
        <f t="shared" si="9"/>
        <v>98.957250000000002</v>
      </c>
      <c r="N33" s="434">
        <v>200</v>
      </c>
      <c r="O33" s="435">
        <f t="shared" si="10"/>
        <v>0.49478625000000004</v>
      </c>
    </row>
    <row r="34" spans="1:15" ht="15">
      <c r="A34" s="637"/>
      <c r="B34" s="638"/>
      <c r="C34" s="13" t="s">
        <v>9</v>
      </c>
      <c r="D34" s="13">
        <v>109</v>
      </c>
      <c r="E34" s="637"/>
      <c r="F34" s="13" t="s">
        <v>10</v>
      </c>
      <c r="G34" s="28">
        <v>27</v>
      </c>
      <c r="H34" s="440">
        <v>10</v>
      </c>
      <c r="I34" s="28">
        <v>1</v>
      </c>
      <c r="J34" s="441">
        <f t="shared" si="8"/>
        <v>0.37037037037037035</v>
      </c>
      <c r="K34" s="436">
        <f>630/1000*3.1415</f>
        <v>1.9791450000000002</v>
      </c>
      <c r="L34" s="267">
        <f t="shared" si="5"/>
        <v>0.73301666666666665</v>
      </c>
      <c r="M34" s="433">
        <f t="shared" si="9"/>
        <v>146.60333333333332</v>
      </c>
      <c r="N34" s="434">
        <v>200</v>
      </c>
      <c r="O34" s="435">
        <f t="shared" si="10"/>
        <v>0.73301666666666665</v>
      </c>
    </row>
    <row r="35" spans="1:15" ht="15">
      <c r="A35" s="642" t="s">
        <v>430</v>
      </c>
      <c r="B35" s="639" t="s">
        <v>431</v>
      </c>
      <c r="C35" s="13" t="s">
        <v>160</v>
      </c>
      <c r="D35" s="54">
        <v>107</v>
      </c>
      <c r="E35" s="645" t="s">
        <v>43</v>
      </c>
      <c r="F35" s="13" t="s">
        <v>10</v>
      </c>
      <c r="G35" s="28">
        <v>40</v>
      </c>
      <c r="H35" s="440">
        <v>10</v>
      </c>
      <c r="I35" s="28">
        <v>1</v>
      </c>
      <c r="J35" s="441">
        <f t="shared" si="8"/>
        <v>0.25</v>
      </c>
      <c r="K35" s="436">
        <f>630/1000*3.1415</f>
        <v>1.9791450000000002</v>
      </c>
      <c r="L35" s="267">
        <f t="shared" si="5"/>
        <v>0.49478625000000004</v>
      </c>
      <c r="M35" s="433">
        <f t="shared" si="9"/>
        <v>98.957250000000002</v>
      </c>
      <c r="N35" s="434">
        <v>200</v>
      </c>
      <c r="O35" s="435">
        <f t="shared" si="10"/>
        <v>0.49478625000000004</v>
      </c>
    </row>
    <row r="36" spans="1:15" ht="15">
      <c r="A36" s="643"/>
      <c r="B36" s="640"/>
      <c r="C36" s="13" t="s">
        <v>511</v>
      </c>
      <c r="D36" s="274">
        <v>107</v>
      </c>
      <c r="E36" s="646"/>
      <c r="F36" s="13" t="s">
        <v>10</v>
      </c>
      <c r="G36" s="28">
        <v>25</v>
      </c>
      <c r="H36" s="440">
        <v>10</v>
      </c>
      <c r="I36" s="28">
        <v>1</v>
      </c>
      <c r="J36" s="453">
        <f t="shared" si="8"/>
        <v>0.40</v>
      </c>
      <c r="K36" s="436">
        <f>630*3.1415/1000</f>
        <v>1.9791450000000002</v>
      </c>
      <c r="L36" s="267">
        <f t="shared" si="5"/>
        <v>0.79165800000000008</v>
      </c>
      <c r="M36" s="433">
        <f t="shared" si="9"/>
        <v>139.33180800000002</v>
      </c>
      <c r="N36" s="434">
        <v>176</v>
      </c>
      <c r="O36" s="435">
        <f t="shared" si="10"/>
        <v>0.79165800000000008</v>
      </c>
    </row>
    <row r="37" spans="1:15" ht="15">
      <c r="A37" s="644"/>
      <c r="B37" s="641"/>
      <c r="C37" s="13" t="s">
        <v>313</v>
      </c>
      <c r="D37" s="90">
        <v>107</v>
      </c>
      <c r="E37" s="647"/>
      <c r="F37" s="13" t="s">
        <v>10</v>
      </c>
      <c r="G37" s="28">
        <v>28.50</v>
      </c>
      <c r="H37" s="440">
        <v>10</v>
      </c>
      <c r="I37" s="28">
        <v>1</v>
      </c>
      <c r="J37" s="453">
        <f t="shared" si="8"/>
        <v>0.35087719298245612</v>
      </c>
      <c r="K37" s="436">
        <f>630*3.1415/1000</f>
        <v>1.9791450000000002</v>
      </c>
      <c r="L37" s="267">
        <f t="shared" si="5"/>
        <v>0.69443684210526313</v>
      </c>
      <c r="M37" s="433">
        <f t="shared" si="9"/>
        <v>138.88736842105263</v>
      </c>
      <c r="N37" s="434">
        <v>200</v>
      </c>
      <c r="O37" s="435">
        <f t="shared" si="10"/>
        <v>0.69443684210526313</v>
      </c>
    </row>
    <row r="38" spans="1:15" ht="15">
      <c r="A38" s="57" t="s">
        <v>629</v>
      </c>
      <c r="B38" s="56" t="s">
        <v>1144</v>
      </c>
      <c r="C38" s="13" t="s">
        <v>862</v>
      </c>
      <c r="D38" s="13">
        <v>224</v>
      </c>
      <c r="E38" s="13"/>
      <c r="F38" s="17"/>
      <c r="G38" s="28">
        <f>(600-25)/10</f>
        <v>57.50</v>
      </c>
      <c r="H38" s="440">
        <v>10</v>
      </c>
      <c r="I38" s="28">
        <v>2</v>
      </c>
      <c r="J38" s="441">
        <f t="shared" si="8"/>
        <v>0.34782608695652173</v>
      </c>
      <c r="K38" s="28">
        <v>1</v>
      </c>
      <c r="L38" s="267">
        <f t="shared" si="5"/>
        <v>0.34782608695652173</v>
      </c>
      <c r="M38" s="433">
        <f t="shared" si="9"/>
        <v>69.565217391304344</v>
      </c>
      <c r="N38" s="434">
        <v>200</v>
      </c>
      <c r="O38" s="435">
        <f t="shared" si="10"/>
        <v>0.17391304347826086</v>
      </c>
    </row>
    <row r="39" spans="1:15" ht="15">
      <c r="A39" s="637" t="s">
        <v>314</v>
      </c>
      <c r="B39" s="638" t="s">
        <v>107</v>
      </c>
      <c r="C39" s="13" t="s">
        <v>24</v>
      </c>
      <c r="D39" s="13">
        <v>110</v>
      </c>
      <c r="E39" s="13"/>
      <c r="F39" s="4" t="s">
        <v>40</v>
      </c>
      <c r="G39" s="442">
        <v>20</v>
      </c>
      <c r="H39" s="440">
        <v>10</v>
      </c>
      <c r="I39" s="28">
        <v>2</v>
      </c>
      <c r="J39" s="441">
        <f t="shared" si="8"/>
        <v>1</v>
      </c>
      <c r="K39" s="28">
        <v>1</v>
      </c>
      <c r="L39" s="267">
        <f t="shared" si="5"/>
        <v>1</v>
      </c>
      <c r="M39" s="433">
        <f t="shared" si="9"/>
        <v>200</v>
      </c>
      <c r="N39" s="434">
        <v>200</v>
      </c>
      <c r="O39" s="435">
        <f t="shared" si="10"/>
        <v>0.50</v>
      </c>
    </row>
    <row r="40" spans="1:15" ht="15">
      <c r="A40" s="637"/>
      <c r="B40" s="638"/>
      <c r="C40" s="13" t="s">
        <v>25</v>
      </c>
      <c r="D40" s="13">
        <v>110</v>
      </c>
      <c r="E40" s="13" t="s">
        <v>41</v>
      </c>
      <c r="F40" s="13" t="s">
        <v>10</v>
      </c>
      <c r="G40" s="28">
        <v>40</v>
      </c>
      <c r="H40" s="440">
        <v>10</v>
      </c>
      <c r="I40" s="28">
        <v>1</v>
      </c>
      <c r="J40" s="441">
        <f t="shared" si="8"/>
        <v>0.25</v>
      </c>
      <c r="K40" s="436">
        <f>630/1000*3.1415*2</f>
        <v>3.9582900000000003</v>
      </c>
      <c r="L40" s="267">
        <f t="shared" si="5"/>
        <v>0.98957250000000008</v>
      </c>
      <c r="M40" s="433">
        <f t="shared" si="9"/>
        <v>197.9145</v>
      </c>
      <c r="N40" s="434">
        <v>200</v>
      </c>
      <c r="O40" s="435">
        <f t="shared" si="10"/>
        <v>0.98957250000000008</v>
      </c>
    </row>
    <row r="41" spans="1:15" ht="15">
      <c r="A41" s="57" t="s">
        <v>1285</v>
      </c>
      <c r="B41" s="56" t="s">
        <v>1563</v>
      </c>
      <c r="C41" s="13" t="s">
        <v>1412</v>
      </c>
      <c r="D41" s="13">
        <v>105</v>
      </c>
      <c r="E41" s="13"/>
      <c r="F41" s="13" t="s">
        <v>353</v>
      </c>
      <c r="G41" s="436">
        <v>20</v>
      </c>
      <c r="H41" s="440">
        <v>10</v>
      </c>
      <c r="I41" s="28">
        <v>1</v>
      </c>
      <c r="J41" s="441">
        <f t="shared" si="8"/>
        <v>0.50</v>
      </c>
      <c r="K41" s="432">
        <v>1</v>
      </c>
      <c r="L41" s="435">
        <f t="shared" si="5"/>
        <v>0.50</v>
      </c>
      <c r="M41" s="266">
        <f t="shared" si="9"/>
        <v>100</v>
      </c>
      <c r="N41" s="433">
        <v>200</v>
      </c>
      <c r="O41" s="435">
        <f t="shared" si="10"/>
        <v>0.50</v>
      </c>
    </row>
    <row r="42" spans="1:15" ht="15">
      <c r="A42" s="57" t="s">
        <v>648</v>
      </c>
      <c r="B42" s="567" t="s">
        <v>1564</v>
      </c>
      <c r="C42" s="13" t="s">
        <v>1413</v>
      </c>
      <c r="D42" s="13">
        <v>108</v>
      </c>
      <c r="E42" s="13"/>
      <c r="F42" s="13" t="s">
        <v>10</v>
      </c>
      <c r="G42" s="28">
        <v>40</v>
      </c>
      <c r="H42" s="440">
        <v>10</v>
      </c>
      <c r="I42" s="28">
        <v>1</v>
      </c>
      <c r="J42" s="453">
        <f t="shared" si="8"/>
        <v>0.25</v>
      </c>
      <c r="K42" s="436">
        <f>151*2/1000</f>
        <v>0.30199999999999999</v>
      </c>
      <c r="L42" s="267">
        <f t="shared" si="5"/>
        <v>0.075499999999999998</v>
      </c>
      <c r="M42" s="433">
        <f t="shared" si="9"/>
        <v>15.10</v>
      </c>
      <c r="N42" s="434">
        <v>200</v>
      </c>
      <c r="O42" s="435">
        <f t="shared" si="10"/>
        <v>0.075499999999999998</v>
      </c>
    </row>
    <row r="43" spans="1:15" ht="15">
      <c r="A43" s="57" t="s">
        <v>1288</v>
      </c>
      <c r="B43" s="56" t="s">
        <v>1565</v>
      </c>
      <c r="C43" s="13" t="s">
        <v>1412</v>
      </c>
      <c r="D43" s="13">
        <v>105</v>
      </c>
      <c r="E43" s="13"/>
      <c r="F43" s="13" t="s">
        <v>353</v>
      </c>
      <c r="G43" s="436">
        <f>20/0.65</f>
        <v>30.769230769230766</v>
      </c>
      <c r="H43" s="440">
        <v>10</v>
      </c>
      <c r="I43" s="28">
        <v>1</v>
      </c>
      <c r="J43" s="441">
        <f t="shared" si="8"/>
        <v>0.325</v>
      </c>
      <c r="K43" s="432">
        <v>1</v>
      </c>
      <c r="L43" s="435">
        <f t="shared" si="5"/>
        <v>0.325</v>
      </c>
      <c r="M43" s="266">
        <f t="shared" si="9"/>
        <v>65</v>
      </c>
      <c r="N43" s="433">
        <v>200</v>
      </c>
      <c r="O43" s="435">
        <f t="shared" si="10"/>
        <v>0.325</v>
      </c>
    </row>
    <row r="44" spans="1:15" ht="15">
      <c r="A44" s="57" t="s">
        <v>176</v>
      </c>
      <c r="B44" s="56" t="s">
        <v>1566</v>
      </c>
      <c r="C44" s="13" t="s">
        <v>154</v>
      </c>
      <c r="D44" s="13">
        <v>124</v>
      </c>
      <c r="E44" s="13"/>
      <c r="F44" s="13" t="s">
        <v>354</v>
      </c>
      <c r="G44" s="442">
        <v>15.50</v>
      </c>
      <c r="H44" s="440">
        <v>10</v>
      </c>
      <c r="I44" s="28">
        <v>1</v>
      </c>
      <c r="J44" s="441">
        <f t="shared" si="8"/>
        <v>0.64516129032258063</v>
      </c>
      <c r="K44" s="432">
        <v>1</v>
      </c>
      <c r="L44" s="267">
        <f t="shared" si="5"/>
        <v>0.64516129032258063</v>
      </c>
      <c r="M44" s="433">
        <f t="shared" si="9"/>
        <v>129.03225806451613</v>
      </c>
      <c r="N44" s="434">
        <v>200</v>
      </c>
      <c r="O44" s="435">
        <f t="shared" si="10"/>
        <v>0.64516129032258063</v>
      </c>
    </row>
    <row r="45" spans="1:15" ht="30">
      <c r="A45" s="57" t="s">
        <v>1289</v>
      </c>
      <c r="B45" s="56" t="s">
        <v>1567</v>
      </c>
      <c r="C45" s="13" t="s">
        <v>24</v>
      </c>
      <c r="D45" s="13">
        <v>117</v>
      </c>
      <c r="E45" s="13"/>
      <c r="F45" s="4" t="s">
        <v>38</v>
      </c>
      <c r="G45" s="442">
        <v>20</v>
      </c>
      <c r="H45" s="440">
        <v>10</v>
      </c>
      <c r="I45" s="28">
        <v>2</v>
      </c>
      <c r="J45" s="441">
        <f t="shared" si="8"/>
        <v>1</v>
      </c>
      <c r="K45" s="28">
        <v>1</v>
      </c>
      <c r="L45" s="267">
        <f t="shared" si="5"/>
        <v>1</v>
      </c>
      <c r="M45" s="433">
        <f t="shared" si="9"/>
        <v>200</v>
      </c>
      <c r="N45" s="434">
        <v>200</v>
      </c>
      <c r="O45" s="435">
        <f t="shared" si="10"/>
        <v>0.50</v>
      </c>
    </row>
    <row r="46" spans="1:15" ht="30">
      <c r="A46" s="13" t="s">
        <v>1290</v>
      </c>
      <c r="B46" s="56" t="s">
        <v>1568</v>
      </c>
      <c r="C46" s="13" t="s">
        <v>160</v>
      </c>
      <c r="D46" s="13">
        <v>117</v>
      </c>
      <c r="E46" s="13" t="s">
        <v>869</v>
      </c>
      <c r="F46" s="13" t="s">
        <v>10</v>
      </c>
      <c r="G46" s="28">
        <v>40</v>
      </c>
      <c r="H46" s="440">
        <v>10</v>
      </c>
      <c r="I46" s="28">
        <v>1</v>
      </c>
      <c r="J46" s="441">
        <f t="shared" si="8"/>
        <v>0.25</v>
      </c>
      <c r="K46" s="436">
        <f>544*3.1415*2/1000</f>
        <v>3.4179520000000001</v>
      </c>
      <c r="L46" s="267">
        <f t="shared" si="5"/>
        <v>0.85448800000000003</v>
      </c>
      <c r="M46" s="433">
        <f t="shared" si="9"/>
        <v>170.89760000000001</v>
      </c>
      <c r="N46" s="434">
        <v>200</v>
      </c>
      <c r="O46" s="435">
        <f t="shared" si="10"/>
        <v>0.85448800000000003</v>
      </c>
    </row>
    <row r="47" spans="1:15" ht="30">
      <c r="A47" s="57" t="s">
        <v>1291</v>
      </c>
      <c r="B47" s="56" t="s">
        <v>1569</v>
      </c>
      <c r="C47" s="13" t="s">
        <v>24</v>
      </c>
      <c r="D47" s="13">
        <v>110</v>
      </c>
      <c r="E47" s="13"/>
      <c r="F47" s="4" t="s">
        <v>38</v>
      </c>
      <c r="G47" s="442">
        <v>20</v>
      </c>
      <c r="H47" s="440">
        <v>10</v>
      </c>
      <c r="I47" s="28">
        <v>2</v>
      </c>
      <c r="J47" s="441">
        <f t="shared" si="8"/>
        <v>1</v>
      </c>
      <c r="K47" s="28">
        <v>1</v>
      </c>
      <c r="L47" s="267">
        <f t="shared" si="5"/>
        <v>1</v>
      </c>
      <c r="M47" s="433">
        <f t="shared" si="9"/>
        <v>200</v>
      </c>
      <c r="N47" s="434">
        <v>200</v>
      </c>
      <c r="O47" s="435">
        <f t="shared" si="10"/>
        <v>0.50</v>
      </c>
    </row>
    <row r="48" spans="1:15" ht="30">
      <c r="A48" s="13" t="s">
        <v>177</v>
      </c>
      <c r="B48" s="56" t="s">
        <v>1570</v>
      </c>
      <c r="C48" s="13" t="s">
        <v>160</v>
      </c>
      <c r="D48" s="13">
        <v>110</v>
      </c>
      <c r="E48" s="13" t="s">
        <v>869</v>
      </c>
      <c r="F48" s="13" t="s">
        <v>10</v>
      </c>
      <c r="G48" s="28">
        <v>40</v>
      </c>
      <c r="H48" s="440">
        <v>10</v>
      </c>
      <c r="I48" s="28">
        <v>1</v>
      </c>
      <c r="J48" s="441">
        <f t="shared" si="8"/>
        <v>0.25</v>
      </c>
      <c r="K48" s="436">
        <f>560*3.1415*2/1000</f>
        <v>3.5184799999999998</v>
      </c>
      <c r="L48" s="267">
        <f t="shared" si="5"/>
        <v>0.87961999999999996</v>
      </c>
      <c r="M48" s="433">
        <f t="shared" si="9"/>
        <v>175.92399999999998</v>
      </c>
      <c r="N48" s="434">
        <v>200</v>
      </c>
      <c r="O48" s="435">
        <f t="shared" si="10"/>
        <v>0.87961999999999996</v>
      </c>
    </row>
    <row r="49" spans="1:15" ht="15">
      <c r="A49" s="39"/>
      <c r="B49" s="649" t="s">
        <v>131</v>
      </c>
      <c r="C49" s="649"/>
      <c r="D49" s="649"/>
      <c r="E49" s="649"/>
      <c r="F49" s="649"/>
      <c r="G49" s="649"/>
      <c r="H49" s="649"/>
      <c r="I49" s="649"/>
      <c r="J49" s="649"/>
      <c r="K49" s="649"/>
      <c r="L49" s="267"/>
      <c r="M49" s="262">
        <f>SUM(M50:M67)</f>
        <v>3767.0755282645064</v>
      </c>
      <c r="N49" s="263"/>
      <c r="O49" s="264">
        <f>SUM(O50:O67)</f>
        <v>15.163257399849282</v>
      </c>
    </row>
    <row r="50" spans="1:15" ht="15">
      <c r="A50" s="642" t="s">
        <v>651</v>
      </c>
      <c r="B50" s="639" t="s">
        <v>1051</v>
      </c>
      <c r="C50" s="13" t="s">
        <v>1052</v>
      </c>
      <c r="D50" s="13">
        <v>106</v>
      </c>
      <c r="E50" s="13"/>
      <c r="F50" s="13" t="s">
        <v>1053</v>
      </c>
      <c r="G50" s="442">
        <v>20</v>
      </c>
      <c r="H50" s="437">
        <v>10</v>
      </c>
      <c r="I50" s="28">
        <v>2</v>
      </c>
      <c r="J50" s="468">
        <f t="shared" si="13" ref="J50:J67">H50/G50*I50</f>
        <v>1</v>
      </c>
      <c r="K50" s="442">
        <v>1</v>
      </c>
      <c r="L50" s="267">
        <f t="shared" si="14" ref="L50:L67">J50*K50</f>
        <v>1</v>
      </c>
      <c r="M50" s="474">
        <f t="shared" si="15" ref="M50:M67">L50*N50</f>
        <v>200</v>
      </c>
      <c r="N50" s="475">
        <v>200</v>
      </c>
      <c r="O50" s="267">
        <f t="shared" si="16" ref="O50:O67">J50/I50*K50</f>
        <v>0.50</v>
      </c>
    </row>
    <row r="51" spans="1:15" ht="15">
      <c r="A51" s="643"/>
      <c r="B51" s="640"/>
      <c r="C51" s="13" t="s">
        <v>1145</v>
      </c>
      <c r="D51" s="13">
        <v>106</v>
      </c>
      <c r="E51" s="13"/>
      <c r="F51" s="13" t="s">
        <v>10</v>
      </c>
      <c r="G51" s="442">
        <v>40</v>
      </c>
      <c r="H51" s="437">
        <v>10</v>
      </c>
      <c r="I51" s="28">
        <v>1</v>
      </c>
      <c r="J51" s="468">
        <f t="shared" si="13"/>
        <v>0.25</v>
      </c>
      <c r="K51" s="442">
        <f>(1807)/1000</f>
        <v>1.8069999999999999</v>
      </c>
      <c r="L51" s="267">
        <f t="shared" si="14"/>
        <v>0.45174999999999998</v>
      </c>
      <c r="M51" s="266">
        <f t="shared" si="15"/>
        <v>90.35</v>
      </c>
      <c r="N51" s="433">
        <v>200</v>
      </c>
      <c r="O51" s="267">
        <f t="shared" si="16"/>
        <v>0.45174999999999998</v>
      </c>
    </row>
    <row r="52" spans="1:15" ht="15">
      <c r="A52" s="643"/>
      <c r="B52" s="640"/>
      <c r="C52" s="13" t="s">
        <v>1146</v>
      </c>
      <c r="D52" s="13">
        <v>106</v>
      </c>
      <c r="E52" s="13" t="s">
        <v>44</v>
      </c>
      <c r="F52" s="13" t="s">
        <v>10</v>
      </c>
      <c r="G52" s="442">
        <v>27</v>
      </c>
      <c r="H52" s="437">
        <v>10</v>
      </c>
      <c r="I52" s="28">
        <v>1</v>
      </c>
      <c r="J52" s="468">
        <f t="shared" si="13"/>
        <v>0.37037037037037035</v>
      </c>
      <c r="K52" s="442">
        <f>(1807*2)/1000+0.2</f>
        <v>3.8140000000000001</v>
      </c>
      <c r="L52" s="267">
        <f t="shared" si="14"/>
        <v>1.4125925925925926</v>
      </c>
      <c r="M52" s="266">
        <f t="shared" si="15"/>
        <v>282.51851851851853</v>
      </c>
      <c r="N52" s="433">
        <v>200</v>
      </c>
      <c r="O52" s="267">
        <f t="shared" si="16"/>
        <v>1.4125925925925926</v>
      </c>
    </row>
    <row r="53" spans="1:15" ht="15">
      <c r="A53" s="643"/>
      <c r="B53" s="640"/>
      <c r="C53" s="13" t="s">
        <v>1052</v>
      </c>
      <c r="D53" s="13">
        <v>106</v>
      </c>
      <c r="E53" s="13"/>
      <c r="F53" s="13" t="s">
        <v>1053</v>
      </c>
      <c r="G53" s="442">
        <v>20</v>
      </c>
      <c r="H53" s="437">
        <v>10</v>
      </c>
      <c r="I53" s="28">
        <v>2</v>
      </c>
      <c r="J53" s="468">
        <f t="shared" si="13"/>
        <v>1</v>
      </c>
      <c r="K53" s="442">
        <v>1</v>
      </c>
      <c r="L53" s="267">
        <f t="shared" si="14"/>
        <v>1</v>
      </c>
      <c r="M53" s="474">
        <f t="shared" si="15"/>
        <v>200</v>
      </c>
      <c r="N53" s="475">
        <v>200</v>
      </c>
      <c r="O53" s="267">
        <f t="shared" si="16"/>
        <v>0.50</v>
      </c>
    </row>
    <row r="54" spans="1:15" ht="15">
      <c r="A54" s="643"/>
      <c r="B54" s="640"/>
      <c r="C54" s="13" t="s">
        <v>1147</v>
      </c>
      <c r="D54" s="13">
        <v>106</v>
      </c>
      <c r="E54" s="13"/>
      <c r="F54" s="13" t="s">
        <v>10</v>
      </c>
      <c r="G54" s="442">
        <v>40</v>
      </c>
      <c r="H54" s="437">
        <v>10</v>
      </c>
      <c r="I54" s="28">
        <v>1</v>
      </c>
      <c r="J54" s="468">
        <f t="shared" si="13"/>
        <v>0.25</v>
      </c>
      <c r="K54" s="442">
        <f>(1807)/1000</f>
        <v>1.8069999999999999</v>
      </c>
      <c r="L54" s="267">
        <f t="shared" si="14"/>
        <v>0.45174999999999998</v>
      </c>
      <c r="M54" s="266">
        <f t="shared" si="15"/>
        <v>90.35</v>
      </c>
      <c r="N54" s="433">
        <v>200</v>
      </c>
      <c r="O54" s="267">
        <f t="shared" si="16"/>
        <v>0.45174999999999998</v>
      </c>
    </row>
    <row r="55" spans="1:15" ht="15">
      <c r="A55" s="644"/>
      <c r="B55" s="641"/>
      <c r="C55" s="13" t="s">
        <v>1148</v>
      </c>
      <c r="D55" s="13">
        <v>106</v>
      </c>
      <c r="E55" s="13" t="s">
        <v>44</v>
      </c>
      <c r="F55" s="13" t="s">
        <v>10</v>
      </c>
      <c r="G55" s="442">
        <v>27</v>
      </c>
      <c r="H55" s="437">
        <v>10</v>
      </c>
      <c r="I55" s="28">
        <v>1</v>
      </c>
      <c r="J55" s="468">
        <f t="shared" si="13"/>
        <v>0.37037037037037035</v>
      </c>
      <c r="K55" s="442">
        <f>(1807*2)/1000+0.2</f>
        <v>3.8140000000000001</v>
      </c>
      <c r="L55" s="267">
        <f t="shared" si="14"/>
        <v>1.4125925925925926</v>
      </c>
      <c r="M55" s="266">
        <f t="shared" si="15"/>
        <v>282.51851851851853</v>
      </c>
      <c r="N55" s="433">
        <v>200</v>
      </c>
      <c r="O55" s="267">
        <f t="shared" si="16"/>
        <v>1.4125925925925926</v>
      </c>
    </row>
    <row r="56" spans="1:15" ht="15">
      <c r="A56" s="57" t="s">
        <v>182</v>
      </c>
      <c r="B56" s="56" t="s">
        <v>183</v>
      </c>
      <c r="C56" s="13" t="s">
        <v>1149</v>
      </c>
      <c r="D56" s="13">
        <v>105</v>
      </c>
      <c r="E56" s="13"/>
      <c r="F56" s="13" t="s">
        <v>353</v>
      </c>
      <c r="G56" s="436">
        <v>12.85</v>
      </c>
      <c r="H56" s="440">
        <v>10</v>
      </c>
      <c r="I56" s="28">
        <v>1</v>
      </c>
      <c r="J56" s="441">
        <f t="shared" si="13"/>
        <v>0.77821011673151752</v>
      </c>
      <c r="K56" s="432">
        <v>1</v>
      </c>
      <c r="L56" s="435">
        <f t="shared" si="14"/>
        <v>0.77821011673151752</v>
      </c>
      <c r="M56" s="266">
        <f t="shared" si="15"/>
        <v>155.64202334630352</v>
      </c>
      <c r="N56" s="433">
        <v>200</v>
      </c>
      <c r="O56" s="435">
        <f t="shared" si="16"/>
        <v>0.77821011673151752</v>
      </c>
    </row>
    <row r="57" spans="1:15" ht="30">
      <c r="A57" s="57" t="s">
        <v>185</v>
      </c>
      <c r="B57" s="56" t="s">
        <v>186</v>
      </c>
      <c r="C57" s="13" t="s">
        <v>187</v>
      </c>
      <c r="D57" s="13">
        <v>105</v>
      </c>
      <c r="E57" s="13"/>
      <c r="F57" s="13" t="s">
        <v>522</v>
      </c>
      <c r="G57" s="28">
        <v>55</v>
      </c>
      <c r="H57" s="440">
        <v>10</v>
      </c>
      <c r="I57" s="28">
        <v>1</v>
      </c>
      <c r="J57" s="441">
        <f t="shared" si="13"/>
        <v>0.18181818181818182</v>
      </c>
      <c r="K57" s="432">
        <v>5</v>
      </c>
      <c r="L57" s="435">
        <f t="shared" si="14"/>
        <v>0.90909090909090917</v>
      </c>
      <c r="M57" s="266">
        <f t="shared" si="15"/>
        <v>181.81818181818184</v>
      </c>
      <c r="N57" s="433">
        <v>200</v>
      </c>
      <c r="O57" s="435">
        <f t="shared" si="16"/>
        <v>0.90909090909090917</v>
      </c>
    </row>
    <row r="58" spans="1:15" ht="15">
      <c r="A58" s="650" t="s">
        <v>188</v>
      </c>
      <c r="B58" s="663" t="s">
        <v>438</v>
      </c>
      <c r="C58" s="13" t="s">
        <v>1150</v>
      </c>
      <c r="D58" s="13">
        <v>109</v>
      </c>
      <c r="E58" s="645" t="s">
        <v>44</v>
      </c>
      <c r="F58" s="13" t="s">
        <v>10</v>
      </c>
      <c r="G58" s="28">
        <v>40</v>
      </c>
      <c r="H58" s="440">
        <v>10</v>
      </c>
      <c r="I58" s="28">
        <v>1</v>
      </c>
      <c r="J58" s="453">
        <f t="shared" si="13"/>
        <v>0.25</v>
      </c>
      <c r="K58" s="436">
        <f>(1807)/1000</f>
        <v>1.8069999999999999</v>
      </c>
      <c r="L58" s="267">
        <f t="shared" si="14"/>
        <v>0.45174999999999998</v>
      </c>
      <c r="M58" s="433">
        <f t="shared" si="15"/>
        <v>90.35</v>
      </c>
      <c r="N58" s="434">
        <v>200</v>
      </c>
      <c r="O58" s="435">
        <f t="shared" si="16"/>
        <v>0.45174999999999998</v>
      </c>
    </row>
    <row r="59" spans="1:15" ht="15">
      <c r="A59" s="652"/>
      <c r="B59" s="654"/>
      <c r="C59" s="13" t="s">
        <v>1151</v>
      </c>
      <c r="D59" s="13">
        <v>109</v>
      </c>
      <c r="E59" s="647"/>
      <c r="F59" s="13" t="s">
        <v>10</v>
      </c>
      <c r="G59" s="28">
        <v>27</v>
      </c>
      <c r="H59" s="440">
        <v>10</v>
      </c>
      <c r="I59" s="28">
        <v>1</v>
      </c>
      <c r="J59" s="441">
        <f t="shared" si="13"/>
        <v>0.37037037037037035</v>
      </c>
      <c r="K59" s="436">
        <f>(1807)/1000+0.2</f>
        <v>2.0070000000000001</v>
      </c>
      <c r="L59" s="435">
        <f t="shared" si="14"/>
        <v>0.74333333333333329</v>
      </c>
      <c r="M59" s="266">
        <f t="shared" si="15"/>
        <v>148.66666666666666</v>
      </c>
      <c r="N59" s="433">
        <v>200</v>
      </c>
      <c r="O59" s="435">
        <f t="shared" si="16"/>
        <v>0.74333333333333329</v>
      </c>
    </row>
    <row r="60" spans="1:15" ht="15">
      <c r="A60" s="642" t="s">
        <v>437</v>
      </c>
      <c r="B60" s="639" t="s">
        <v>439</v>
      </c>
      <c r="C60" s="13" t="s">
        <v>1152</v>
      </c>
      <c r="D60" s="13">
        <v>107</v>
      </c>
      <c r="E60" s="645" t="s">
        <v>43</v>
      </c>
      <c r="F60" s="13" t="s">
        <v>10</v>
      </c>
      <c r="G60" s="28">
        <v>25</v>
      </c>
      <c r="H60" s="440">
        <v>10</v>
      </c>
      <c r="I60" s="28">
        <v>1</v>
      </c>
      <c r="J60" s="453">
        <f t="shared" si="13"/>
        <v>0.40</v>
      </c>
      <c r="K60" s="436">
        <f>(1807*2)/1000</f>
        <v>3.6139999999999999</v>
      </c>
      <c r="L60" s="267">
        <f t="shared" si="14"/>
        <v>1.4456</v>
      </c>
      <c r="M60" s="433">
        <f t="shared" si="15"/>
        <v>254.4256</v>
      </c>
      <c r="N60" s="434">
        <v>176</v>
      </c>
      <c r="O60" s="435">
        <f t="shared" si="16"/>
        <v>1.4456</v>
      </c>
    </row>
    <row r="61" spans="1:15" ht="15">
      <c r="A61" s="644"/>
      <c r="B61" s="641"/>
      <c r="C61" s="13" t="s">
        <v>1153</v>
      </c>
      <c r="D61" s="13">
        <v>107</v>
      </c>
      <c r="E61" s="647"/>
      <c r="F61" s="13" t="s">
        <v>10</v>
      </c>
      <c r="G61" s="28">
        <v>28.50</v>
      </c>
      <c r="H61" s="440">
        <v>10</v>
      </c>
      <c r="I61" s="28">
        <v>1</v>
      </c>
      <c r="J61" s="453">
        <f t="shared" si="13"/>
        <v>0.35087719298245612</v>
      </c>
      <c r="K61" s="436">
        <f>1807*2/1000+0.2</f>
        <v>3.8140000000000001</v>
      </c>
      <c r="L61" s="267">
        <f t="shared" si="14"/>
        <v>1.3382456140350876</v>
      </c>
      <c r="M61" s="433">
        <f t="shared" si="15"/>
        <v>267.64912280701753</v>
      </c>
      <c r="N61" s="434">
        <v>200</v>
      </c>
      <c r="O61" s="435">
        <f t="shared" si="16"/>
        <v>1.3382456140350876</v>
      </c>
    </row>
    <row r="62" spans="1:15" s="0" customFormat="1" ht="15">
      <c r="A62" s="58" t="s">
        <v>348</v>
      </c>
      <c r="B62" s="55" t="s">
        <v>1007</v>
      </c>
      <c r="C62" s="17" t="s">
        <v>523</v>
      </c>
      <c r="D62" s="54">
        <v>224</v>
      </c>
      <c r="E62" s="13"/>
      <c r="F62" s="17"/>
      <c r="G62" s="16">
        <v>60</v>
      </c>
      <c r="H62" s="18">
        <v>10</v>
      </c>
      <c r="I62" s="16">
        <v>1</v>
      </c>
      <c r="J62" s="20">
        <f t="shared" si="13"/>
        <v>0.16666666666666666</v>
      </c>
      <c r="K62" s="30">
        <v>3</v>
      </c>
      <c r="L62" s="8">
        <f t="shared" si="14"/>
        <v>0.50</v>
      </c>
      <c r="M62" s="42">
        <f t="shared" si="15"/>
        <v>100</v>
      </c>
      <c r="N62" s="43">
        <v>200</v>
      </c>
      <c r="O62" s="8">
        <f t="shared" si="16"/>
        <v>0.50</v>
      </c>
    </row>
    <row r="63" spans="1:15" ht="15">
      <c r="A63" s="57" t="s">
        <v>325</v>
      </c>
      <c r="B63" s="56" t="s">
        <v>327</v>
      </c>
      <c r="C63" s="13" t="s">
        <v>326</v>
      </c>
      <c r="D63" s="487">
        <v>112</v>
      </c>
      <c r="E63" s="13"/>
      <c r="F63" s="13" t="s">
        <v>513</v>
      </c>
      <c r="G63" s="28">
        <v>15</v>
      </c>
      <c r="H63" s="440">
        <v>10</v>
      </c>
      <c r="I63" s="28">
        <v>2</v>
      </c>
      <c r="J63" s="441">
        <f t="shared" si="13"/>
        <v>1.3333333333333333</v>
      </c>
      <c r="K63" s="432">
        <v>1</v>
      </c>
      <c r="L63" s="435">
        <f t="shared" si="14"/>
        <v>1.3333333333333333</v>
      </c>
      <c r="M63" s="266">
        <f t="shared" si="15"/>
        <v>266.66666666666663</v>
      </c>
      <c r="N63" s="433">
        <v>200</v>
      </c>
      <c r="O63" s="435">
        <f t="shared" si="16"/>
        <v>0.66666666666666663</v>
      </c>
    </row>
    <row r="64" spans="1:15" s="0" customFormat="1" ht="15">
      <c r="A64" s="637" t="s">
        <v>197</v>
      </c>
      <c r="B64" s="638" t="s">
        <v>110</v>
      </c>
      <c r="C64" s="13" t="s">
        <v>47</v>
      </c>
      <c r="D64" s="90">
        <v>112</v>
      </c>
      <c r="E64" s="13"/>
      <c r="F64" s="25" t="s">
        <v>111</v>
      </c>
      <c r="G64" s="16">
        <v>9.50</v>
      </c>
      <c r="H64" s="252">
        <v>10</v>
      </c>
      <c r="I64" s="16">
        <v>2</v>
      </c>
      <c r="J64" s="253">
        <f t="shared" si="13"/>
        <v>2.1052631578947367</v>
      </c>
      <c r="K64" s="16">
        <v>1</v>
      </c>
      <c r="L64" s="26">
        <f t="shared" si="14"/>
        <v>2.1052631578947367</v>
      </c>
      <c r="M64" s="43">
        <f t="shared" si="15"/>
        <v>421.05263157894734</v>
      </c>
      <c r="N64" s="46">
        <v>200</v>
      </c>
      <c r="O64" s="8">
        <f t="shared" si="16"/>
        <v>1.0526315789473684</v>
      </c>
    </row>
    <row r="65" spans="1:15" s="0" customFormat="1" ht="30">
      <c r="A65" s="637"/>
      <c r="B65" s="638"/>
      <c r="C65" s="13" t="s">
        <v>48</v>
      </c>
      <c r="D65" s="17">
        <v>112</v>
      </c>
      <c r="E65" s="4" t="s">
        <v>520</v>
      </c>
      <c r="F65" s="17" t="s">
        <v>10</v>
      </c>
      <c r="G65" s="16">
        <v>40</v>
      </c>
      <c r="H65" s="252">
        <v>10</v>
      </c>
      <c r="I65" s="16">
        <v>1</v>
      </c>
      <c r="J65" s="253">
        <f t="shared" si="13"/>
        <v>0.25</v>
      </c>
      <c r="K65" s="30">
        <f>((1542*2+207*2)+(1462)+(731))/1000</f>
        <v>5.6909999999999998</v>
      </c>
      <c r="L65" s="26">
        <f t="shared" si="14"/>
        <v>1.42275</v>
      </c>
      <c r="M65" s="43">
        <f t="shared" si="15"/>
        <v>284.55</v>
      </c>
      <c r="N65" s="46">
        <v>200</v>
      </c>
      <c r="O65" s="8">
        <f t="shared" si="16"/>
        <v>1.42275</v>
      </c>
    </row>
    <row r="66" spans="1:15" ht="15">
      <c r="A66" s="54" t="s">
        <v>888</v>
      </c>
      <c r="B66" s="56" t="s">
        <v>1411</v>
      </c>
      <c r="C66" s="13" t="s">
        <v>862</v>
      </c>
      <c r="D66" s="13">
        <v>224</v>
      </c>
      <c r="E66" s="13"/>
      <c r="F66" s="17"/>
      <c r="G66" s="28">
        <f>(600-25)/10</f>
        <v>57.50</v>
      </c>
      <c r="H66" s="440">
        <v>10</v>
      </c>
      <c r="I66" s="28">
        <v>2</v>
      </c>
      <c r="J66" s="441">
        <f t="shared" si="13"/>
        <v>0.34782608695652173</v>
      </c>
      <c r="K66" s="28">
        <v>1</v>
      </c>
      <c r="L66" s="267">
        <f t="shared" si="14"/>
        <v>0.34782608695652173</v>
      </c>
      <c r="M66" s="433">
        <f t="shared" si="15"/>
        <v>69.565217391304344</v>
      </c>
      <c r="N66" s="434">
        <v>200</v>
      </c>
      <c r="O66" s="435">
        <f t="shared" si="16"/>
        <v>0.17391304347826086</v>
      </c>
    </row>
    <row r="67" spans="1:15" ht="15">
      <c r="A67" s="13" t="s">
        <v>199</v>
      </c>
      <c r="B67" s="27" t="s">
        <v>890</v>
      </c>
      <c r="C67" s="13" t="s">
        <v>47</v>
      </c>
      <c r="D67" s="13">
        <v>112</v>
      </c>
      <c r="E67" s="13"/>
      <c r="F67" s="4" t="s">
        <v>870</v>
      </c>
      <c r="G67" s="28">
        <v>10.50</v>
      </c>
      <c r="H67" s="440">
        <v>10</v>
      </c>
      <c r="I67" s="28">
        <v>2</v>
      </c>
      <c r="J67" s="441">
        <f t="shared" si="13"/>
        <v>1.9047619047619047</v>
      </c>
      <c r="K67" s="28">
        <v>1</v>
      </c>
      <c r="L67" s="267">
        <f t="shared" si="14"/>
        <v>1.9047619047619047</v>
      </c>
      <c r="M67" s="433">
        <f t="shared" si="15"/>
        <v>380.95238095238091</v>
      </c>
      <c r="N67" s="434">
        <v>200</v>
      </c>
      <c r="O67" s="435">
        <f t="shared" si="16"/>
        <v>0.95238095238095233</v>
      </c>
    </row>
    <row r="68" spans="1:15" ht="15">
      <c r="A68" s="39"/>
      <c r="B68" s="649" t="s">
        <v>132</v>
      </c>
      <c r="C68" s="649"/>
      <c r="D68" s="649"/>
      <c r="E68" s="649"/>
      <c r="F68" s="649"/>
      <c r="G68" s="649"/>
      <c r="H68" s="649"/>
      <c r="I68" s="649"/>
      <c r="J68" s="649"/>
      <c r="K68" s="649"/>
      <c r="L68" s="267"/>
      <c r="M68" s="262">
        <f>SUM(M69:M80)</f>
        <v>5881.4458208589176</v>
      </c>
      <c r="N68" s="263"/>
      <c r="O68" s="264">
        <f>SUM(O69:O80)</f>
        <v>21.676411079762744</v>
      </c>
    </row>
    <row r="69" spans="1:15" ht="15">
      <c r="A69" s="650" t="s">
        <v>200</v>
      </c>
      <c r="B69" s="638" t="s">
        <v>871</v>
      </c>
      <c r="C69" s="13" t="s">
        <v>946</v>
      </c>
      <c r="D69" s="13">
        <v>224</v>
      </c>
      <c r="E69" s="13"/>
      <c r="F69" s="13" t="s">
        <v>353</v>
      </c>
      <c r="G69" s="442">
        <f>600/10</f>
        <v>60</v>
      </c>
      <c r="H69" s="440">
        <v>10</v>
      </c>
      <c r="I69" s="28">
        <v>1</v>
      </c>
      <c r="J69" s="441">
        <f t="shared" si="17" ref="J69:J80">H69/G69*I69</f>
        <v>0.16666666666666666</v>
      </c>
      <c r="K69" s="432">
        <v>2</v>
      </c>
      <c r="L69" s="435">
        <f t="shared" si="18" ref="L69:L72">J69*K69</f>
        <v>0.33333333333333331</v>
      </c>
      <c r="M69" s="266">
        <f t="shared" si="19" ref="M69:M80">L69*N69</f>
        <v>66.666666666666657</v>
      </c>
      <c r="N69" s="433">
        <v>200</v>
      </c>
      <c r="O69" s="435">
        <f t="shared" si="20" ref="O69:O80">J69/I69*K69</f>
        <v>0.33333333333333331</v>
      </c>
    </row>
    <row r="70" spans="1:15" ht="15">
      <c r="A70" s="650"/>
      <c r="B70" s="638"/>
      <c r="C70" s="13" t="s">
        <v>1154</v>
      </c>
      <c r="D70" s="13">
        <v>224</v>
      </c>
      <c r="E70" s="13"/>
      <c r="F70" s="13" t="s">
        <v>353</v>
      </c>
      <c r="G70" s="442">
        <v>120</v>
      </c>
      <c r="H70" s="440">
        <v>10</v>
      </c>
      <c r="I70" s="28">
        <v>1</v>
      </c>
      <c r="J70" s="441">
        <f t="shared" si="17"/>
        <v>0.083333333333333329</v>
      </c>
      <c r="K70" s="432">
        <v>2</v>
      </c>
      <c r="L70" s="435">
        <f t="shared" si="18"/>
        <v>0.16666666666666666</v>
      </c>
      <c r="M70" s="266">
        <f t="shared" si="19"/>
        <v>33.333333333333329</v>
      </c>
      <c r="N70" s="433">
        <v>200</v>
      </c>
      <c r="O70" s="435">
        <f t="shared" si="20"/>
        <v>0.16666666666666666</v>
      </c>
    </row>
    <row r="71" spans="1:15" ht="15">
      <c r="A71" s="650"/>
      <c r="B71" s="638"/>
      <c r="C71" s="13" t="s">
        <v>873</v>
      </c>
      <c r="D71" s="13">
        <v>224</v>
      </c>
      <c r="E71" s="13"/>
      <c r="F71" s="13" t="s">
        <v>353</v>
      </c>
      <c r="G71" s="442">
        <f>600/5</f>
        <v>120</v>
      </c>
      <c r="H71" s="440">
        <v>10</v>
      </c>
      <c r="I71" s="28">
        <v>1</v>
      </c>
      <c r="J71" s="441">
        <f t="shared" si="17"/>
        <v>0.083333333333333329</v>
      </c>
      <c r="K71" s="432">
        <v>2</v>
      </c>
      <c r="L71" s="435">
        <f t="shared" si="18"/>
        <v>0.16666666666666666</v>
      </c>
      <c r="M71" s="266">
        <f t="shared" si="19"/>
        <v>33.333333333333329</v>
      </c>
      <c r="N71" s="433">
        <v>200</v>
      </c>
      <c r="O71" s="435">
        <f t="shared" si="20"/>
        <v>0.16666666666666666</v>
      </c>
    </row>
    <row r="72" spans="1:15" ht="15">
      <c r="A72" s="57" t="s">
        <v>662</v>
      </c>
      <c r="B72" s="56" t="s">
        <v>1155</v>
      </c>
      <c r="C72" s="13" t="s">
        <v>862</v>
      </c>
      <c r="D72" s="13">
        <v>224</v>
      </c>
      <c r="E72" s="13"/>
      <c r="F72" s="17"/>
      <c r="G72" s="442">
        <f>(600-25)/10</f>
        <v>57.50</v>
      </c>
      <c r="H72" s="440">
        <v>10</v>
      </c>
      <c r="I72" s="28">
        <v>2</v>
      </c>
      <c r="J72" s="441">
        <f t="shared" si="17"/>
        <v>0.34782608695652173</v>
      </c>
      <c r="K72" s="28">
        <v>1</v>
      </c>
      <c r="L72" s="267">
        <f t="shared" si="18"/>
        <v>0.34782608695652173</v>
      </c>
      <c r="M72" s="433">
        <f t="shared" si="19"/>
        <v>69.565217391304344</v>
      </c>
      <c r="N72" s="434">
        <v>200</v>
      </c>
      <c r="O72" s="435">
        <f t="shared" si="20"/>
        <v>0.17391304347826086</v>
      </c>
    </row>
    <row r="73" spans="1:15" ht="15">
      <c r="A73" s="13" t="s">
        <v>205</v>
      </c>
      <c r="B73" s="27" t="s">
        <v>1156</v>
      </c>
      <c r="C73" s="13" t="s">
        <v>138</v>
      </c>
      <c r="D73" s="13">
        <v>117</v>
      </c>
      <c r="E73" s="13"/>
      <c r="F73" s="4" t="s">
        <v>13</v>
      </c>
      <c r="G73" s="442">
        <f>1.48*1.4</f>
        <v>2.0720000000000001</v>
      </c>
      <c r="H73" s="440">
        <v>10</v>
      </c>
      <c r="I73" s="28">
        <v>2</v>
      </c>
      <c r="J73" s="441">
        <f t="shared" si="17"/>
        <v>9.6525096525096519</v>
      </c>
      <c r="K73" s="28">
        <v>1</v>
      </c>
      <c r="L73" s="267">
        <f>J73*K73</f>
        <v>9.6525096525096519</v>
      </c>
      <c r="M73" s="433">
        <f t="shared" si="19"/>
        <v>1930.5019305019305</v>
      </c>
      <c r="N73" s="434">
        <v>200</v>
      </c>
      <c r="O73" s="435">
        <f t="shared" si="20"/>
        <v>4.8262548262548259</v>
      </c>
    </row>
    <row r="74" spans="1:15" ht="15">
      <c r="A74" s="13" t="s">
        <v>877</v>
      </c>
      <c r="B74" s="27" t="s">
        <v>876</v>
      </c>
      <c r="C74" s="13" t="s">
        <v>160</v>
      </c>
      <c r="D74" s="13">
        <v>117</v>
      </c>
      <c r="E74" s="13"/>
      <c r="F74" s="4" t="s">
        <v>13</v>
      </c>
      <c r="G74" s="442">
        <v>40</v>
      </c>
      <c r="H74" s="440">
        <v>10</v>
      </c>
      <c r="I74" s="28">
        <v>1</v>
      </c>
      <c r="J74" s="441">
        <f t="shared" si="17"/>
        <v>0.25</v>
      </c>
      <c r="K74" s="442">
        <f>(3515+3186+3143+938+16*3.1415*21+325*3.1415+30*3)/1000</f>
        <v>12.9485315</v>
      </c>
      <c r="L74" s="267">
        <f>J74*K74</f>
        <v>3.2371328749999999</v>
      </c>
      <c r="M74" s="433">
        <f t="shared" si="19"/>
        <v>647.42657499999996</v>
      </c>
      <c r="N74" s="434">
        <v>200</v>
      </c>
      <c r="O74" s="435">
        <f t="shared" si="20"/>
        <v>3.2371328749999999</v>
      </c>
    </row>
    <row r="75" spans="1:15" ht="15">
      <c r="A75" s="13" t="s">
        <v>206</v>
      </c>
      <c r="B75" s="27" t="s">
        <v>94</v>
      </c>
      <c r="C75" s="13" t="s">
        <v>160</v>
      </c>
      <c r="D75" s="13">
        <v>114</v>
      </c>
      <c r="E75" s="13"/>
      <c r="F75" s="4" t="s">
        <v>13</v>
      </c>
      <c r="G75" s="442">
        <v>40</v>
      </c>
      <c r="H75" s="440">
        <v>10</v>
      </c>
      <c r="I75" s="28">
        <v>1</v>
      </c>
      <c r="J75" s="441">
        <f t="shared" si="17"/>
        <v>0.25</v>
      </c>
      <c r="K75" s="442">
        <f>(3515*2+120*4+16*3.1415*21+325*3.1415+3186+3300+19*3.1415*2+23*3.1415*3+3060)/1000</f>
        <v>19.468671999999998</v>
      </c>
      <c r="L75" s="267">
        <f>J75*K75</f>
        <v>4.8671679999999995</v>
      </c>
      <c r="M75" s="433">
        <f t="shared" si="19"/>
        <v>973.43359999999984</v>
      </c>
      <c r="N75" s="434">
        <v>200</v>
      </c>
      <c r="O75" s="435">
        <f t="shared" si="20"/>
        <v>4.8671679999999995</v>
      </c>
    </row>
    <row r="76" spans="1:15" ht="15">
      <c r="A76" s="13" t="s">
        <v>207</v>
      </c>
      <c r="B76" s="56" t="s">
        <v>55</v>
      </c>
      <c r="C76" s="13" t="s">
        <v>29</v>
      </c>
      <c r="D76" s="13">
        <v>120</v>
      </c>
      <c r="E76" s="13"/>
      <c r="F76" s="13" t="s">
        <v>13</v>
      </c>
      <c r="G76" s="31">
        <v>11.40</v>
      </c>
      <c r="H76" s="440">
        <v>10</v>
      </c>
      <c r="I76" s="28">
        <v>1</v>
      </c>
      <c r="J76" s="441">
        <f t="shared" si="17"/>
        <v>0.8771929824561403</v>
      </c>
      <c r="K76" s="28">
        <v>1</v>
      </c>
      <c r="L76" s="267">
        <f t="shared" si="21" ref="L76:L79">J76*K76</f>
        <v>0.8771929824561403</v>
      </c>
      <c r="M76" s="433">
        <f t="shared" si="19"/>
        <v>154.38596491228068</v>
      </c>
      <c r="N76" s="434">
        <v>176</v>
      </c>
      <c r="O76" s="435">
        <f t="shared" si="20"/>
        <v>0.8771929824561403</v>
      </c>
    </row>
    <row r="77" spans="1:15" ht="15">
      <c r="A77" s="13" t="s">
        <v>208</v>
      </c>
      <c r="B77" s="56" t="s">
        <v>56</v>
      </c>
      <c r="C77" s="13" t="s">
        <v>29</v>
      </c>
      <c r="D77" s="13">
        <v>120</v>
      </c>
      <c r="E77" s="13"/>
      <c r="F77" s="13" t="s">
        <v>13</v>
      </c>
      <c r="G77" s="31">
        <v>11.40</v>
      </c>
      <c r="H77" s="440">
        <v>10</v>
      </c>
      <c r="I77" s="28">
        <v>1</v>
      </c>
      <c r="J77" s="441">
        <f t="shared" si="17"/>
        <v>0.8771929824561403</v>
      </c>
      <c r="K77" s="28">
        <v>1</v>
      </c>
      <c r="L77" s="267">
        <f t="shared" si="21"/>
        <v>0.8771929824561403</v>
      </c>
      <c r="M77" s="433">
        <f t="shared" si="19"/>
        <v>154.38596491228068</v>
      </c>
      <c r="N77" s="434">
        <v>176</v>
      </c>
      <c r="O77" s="435">
        <f t="shared" si="20"/>
        <v>0.8771929824561403</v>
      </c>
    </row>
    <row r="78" spans="1:16" ht="30">
      <c r="A78" s="13" t="s">
        <v>209</v>
      </c>
      <c r="B78" s="27" t="s">
        <v>892</v>
      </c>
      <c r="C78" s="13" t="s">
        <v>14</v>
      </c>
      <c r="D78" s="13">
        <v>119</v>
      </c>
      <c r="E78" s="13"/>
      <c r="F78" s="13" t="s">
        <v>58</v>
      </c>
      <c r="G78" s="16">
        <v>61</v>
      </c>
      <c r="H78" s="440">
        <v>10</v>
      </c>
      <c r="I78" s="28">
        <v>1</v>
      </c>
      <c r="J78" s="441">
        <f t="shared" si="17"/>
        <v>0.16393442622950818</v>
      </c>
      <c r="K78" s="28">
        <v>2</v>
      </c>
      <c r="L78" s="267">
        <f t="shared" si="21"/>
        <v>0.32786885245901637</v>
      </c>
      <c r="M78" s="433">
        <f t="shared" si="19"/>
        <v>65.573770491803273</v>
      </c>
      <c r="N78" s="434">
        <v>200</v>
      </c>
      <c r="O78" s="435">
        <f t="shared" si="20"/>
        <v>0.32786885245901637</v>
      </c>
      <c r="P78" s="22"/>
    </row>
    <row r="79" spans="1:16" ht="30">
      <c r="A79" s="13" t="s">
        <v>210</v>
      </c>
      <c r="B79" s="27" t="s">
        <v>114</v>
      </c>
      <c r="C79" s="13" t="s">
        <v>54</v>
      </c>
      <c r="D79" s="13">
        <v>116</v>
      </c>
      <c r="E79" s="13"/>
      <c r="F79" s="13" t="s">
        <v>13</v>
      </c>
      <c r="G79" s="469">
        <v>3.40</v>
      </c>
      <c r="H79" s="440">
        <v>10</v>
      </c>
      <c r="I79" s="28">
        <v>2</v>
      </c>
      <c r="J79" s="441">
        <f t="shared" si="17"/>
        <v>5.882352941176471</v>
      </c>
      <c r="K79" s="28">
        <v>1</v>
      </c>
      <c r="L79" s="267">
        <f t="shared" si="21"/>
        <v>5.882352941176471</v>
      </c>
      <c r="M79" s="433">
        <f t="shared" si="19"/>
        <v>1176.4705882352941</v>
      </c>
      <c r="N79" s="434">
        <v>200</v>
      </c>
      <c r="O79" s="435">
        <f t="shared" si="20"/>
        <v>2.9411764705882355</v>
      </c>
      <c r="P79" s="22"/>
    </row>
    <row r="80" spans="1:15" ht="30">
      <c r="A80" s="13" t="s">
        <v>211</v>
      </c>
      <c r="B80" s="56" t="s">
        <v>60</v>
      </c>
      <c r="C80" s="13" t="s">
        <v>14</v>
      </c>
      <c r="D80" s="13">
        <v>226</v>
      </c>
      <c r="E80" s="13"/>
      <c r="F80" s="4" t="s">
        <v>58</v>
      </c>
      <c r="G80" s="470">
        <v>3.47</v>
      </c>
      <c r="H80" s="440">
        <v>10</v>
      </c>
      <c r="I80" s="28">
        <v>1</v>
      </c>
      <c r="J80" s="441">
        <f t="shared" si="17"/>
        <v>2.8818443804034581</v>
      </c>
      <c r="K80" s="28">
        <v>1</v>
      </c>
      <c r="L80" s="267">
        <f>J80*K80</f>
        <v>2.8818443804034581</v>
      </c>
      <c r="M80" s="433">
        <f t="shared" si="19"/>
        <v>576.36887608069162</v>
      </c>
      <c r="N80" s="434">
        <v>200</v>
      </c>
      <c r="O80" s="435">
        <f t="shared" si="20"/>
        <v>2.8818443804034581</v>
      </c>
    </row>
    <row r="81" spans="1:15" ht="15">
      <c r="A81" s="39"/>
      <c r="B81" s="649" t="s">
        <v>140</v>
      </c>
      <c r="C81" s="649"/>
      <c r="D81" s="649"/>
      <c r="E81" s="649"/>
      <c r="F81" s="649"/>
      <c r="G81" s="649"/>
      <c r="H81" s="649"/>
      <c r="I81" s="649"/>
      <c r="J81" s="649"/>
      <c r="K81" s="649"/>
      <c r="L81" s="267"/>
      <c r="M81" s="262">
        <f>SUM(M82:M87)</f>
        <v>2352.0701679146732</v>
      </c>
      <c r="N81" s="263"/>
      <c r="O81" s="264">
        <f>SUM(O82:O87)</f>
        <v>7.7114799830677683</v>
      </c>
    </row>
    <row r="82" spans="1:15" ht="15">
      <c r="A82" s="57" t="s">
        <v>893</v>
      </c>
      <c r="B82" s="27" t="s">
        <v>881</v>
      </c>
      <c r="C82" s="13" t="s">
        <v>880</v>
      </c>
      <c r="D82" s="13">
        <v>224</v>
      </c>
      <c r="E82" s="13"/>
      <c r="F82" s="13" t="s">
        <v>353</v>
      </c>
      <c r="G82" s="436">
        <f>600/20</f>
        <v>30</v>
      </c>
      <c r="H82" s="440">
        <v>10</v>
      </c>
      <c r="I82" s="28">
        <v>1</v>
      </c>
      <c r="J82" s="441">
        <f t="shared" si="22" ref="J82:J87">H82/G82*I82</f>
        <v>0.33333333333333331</v>
      </c>
      <c r="K82" s="432">
        <v>1</v>
      </c>
      <c r="L82" s="435">
        <f t="shared" si="23" ref="L82:L87">J82*K82</f>
        <v>0.33333333333333331</v>
      </c>
      <c r="M82" s="266">
        <f t="shared" si="24" ref="M82:M87">L82*N82</f>
        <v>66.666666666666657</v>
      </c>
      <c r="N82" s="433">
        <v>200</v>
      </c>
      <c r="O82" s="435">
        <f t="shared" si="25" ref="O82:O87">J82/I82*K82</f>
        <v>0.33333333333333331</v>
      </c>
    </row>
    <row r="83" spans="1:15" ht="15">
      <c r="A83" s="57" t="s">
        <v>212</v>
      </c>
      <c r="B83" s="56" t="s">
        <v>1418</v>
      </c>
      <c r="C83" s="13" t="s">
        <v>862</v>
      </c>
      <c r="D83" s="13">
        <v>224</v>
      </c>
      <c r="E83" s="13"/>
      <c r="F83" s="17"/>
      <c r="G83" s="28">
        <f>(600-25)/10</f>
        <v>57.50</v>
      </c>
      <c r="H83" s="440">
        <v>10</v>
      </c>
      <c r="I83" s="28">
        <v>2</v>
      </c>
      <c r="J83" s="441">
        <f t="shared" si="22"/>
        <v>0.34782608695652173</v>
      </c>
      <c r="K83" s="28">
        <v>1</v>
      </c>
      <c r="L83" s="267">
        <f t="shared" si="23"/>
        <v>0.34782608695652173</v>
      </c>
      <c r="M83" s="433">
        <f t="shared" si="24"/>
        <v>69.565217391304344</v>
      </c>
      <c r="N83" s="434">
        <v>200</v>
      </c>
      <c r="O83" s="435">
        <f t="shared" si="25"/>
        <v>0.17391304347826086</v>
      </c>
    </row>
    <row r="84" spans="1:15" ht="15">
      <c r="A84" s="57" t="s">
        <v>878</v>
      </c>
      <c r="B84" s="27" t="s">
        <v>882</v>
      </c>
      <c r="C84" s="13" t="s">
        <v>949</v>
      </c>
      <c r="D84" s="13">
        <v>117</v>
      </c>
      <c r="E84" s="13"/>
      <c r="F84" s="13" t="s">
        <v>353</v>
      </c>
      <c r="G84" s="28">
        <v>46.10</v>
      </c>
      <c r="H84" s="440">
        <v>10</v>
      </c>
      <c r="I84" s="28">
        <v>1</v>
      </c>
      <c r="J84" s="441">
        <f t="shared" si="22"/>
        <v>0.21691973969631237</v>
      </c>
      <c r="K84" s="432">
        <v>1</v>
      </c>
      <c r="L84" s="435">
        <f t="shared" si="23"/>
        <v>0.21691973969631237</v>
      </c>
      <c r="M84" s="266">
        <f t="shared" si="24"/>
        <v>43.383947939262477</v>
      </c>
      <c r="N84" s="433">
        <v>200</v>
      </c>
      <c r="O84" s="435">
        <f t="shared" si="25"/>
        <v>0.21691973969631237</v>
      </c>
    </row>
    <row r="85" spans="1:15" ht="15">
      <c r="A85" s="57" t="s">
        <v>214</v>
      </c>
      <c r="B85" s="56" t="s">
        <v>883</v>
      </c>
      <c r="C85" s="13" t="s">
        <v>33</v>
      </c>
      <c r="D85" s="13">
        <v>118</v>
      </c>
      <c r="E85" s="13"/>
      <c r="F85" s="13" t="s">
        <v>510</v>
      </c>
      <c r="G85" s="28">
        <v>40</v>
      </c>
      <c r="H85" s="440">
        <v>10</v>
      </c>
      <c r="I85" s="28">
        <v>2</v>
      </c>
      <c r="J85" s="441">
        <f t="shared" si="22"/>
        <v>0.50</v>
      </c>
      <c r="K85" s="432">
        <v>2</v>
      </c>
      <c r="L85" s="267">
        <f t="shared" si="23"/>
        <v>1</v>
      </c>
      <c r="M85" s="433">
        <f t="shared" si="24"/>
        <v>200</v>
      </c>
      <c r="N85" s="434">
        <v>200</v>
      </c>
      <c r="O85" s="435">
        <f t="shared" si="25"/>
        <v>0.50</v>
      </c>
    </row>
    <row r="86" spans="1:15" ht="15">
      <c r="A86" s="13" t="s">
        <v>219</v>
      </c>
      <c r="B86" s="56" t="s">
        <v>91</v>
      </c>
      <c r="C86" s="13" t="s">
        <v>54</v>
      </c>
      <c r="D86" s="13">
        <v>118</v>
      </c>
      <c r="E86" s="13"/>
      <c r="F86" s="4" t="s">
        <v>59</v>
      </c>
      <c r="G86" s="30">
        <v>2.9630000000000001</v>
      </c>
      <c r="H86" s="440">
        <v>10</v>
      </c>
      <c r="I86" s="28">
        <v>2</v>
      </c>
      <c r="J86" s="441">
        <f t="shared" si="22"/>
        <v>6.7499156260546744</v>
      </c>
      <c r="K86" s="432">
        <v>1</v>
      </c>
      <c r="L86" s="267">
        <f t="shared" si="23"/>
        <v>6.7499156260546744</v>
      </c>
      <c r="M86" s="433">
        <f t="shared" si="24"/>
        <v>1349.983125210935</v>
      </c>
      <c r="N86" s="434">
        <v>200</v>
      </c>
      <c r="O86" s="435">
        <f t="shared" si="25"/>
        <v>3.3749578130273372</v>
      </c>
    </row>
    <row r="87" spans="1:15" ht="15">
      <c r="A87" s="13" t="s">
        <v>220</v>
      </c>
      <c r="B87" s="56" t="s">
        <v>92</v>
      </c>
      <c r="C87" s="13" t="s">
        <v>54</v>
      </c>
      <c r="D87" s="13">
        <v>118</v>
      </c>
      <c r="E87" s="13"/>
      <c r="F87" s="4" t="s">
        <v>59</v>
      </c>
      <c r="G87" s="30">
        <v>3.2130000000000001</v>
      </c>
      <c r="H87" s="440">
        <v>10</v>
      </c>
      <c r="I87" s="28">
        <v>1</v>
      </c>
      <c r="J87" s="441">
        <f t="shared" si="22"/>
        <v>3.1123560535325239</v>
      </c>
      <c r="K87" s="432">
        <v>1</v>
      </c>
      <c r="L87" s="267">
        <f t="shared" si="23"/>
        <v>3.1123560535325239</v>
      </c>
      <c r="M87" s="433">
        <f t="shared" si="24"/>
        <v>622.47121070650473</v>
      </c>
      <c r="N87" s="434">
        <v>200</v>
      </c>
      <c r="O87" s="435">
        <f t="shared" si="25"/>
        <v>3.1123560535325239</v>
      </c>
    </row>
    <row r="88" spans="1:15" ht="15">
      <c r="A88" s="39"/>
      <c r="B88" s="649" t="s">
        <v>135</v>
      </c>
      <c r="C88" s="649"/>
      <c r="D88" s="649"/>
      <c r="E88" s="649"/>
      <c r="F88" s="649"/>
      <c r="G88" s="649"/>
      <c r="H88" s="649"/>
      <c r="I88" s="649"/>
      <c r="J88" s="649"/>
      <c r="K88" s="649"/>
      <c r="L88" s="435"/>
      <c r="M88" s="262">
        <f>SUM(M89:M91)</f>
        <v>542.1416234887738</v>
      </c>
      <c r="N88" s="263"/>
      <c r="O88" s="264">
        <f>SUM(O89:O91)</f>
        <v>1.4607081174438687</v>
      </c>
    </row>
    <row r="89" spans="1:15" ht="15">
      <c r="A89" s="13" t="s">
        <v>136</v>
      </c>
      <c r="B89" s="56" t="s">
        <v>137</v>
      </c>
      <c r="C89" s="13" t="s">
        <v>138</v>
      </c>
      <c r="D89" s="13">
        <v>117</v>
      </c>
      <c r="E89" s="13"/>
      <c r="F89" s="4" t="s">
        <v>139</v>
      </c>
      <c r="G89" s="28">
        <v>10</v>
      </c>
      <c r="H89" s="440">
        <v>10</v>
      </c>
      <c r="I89" s="28">
        <v>2</v>
      </c>
      <c r="J89" s="441">
        <f>H89/G89*I89</f>
        <v>2</v>
      </c>
      <c r="K89" s="28">
        <v>1</v>
      </c>
      <c r="L89" s="435">
        <f t="shared" si="26" ref="L89:L91">J89*K89</f>
        <v>2</v>
      </c>
      <c r="M89" s="266">
        <f>L89*N89</f>
        <v>400</v>
      </c>
      <c r="N89" s="433">
        <v>200</v>
      </c>
      <c r="O89" s="435">
        <f>J89/I89*K89</f>
        <v>1</v>
      </c>
    </row>
    <row r="90" spans="1:15" ht="15">
      <c r="A90" s="13" t="s">
        <v>346</v>
      </c>
      <c r="B90" s="56" t="s">
        <v>347</v>
      </c>
      <c r="C90" s="13" t="s">
        <v>14</v>
      </c>
      <c r="D90" s="13">
        <v>226</v>
      </c>
      <c r="E90" s="13"/>
      <c r="F90" s="13" t="s">
        <v>58</v>
      </c>
      <c r="G90" s="28">
        <v>23.16</v>
      </c>
      <c r="H90" s="440">
        <v>10</v>
      </c>
      <c r="I90" s="28">
        <v>1</v>
      </c>
      <c r="J90" s="441">
        <f>H90/G90*I90</f>
        <v>0.43177892918825561</v>
      </c>
      <c r="K90" s="28">
        <f>0.122*4</f>
        <v>0.48799999999999999</v>
      </c>
      <c r="L90" s="435">
        <f t="shared" si="26"/>
        <v>0.21070811744386872</v>
      </c>
      <c r="M90" s="266">
        <f>L90*N90</f>
        <v>42.141623488773746</v>
      </c>
      <c r="N90" s="433">
        <v>200</v>
      </c>
      <c r="O90" s="435">
        <f>J90/I90*K90</f>
        <v>0.21070811744386872</v>
      </c>
    </row>
    <row r="91" spans="1:15" ht="15">
      <c r="A91" s="13" t="s">
        <v>344</v>
      </c>
      <c r="B91" s="56" t="s">
        <v>345</v>
      </c>
      <c r="C91" s="13" t="s">
        <v>24</v>
      </c>
      <c r="D91" s="13">
        <v>219</v>
      </c>
      <c r="E91" s="13"/>
      <c r="F91" s="4" t="s">
        <v>139</v>
      </c>
      <c r="G91" s="28">
        <v>40</v>
      </c>
      <c r="H91" s="440">
        <v>10</v>
      </c>
      <c r="I91" s="28">
        <v>2</v>
      </c>
      <c r="J91" s="441">
        <f>H91/G91*I91</f>
        <v>0.50</v>
      </c>
      <c r="K91" s="28">
        <v>1</v>
      </c>
      <c r="L91" s="435">
        <f t="shared" si="26"/>
        <v>0.50</v>
      </c>
      <c r="M91" s="266">
        <f>L91*N91</f>
        <v>100</v>
      </c>
      <c r="N91" s="433">
        <v>200</v>
      </c>
      <c r="O91" s="435">
        <f>J91/I91*K91</f>
        <v>0.25</v>
      </c>
    </row>
    <row r="92" spans="1:15" ht="15">
      <c r="A92" s="39"/>
      <c r="B92" s="649" t="s">
        <v>133</v>
      </c>
      <c r="C92" s="649"/>
      <c r="D92" s="649"/>
      <c r="E92" s="649"/>
      <c r="F92" s="649"/>
      <c r="G92" s="649"/>
      <c r="H92" s="649"/>
      <c r="I92" s="649"/>
      <c r="J92" s="649"/>
      <c r="K92" s="649"/>
      <c r="L92" s="267"/>
      <c r="M92" s="262">
        <f>SUM(M93:M138)</f>
        <v>17600.392537566808</v>
      </c>
      <c r="N92" s="263"/>
      <c r="O92" s="264">
        <f>SUM(O93:O138)</f>
        <v>56.062761446452136</v>
      </c>
    </row>
    <row r="93" spans="1:15" ht="15">
      <c r="A93" s="13" t="s">
        <v>221</v>
      </c>
      <c r="B93" s="56" t="s">
        <v>715</v>
      </c>
      <c r="C93" s="13" t="s">
        <v>24</v>
      </c>
      <c r="D93" s="13">
        <v>112</v>
      </c>
      <c r="E93" s="13"/>
      <c r="F93" s="13" t="s">
        <v>11</v>
      </c>
      <c r="G93" s="432">
        <v>8</v>
      </c>
      <c r="H93" s="440">
        <v>10</v>
      </c>
      <c r="I93" s="28">
        <v>2</v>
      </c>
      <c r="J93" s="441">
        <f t="shared" si="27" ref="J93:J138">H93/G93*I93</f>
        <v>2.50</v>
      </c>
      <c r="K93" s="28">
        <v>1</v>
      </c>
      <c r="L93" s="267">
        <f t="shared" si="28" ref="L93:L138">J93*K93</f>
        <v>2.50</v>
      </c>
      <c r="M93" s="433">
        <f t="shared" si="29" ref="M93:M138">L93*N93</f>
        <v>500</v>
      </c>
      <c r="N93" s="434">
        <v>200</v>
      </c>
      <c r="O93" s="435">
        <f t="shared" si="30" ref="O93:O138">J93/I93*K93</f>
        <v>1.25</v>
      </c>
    </row>
    <row r="94" spans="1:15" ht="30">
      <c r="A94" s="13" t="s">
        <v>225</v>
      </c>
      <c r="B94" s="27" t="s">
        <v>230</v>
      </c>
      <c r="C94" s="13" t="s">
        <v>226</v>
      </c>
      <c r="D94" s="13">
        <v>302</v>
      </c>
      <c r="E94" s="13"/>
      <c r="F94" s="13" t="s">
        <v>227</v>
      </c>
      <c r="G94" s="28">
        <f>600/2.5</f>
        <v>240</v>
      </c>
      <c r="H94" s="440">
        <v>10</v>
      </c>
      <c r="I94" s="28">
        <v>2</v>
      </c>
      <c r="J94" s="441">
        <f t="shared" si="27"/>
        <v>0.083333333333333329</v>
      </c>
      <c r="K94" s="28">
        <v>49</v>
      </c>
      <c r="L94" s="435">
        <f t="shared" si="28"/>
        <v>4.083333333333333</v>
      </c>
      <c r="M94" s="433">
        <f t="shared" si="29"/>
        <v>816.66666666666663</v>
      </c>
      <c r="N94" s="433">
        <v>200</v>
      </c>
      <c r="O94" s="435">
        <f t="shared" si="30"/>
        <v>2.0416666666666665</v>
      </c>
    </row>
    <row r="95" spans="1:15" ht="30">
      <c r="A95" s="13" t="s">
        <v>228</v>
      </c>
      <c r="B95" s="27" t="s">
        <v>1282</v>
      </c>
      <c r="C95" s="13" t="s">
        <v>24</v>
      </c>
      <c r="D95" s="13">
        <v>110</v>
      </c>
      <c r="E95" s="13"/>
      <c r="F95" s="13" t="s">
        <v>63</v>
      </c>
      <c r="G95" s="28">
        <f>10*40</f>
        <v>400</v>
      </c>
      <c r="H95" s="440">
        <v>10</v>
      </c>
      <c r="I95" s="28">
        <v>2</v>
      </c>
      <c r="J95" s="441">
        <f t="shared" si="27"/>
        <v>0.05</v>
      </c>
      <c r="K95" s="28">
        <v>49</v>
      </c>
      <c r="L95" s="435">
        <f t="shared" si="28"/>
        <v>2.4500000000000002</v>
      </c>
      <c r="M95" s="433">
        <f t="shared" si="29"/>
        <v>372.40</v>
      </c>
      <c r="N95" s="433">
        <v>152</v>
      </c>
      <c r="O95" s="435">
        <f t="shared" si="30"/>
        <v>1.2250000000000001</v>
      </c>
    </row>
    <row r="96" spans="1:15" ht="15">
      <c r="A96" s="13" t="s">
        <v>232</v>
      </c>
      <c r="B96" s="27" t="s">
        <v>61</v>
      </c>
      <c r="C96" s="13" t="s">
        <v>62</v>
      </c>
      <c r="D96" s="13">
        <v>112</v>
      </c>
      <c r="E96" s="13"/>
      <c r="F96" s="13" t="s">
        <v>63</v>
      </c>
      <c r="G96" s="28">
        <v>200</v>
      </c>
      <c r="H96" s="440">
        <v>10</v>
      </c>
      <c r="I96" s="28">
        <v>2</v>
      </c>
      <c r="J96" s="441">
        <f t="shared" si="27"/>
        <v>0.10000000000000001</v>
      </c>
      <c r="K96" s="28">
        <v>49</v>
      </c>
      <c r="L96" s="267">
        <f t="shared" si="28"/>
        <v>4.9000000000000004</v>
      </c>
      <c r="M96" s="433">
        <f t="shared" si="29"/>
        <v>744.80</v>
      </c>
      <c r="N96" s="434">
        <v>152</v>
      </c>
      <c r="O96" s="435">
        <f t="shared" si="30"/>
        <v>2.4500000000000002</v>
      </c>
    </row>
    <row r="97" spans="1:15" ht="15">
      <c r="A97" s="13" t="s">
        <v>536</v>
      </c>
      <c r="B97" s="27" t="s">
        <v>537</v>
      </c>
      <c r="C97" s="13" t="s">
        <v>538</v>
      </c>
      <c r="D97" s="13">
        <v>115</v>
      </c>
      <c r="E97" s="13"/>
      <c r="F97" s="13" t="s">
        <v>63</v>
      </c>
      <c r="G97" s="28">
        <v>1200</v>
      </c>
      <c r="H97" s="440">
        <v>10</v>
      </c>
      <c r="I97" s="28">
        <v>1</v>
      </c>
      <c r="J97" s="441">
        <f t="shared" si="27"/>
        <v>0.0083333333333333332</v>
      </c>
      <c r="K97" s="28">
        <v>49</v>
      </c>
      <c r="L97" s="267">
        <f t="shared" si="28"/>
        <v>0.40833333333333333</v>
      </c>
      <c r="M97" s="433">
        <f t="shared" si="29"/>
        <v>81.666666666666671</v>
      </c>
      <c r="N97" s="434">
        <v>200</v>
      </c>
      <c r="O97" s="435">
        <f t="shared" si="30"/>
        <v>0.40833333333333333</v>
      </c>
    </row>
    <row r="98" spans="1:15" ht="30">
      <c r="A98" s="13" t="s">
        <v>233</v>
      </c>
      <c r="B98" s="27" t="s">
        <v>66</v>
      </c>
      <c r="C98" s="13" t="s">
        <v>48</v>
      </c>
      <c r="D98" s="13">
        <v>112</v>
      </c>
      <c r="E98" s="13"/>
      <c r="F98" s="13" t="s">
        <v>67</v>
      </c>
      <c r="G98" s="28">
        <v>80</v>
      </c>
      <c r="H98" s="440">
        <v>10</v>
      </c>
      <c r="I98" s="28">
        <v>2</v>
      </c>
      <c r="J98" s="441">
        <f t="shared" si="27"/>
        <v>0.25</v>
      </c>
      <c r="K98" s="28">
        <v>4</v>
      </c>
      <c r="L98" s="267">
        <f t="shared" si="28"/>
        <v>1</v>
      </c>
      <c r="M98" s="433">
        <f t="shared" si="29"/>
        <v>200</v>
      </c>
      <c r="N98" s="434">
        <v>200</v>
      </c>
      <c r="O98" s="435">
        <f t="shared" si="30"/>
        <v>0.50</v>
      </c>
    </row>
    <row r="99" spans="1:15" ht="15">
      <c r="A99" s="637" t="s">
        <v>234</v>
      </c>
      <c r="B99" s="648" t="s">
        <v>235</v>
      </c>
      <c r="C99" s="13" t="s">
        <v>72</v>
      </c>
      <c r="D99" s="13">
        <v>115</v>
      </c>
      <c r="E99" s="13"/>
      <c r="F99" s="13" t="s">
        <v>236</v>
      </c>
      <c r="G99" s="28">
        <v>20</v>
      </c>
      <c r="H99" s="440">
        <v>10</v>
      </c>
      <c r="I99" s="28">
        <v>2</v>
      </c>
      <c r="J99" s="441">
        <f t="shared" si="27"/>
        <v>1</v>
      </c>
      <c r="K99" s="28">
        <v>5</v>
      </c>
      <c r="L99" s="267">
        <f t="shared" si="28"/>
        <v>5</v>
      </c>
      <c r="M99" s="433">
        <f t="shared" si="29"/>
        <v>1000</v>
      </c>
      <c r="N99" s="434">
        <v>200</v>
      </c>
      <c r="O99" s="435">
        <f t="shared" si="30"/>
        <v>2.50</v>
      </c>
    </row>
    <row r="100" spans="1:15" ht="15">
      <c r="A100" s="637"/>
      <c r="B100" s="648"/>
      <c r="C100" s="13" t="s">
        <v>48</v>
      </c>
      <c r="D100" s="13">
        <v>115</v>
      </c>
      <c r="E100" s="13" t="s">
        <v>73</v>
      </c>
      <c r="F100" s="13" t="s">
        <v>10</v>
      </c>
      <c r="G100" s="28">
        <v>40</v>
      </c>
      <c r="H100" s="440">
        <v>10</v>
      </c>
      <c r="I100" s="28">
        <v>1</v>
      </c>
      <c r="J100" s="441">
        <f t="shared" si="27"/>
        <v>0.25</v>
      </c>
      <c r="K100" s="442">
        <f>(549+1198+2166+428+1198)*2/1000</f>
        <v>11.077999999999999</v>
      </c>
      <c r="L100" s="267">
        <f t="shared" si="28"/>
        <v>2.7694999999999999</v>
      </c>
      <c r="M100" s="433">
        <f t="shared" si="29"/>
        <v>553.90</v>
      </c>
      <c r="N100" s="434">
        <v>200</v>
      </c>
      <c r="O100" s="435">
        <f t="shared" si="30"/>
        <v>2.7694999999999999</v>
      </c>
    </row>
    <row r="101" spans="1:15" ht="15">
      <c r="A101" s="13" t="s">
        <v>237</v>
      </c>
      <c r="B101" s="56" t="s">
        <v>238</v>
      </c>
      <c r="C101" s="13" t="s">
        <v>69</v>
      </c>
      <c r="D101" s="13">
        <v>110</v>
      </c>
      <c r="E101" s="13"/>
      <c r="F101" s="13" t="s">
        <v>34</v>
      </c>
      <c r="G101" s="28">
        <v>10</v>
      </c>
      <c r="H101" s="440">
        <v>10</v>
      </c>
      <c r="I101" s="28">
        <v>2</v>
      </c>
      <c r="J101" s="441">
        <f t="shared" si="27"/>
        <v>2</v>
      </c>
      <c r="K101" s="28">
        <v>1</v>
      </c>
      <c r="L101" s="267">
        <f t="shared" si="28"/>
        <v>2</v>
      </c>
      <c r="M101" s="433">
        <f t="shared" si="29"/>
        <v>400</v>
      </c>
      <c r="N101" s="434">
        <v>200</v>
      </c>
      <c r="O101" s="435">
        <f t="shared" si="30"/>
        <v>1</v>
      </c>
    </row>
    <row r="102" spans="1:15" ht="30">
      <c r="A102" s="13" t="s">
        <v>896</v>
      </c>
      <c r="B102" s="56" t="s">
        <v>894</v>
      </c>
      <c r="C102" s="13" t="s">
        <v>138</v>
      </c>
      <c r="D102" s="13">
        <v>110</v>
      </c>
      <c r="E102" s="13"/>
      <c r="F102" s="13" t="s">
        <v>12</v>
      </c>
      <c r="G102" s="28">
        <v>20</v>
      </c>
      <c r="H102" s="440">
        <v>10</v>
      </c>
      <c r="I102" s="28">
        <v>2</v>
      </c>
      <c r="J102" s="441">
        <f t="shared" si="27"/>
        <v>1</v>
      </c>
      <c r="K102" s="28">
        <v>1</v>
      </c>
      <c r="L102" s="267">
        <f t="shared" si="28"/>
        <v>1</v>
      </c>
      <c r="M102" s="433">
        <f t="shared" si="29"/>
        <v>200</v>
      </c>
      <c r="N102" s="434">
        <v>200</v>
      </c>
      <c r="O102" s="435">
        <f t="shared" si="30"/>
        <v>0.50</v>
      </c>
    </row>
    <row r="103" spans="1:15" ht="30">
      <c r="A103" s="13" t="s">
        <v>243</v>
      </c>
      <c r="B103" s="56" t="s">
        <v>244</v>
      </c>
      <c r="C103" s="13" t="s">
        <v>25</v>
      </c>
      <c r="D103" s="13">
        <v>110</v>
      </c>
      <c r="E103" s="13" t="s">
        <v>53</v>
      </c>
      <c r="F103" s="13" t="s">
        <v>10</v>
      </c>
      <c r="G103" s="28">
        <v>40</v>
      </c>
      <c r="H103" s="440">
        <v>10</v>
      </c>
      <c r="I103" s="28">
        <v>1</v>
      </c>
      <c r="J103" s="441">
        <f t="shared" si="27"/>
        <v>0.25</v>
      </c>
      <c r="K103" s="28">
        <f>3397*2/1000</f>
        <v>6.7939999999999996</v>
      </c>
      <c r="L103" s="267">
        <f t="shared" si="28"/>
        <v>1.6984999999999999</v>
      </c>
      <c r="M103" s="433">
        <f t="shared" si="29"/>
        <v>339.70</v>
      </c>
      <c r="N103" s="434">
        <v>200</v>
      </c>
      <c r="O103" s="435">
        <f t="shared" si="30"/>
        <v>1.6984999999999999</v>
      </c>
    </row>
    <row r="104" spans="1:15" ht="15">
      <c r="A104" s="13" t="s">
        <v>237</v>
      </c>
      <c r="B104" s="56" t="s">
        <v>71</v>
      </c>
      <c r="C104" s="13" t="s">
        <v>68</v>
      </c>
      <c r="D104" s="13">
        <v>110</v>
      </c>
      <c r="E104" s="13"/>
      <c r="F104" s="13" t="s">
        <v>34</v>
      </c>
      <c r="G104" s="28">
        <v>20</v>
      </c>
      <c r="H104" s="440">
        <v>10</v>
      </c>
      <c r="I104" s="28">
        <v>2</v>
      </c>
      <c r="J104" s="441">
        <f t="shared" si="27"/>
        <v>1</v>
      </c>
      <c r="K104" s="28">
        <v>1</v>
      </c>
      <c r="L104" s="267">
        <f t="shared" si="28"/>
        <v>1</v>
      </c>
      <c r="M104" s="433">
        <f t="shared" si="29"/>
        <v>200</v>
      </c>
      <c r="N104" s="434">
        <v>200</v>
      </c>
      <c r="O104" s="435">
        <f t="shared" si="30"/>
        <v>0.50</v>
      </c>
    </row>
    <row r="105" spans="1:15" ht="30">
      <c r="A105" s="13" t="s">
        <v>897</v>
      </c>
      <c r="B105" s="56" t="s">
        <v>895</v>
      </c>
      <c r="C105" s="13" t="s">
        <v>138</v>
      </c>
      <c r="D105" s="13">
        <v>110</v>
      </c>
      <c r="E105" s="13"/>
      <c r="F105" s="13" t="s">
        <v>12</v>
      </c>
      <c r="G105" s="28">
        <v>20</v>
      </c>
      <c r="H105" s="440">
        <v>10</v>
      </c>
      <c r="I105" s="28">
        <v>2</v>
      </c>
      <c r="J105" s="441">
        <f t="shared" si="27"/>
        <v>1</v>
      </c>
      <c r="K105" s="28">
        <v>1</v>
      </c>
      <c r="L105" s="267">
        <f t="shared" si="28"/>
        <v>1</v>
      </c>
      <c r="M105" s="433">
        <f t="shared" si="29"/>
        <v>200</v>
      </c>
      <c r="N105" s="434">
        <v>200</v>
      </c>
      <c r="O105" s="435">
        <f t="shared" si="30"/>
        <v>0.50</v>
      </c>
    </row>
    <row r="106" spans="1:15" ht="30">
      <c r="A106" s="13" t="s">
        <v>249</v>
      </c>
      <c r="B106" s="56" t="s">
        <v>248</v>
      </c>
      <c r="C106" s="13" t="s">
        <v>25</v>
      </c>
      <c r="D106" s="13">
        <v>110</v>
      </c>
      <c r="E106" s="13" t="s">
        <v>53</v>
      </c>
      <c r="F106" s="13" t="s">
        <v>10</v>
      </c>
      <c r="G106" s="28">
        <v>40</v>
      </c>
      <c r="H106" s="440">
        <v>10</v>
      </c>
      <c r="I106" s="28">
        <v>1</v>
      </c>
      <c r="J106" s="441">
        <f t="shared" si="27"/>
        <v>0.25</v>
      </c>
      <c r="K106" s="28">
        <f>3397*2/1000</f>
        <v>6.7939999999999996</v>
      </c>
      <c r="L106" s="267">
        <f t="shared" si="28"/>
        <v>1.6984999999999999</v>
      </c>
      <c r="M106" s="433">
        <f t="shared" si="29"/>
        <v>339.70</v>
      </c>
      <c r="N106" s="434">
        <v>200</v>
      </c>
      <c r="O106" s="435">
        <f t="shared" si="30"/>
        <v>1.6984999999999999</v>
      </c>
    </row>
    <row r="107" spans="1:15" ht="15">
      <c r="A107" s="13" t="s">
        <v>237</v>
      </c>
      <c r="B107" s="56" t="s">
        <v>71</v>
      </c>
      <c r="C107" s="13" t="s">
        <v>68</v>
      </c>
      <c r="D107" s="13">
        <v>110</v>
      </c>
      <c r="E107" s="13"/>
      <c r="F107" s="13" t="s">
        <v>34</v>
      </c>
      <c r="G107" s="28">
        <v>20</v>
      </c>
      <c r="H107" s="440">
        <v>10</v>
      </c>
      <c r="I107" s="28">
        <v>2</v>
      </c>
      <c r="J107" s="441">
        <f t="shared" si="27"/>
        <v>1</v>
      </c>
      <c r="K107" s="28">
        <v>1</v>
      </c>
      <c r="L107" s="267">
        <f t="shared" si="28"/>
        <v>1</v>
      </c>
      <c r="M107" s="433">
        <f t="shared" si="29"/>
        <v>200</v>
      </c>
      <c r="N107" s="434">
        <v>200</v>
      </c>
      <c r="O107" s="435">
        <f t="shared" si="30"/>
        <v>0.50</v>
      </c>
    </row>
    <row r="108" spans="1:15" ht="30">
      <c r="A108" s="13" t="s">
        <v>239</v>
      </c>
      <c r="B108" s="56" t="s">
        <v>240</v>
      </c>
      <c r="C108" s="13" t="s">
        <v>25</v>
      </c>
      <c r="D108" s="13">
        <v>113</v>
      </c>
      <c r="E108" s="13"/>
      <c r="F108" s="13" t="s">
        <v>63</v>
      </c>
      <c r="G108" s="432">
        <v>112</v>
      </c>
      <c r="H108" s="440">
        <v>10</v>
      </c>
      <c r="I108" s="28">
        <v>1</v>
      </c>
      <c r="J108" s="441">
        <f t="shared" si="27"/>
        <v>0.089285714285714288</v>
      </c>
      <c r="K108" s="28">
        <v>49</v>
      </c>
      <c r="L108" s="267">
        <f t="shared" si="28"/>
        <v>4.375</v>
      </c>
      <c r="M108" s="433">
        <f t="shared" si="29"/>
        <v>1137.50</v>
      </c>
      <c r="N108" s="434">
        <v>260</v>
      </c>
      <c r="O108" s="435">
        <f t="shared" si="30"/>
        <v>4.375</v>
      </c>
    </row>
    <row r="109" spans="1:15" ht="30">
      <c r="A109" s="13" t="s">
        <v>317</v>
      </c>
      <c r="B109" s="56" t="s">
        <v>316</v>
      </c>
      <c r="C109" s="13" t="s">
        <v>25</v>
      </c>
      <c r="D109" s="13">
        <v>113</v>
      </c>
      <c r="E109" s="13" t="s">
        <v>70</v>
      </c>
      <c r="F109" s="13" t="s">
        <v>10</v>
      </c>
      <c r="G109" s="28">
        <v>40</v>
      </c>
      <c r="H109" s="440">
        <v>10</v>
      </c>
      <c r="I109" s="28">
        <v>1</v>
      </c>
      <c r="J109" s="441">
        <f t="shared" si="27"/>
        <v>0.25</v>
      </c>
      <c r="K109" s="436">
        <f>630/1000*3.1415</f>
        <v>1.9791450000000002</v>
      </c>
      <c r="L109" s="267">
        <f t="shared" si="28"/>
        <v>0.49478625000000004</v>
      </c>
      <c r="M109" s="433">
        <f t="shared" si="29"/>
        <v>98.957250000000002</v>
      </c>
      <c r="N109" s="434">
        <v>200</v>
      </c>
      <c r="O109" s="435">
        <f t="shared" si="30"/>
        <v>0.49478625000000004</v>
      </c>
    </row>
    <row r="110" spans="1:15" ht="30">
      <c r="A110" s="13" t="s">
        <v>245</v>
      </c>
      <c r="B110" s="56" t="s">
        <v>246</v>
      </c>
      <c r="C110" s="13" t="s">
        <v>25</v>
      </c>
      <c r="D110" s="13">
        <v>113</v>
      </c>
      <c r="E110" s="13"/>
      <c r="F110" s="13" t="s">
        <v>63</v>
      </c>
      <c r="G110" s="432">
        <v>112</v>
      </c>
      <c r="H110" s="440">
        <v>10</v>
      </c>
      <c r="I110" s="28">
        <v>1</v>
      </c>
      <c r="J110" s="441">
        <f t="shared" si="27"/>
        <v>0.089285714285714288</v>
      </c>
      <c r="K110" s="28">
        <v>49</v>
      </c>
      <c r="L110" s="267">
        <f t="shared" si="28"/>
        <v>4.375</v>
      </c>
      <c r="M110" s="433">
        <f t="shared" si="29"/>
        <v>1137.50</v>
      </c>
      <c r="N110" s="434">
        <v>260</v>
      </c>
      <c r="O110" s="435">
        <f t="shared" si="30"/>
        <v>4.375</v>
      </c>
    </row>
    <row r="111" spans="1:15" ht="15">
      <c r="A111" s="13" t="s">
        <v>741</v>
      </c>
      <c r="B111" s="56" t="s">
        <v>1281</v>
      </c>
      <c r="C111" s="13" t="s">
        <v>33</v>
      </c>
      <c r="D111" s="13">
        <v>115</v>
      </c>
      <c r="E111" s="13"/>
      <c r="F111" s="13"/>
      <c r="G111" s="28">
        <v>10</v>
      </c>
      <c r="H111" s="440">
        <v>10</v>
      </c>
      <c r="I111" s="28">
        <v>1</v>
      </c>
      <c r="J111" s="441">
        <f t="shared" si="27"/>
        <v>1</v>
      </c>
      <c r="K111" s="28">
        <v>1.50</v>
      </c>
      <c r="L111" s="267">
        <f t="shared" si="28"/>
        <v>1.50</v>
      </c>
      <c r="M111" s="433">
        <f t="shared" si="29"/>
        <v>300</v>
      </c>
      <c r="N111" s="434">
        <v>200</v>
      </c>
      <c r="O111" s="435">
        <f t="shared" si="30"/>
        <v>1.50</v>
      </c>
    </row>
    <row r="112" spans="1:15" ht="15">
      <c r="A112" s="645" t="s">
        <v>254</v>
      </c>
      <c r="B112" s="639" t="s">
        <v>884</v>
      </c>
      <c r="C112" s="13" t="s">
        <v>76</v>
      </c>
      <c r="D112" s="13">
        <v>115</v>
      </c>
      <c r="E112" s="13"/>
      <c r="F112" s="13" t="s">
        <v>78</v>
      </c>
      <c r="G112" s="28">
        <v>20</v>
      </c>
      <c r="H112" s="440">
        <v>10</v>
      </c>
      <c r="I112" s="28">
        <v>2</v>
      </c>
      <c r="J112" s="441">
        <f t="shared" si="27"/>
        <v>1</v>
      </c>
      <c r="K112" s="28">
        <v>2</v>
      </c>
      <c r="L112" s="267">
        <f t="shared" si="28"/>
        <v>2</v>
      </c>
      <c r="M112" s="433">
        <f t="shared" si="29"/>
        <v>400</v>
      </c>
      <c r="N112" s="434">
        <v>200</v>
      </c>
      <c r="O112" s="435">
        <f t="shared" si="30"/>
        <v>1</v>
      </c>
    </row>
    <row r="113" spans="1:15" ht="15">
      <c r="A113" s="647"/>
      <c r="B113" s="641"/>
      <c r="C113" s="13" t="s">
        <v>77</v>
      </c>
      <c r="D113" s="13">
        <v>115</v>
      </c>
      <c r="E113" s="13" t="s">
        <v>79</v>
      </c>
      <c r="F113" s="13" t="s">
        <v>10</v>
      </c>
      <c r="G113" s="28">
        <v>40</v>
      </c>
      <c r="H113" s="440">
        <v>10</v>
      </c>
      <c r="I113" s="28">
        <v>1</v>
      </c>
      <c r="J113" s="441">
        <f t="shared" si="27"/>
        <v>0.25</v>
      </c>
      <c r="K113" s="442">
        <f>(116*2*4+130*4)/1000</f>
        <v>1.448</v>
      </c>
      <c r="L113" s="267">
        <f t="shared" si="28"/>
        <v>0.36199999999999999</v>
      </c>
      <c r="M113" s="433">
        <f t="shared" si="29"/>
        <v>72.399999999999991</v>
      </c>
      <c r="N113" s="434">
        <v>200</v>
      </c>
      <c r="O113" s="435">
        <f t="shared" si="30"/>
        <v>0.36199999999999999</v>
      </c>
    </row>
    <row r="114" spans="1:15" ht="15">
      <c r="A114" s="637" t="s">
        <v>257</v>
      </c>
      <c r="B114" s="638" t="s">
        <v>258</v>
      </c>
      <c r="C114" s="13" t="s">
        <v>950</v>
      </c>
      <c r="D114" s="13">
        <v>107</v>
      </c>
      <c r="E114" s="13" t="s">
        <v>260</v>
      </c>
      <c r="F114" s="13" t="s">
        <v>261</v>
      </c>
      <c r="G114" s="442">
        <v>18</v>
      </c>
      <c r="H114" s="468">
        <v>10</v>
      </c>
      <c r="I114" s="432">
        <v>2</v>
      </c>
      <c r="J114" s="468">
        <f t="shared" si="27"/>
        <v>1.1111111111111112</v>
      </c>
      <c r="K114" s="442">
        <v>1</v>
      </c>
      <c r="L114" s="267">
        <f t="shared" si="28"/>
        <v>1.1111111111111112</v>
      </c>
      <c r="M114" s="266">
        <f t="shared" si="29"/>
        <v>222.22222222222223</v>
      </c>
      <c r="N114" s="433">
        <v>200</v>
      </c>
      <c r="O114" s="267">
        <f t="shared" si="30"/>
        <v>0.55555555555555558</v>
      </c>
    </row>
    <row r="115" spans="1:15" ht="15">
      <c r="A115" s="637"/>
      <c r="B115" s="638"/>
      <c r="C115" s="13" t="s">
        <v>951</v>
      </c>
      <c r="D115" s="13">
        <v>107</v>
      </c>
      <c r="E115" s="13" t="s">
        <v>260</v>
      </c>
      <c r="F115" s="17" t="s">
        <v>261</v>
      </c>
      <c r="G115" s="31">
        <v>44</v>
      </c>
      <c r="H115" s="252">
        <v>10</v>
      </c>
      <c r="I115" s="16">
        <v>2</v>
      </c>
      <c r="J115" s="253">
        <f t="shared" si="27"/>
        <v>0.45454545454545453</v>
      </c>
      <c r="K115" s="31">
        <v>2</v>
      </c>
      <c r="L115" s="8">
        <f t="shared" si="28"/>
        <v>0.90909090909090906</v>
      </c>
      <c r="M115" s="42">
        <f t="shared" si="29"/>
        <v>181.81818181818181</v>
      </c>
      <c r="N115" s="43">
        <v>200</v>
      </c>
      <c r="O115" s="8">
        <f t="shared" si="30"/>
        <v>0.45454545454545453</v>
      </c>
    </row>
    <row r="116" spans="1:15" ht="15">
      <c r="A116" s="637"/>
      <c r="B116" s="638"/>
      <c r="C116" s="13" t="s">
        <v>952</v>
      </c>
      <c r="D116" s="13">
        <v>107</v>
      </c>
      <c r="E116" s="13" t="s">
        <v>260</v>
      </c>
      <c r="F116" s="17" t="s">
        <v>261</v>
      </c>
      <c r="G116" s="31">
        <v>109</v>
      </c>
      <c r="H116" s="18">
        <v>10</v>
      </c>
      <c r="I116" s="16">
        <v>2</v>
      </c>
      <c r="J116" s="20">
        <f t="shared" si="27"/>
        <v>0.1834862385321101</v>
      </c>
      <c r="K116" s="31">
        <v>4</v>
      </c>
      <c r="L116" s="8">
        <f t="shared" si="28"/>
        <v>0.73394495412844041</v>
      </c>
      <c r="M116" s="42">
        <f t="shared" si="29"/>
        <v>146.78899082568807</v>
      </c>
      <c r="N116" s="43">
        <v>200</v>
      </c>
      <c r="O116" s="8">
        <f t="shared" si="30"/>
        <v>0.3669724770642202</v>
      </c>
    </row>
    <row r="117" spans="1:15" ht="15">
      <c r="A117" s="637" t="s">
        <v>265</v>
      </c>
      <c r="B117" s="638" t="s">
        <v>266</v>
      </c>
      <c r="C117" s="13" t="s">
        <v>76</v>
      </c>
      <c r="D117" s="13">
        <v>116</v>
      </c>
      <c r="E117" s="13"/>
      <c r="F117" s="13" t="s">
        <v>82</v>
      </c>
      <c r="G117" s="28">
        <v>8</v>
      </c>
      <c r="H117" s="440">
        <v>10</v>
      </c>
      <c r="I117" s="28">
        <v>2</v>
      </c>
      <c r="J117" s="441">
        <f t="shared" si="27"/>
        <v>2.50</v>
      </c>
      <c r="K117" s="28">
        <v>1</v>
      </c>
      <c r="L117" s="267">
        <f t="shared" si="28"/>
        <v>2.50</v>
      </c>
      <c r="M117" s="433">
        <f t="shared" si="29"/>
        <v>500</v>
      </c>
      <c r="N117" s="434">
        <v>200</v>
      </c>
      <c r="O117" s="435">
        <f t="shared" si="30"/>
        <v>1.25</v>
      </c>
    </row>
    <row r="118" spans="1:15" ht="15">
      <c r="A118" s="637"/>
      <c r="B118" s="638"/>
      <c r="C118" s="13" t="s">
        <v>77</v>
      </c>
      <c r="D118" s="13">
        <v>116</v>
      </c>
      <c r="E118" s="13" t="s">
        <v>264</v>
      </c>
      <c r="F118" s="13" t="s">
        <v>10</v>
      </c>
      <c r="G118" s="28">
        <v>40</v>
      </c>
      <c r="H118" s="440">
        <v>10</v>
      </c>
      <c r="I118" s="28">
        <v>1</v>
      </c>
      <c r="J118" s="441">
        <f t="shared" si="27"/>
        <v>0.25</v>
      </c>
      <c r="K118" s="442">
        <f>(89*3.1415*3)*2/1000</f>
        <v>1.6775610000000001</v>
      </c>
      <c r="L118" s="267">
        <f t="shared" si="28"/>
        <v>0.41939025000000002</v>
      </c>
      <c r="M118" s="433">
        <f t="shared" si="29"/>
        <v>83.878050000000002</v>
      </c>
      <c r="N118" s="434">
        <v>200</v>
      </c>
      <c r="O118" s="435">
        <f t="shared" si="30"/>
        <v>0.41939025000000002</v>
      </c>
    </row>
    <row r="119" spans="1:15" ht="30">
      <c r="A119" s="13" t="s">
        <v>267</v>
      </c>
      <c r="B119" s="27" t="s">
        <v>519</v>
      </c>
      <c r="C119" s="13" t="s">
        <v>77</v>
      </c>
      <c r="D119" s="13">
        <v>116</v>
      </c>
      <c r="E119" s="13"/>
      <c r="F119" s="13" t="s">
        <v>67</v>
      </c>
      <c r="G119" s="28">
        <v>10</v>
      </c>
      <c r="H119" s="440">
        <v>10</v>
      </c>
      <c r="I119" s="28">
        <v>2</v>
      </c>
      <c r="J119" s="441">
        <f t="shared" si="27"/>
        <v>2</v>
      </c>
      <c r="K119" s="28">
        <v>1</v>
      </c>
      <c r="L119" s="267">
        <f t="shared" si="28"/>
        <v>2</v>
      </c>
      <c r="M119" s="433">
        <f t="shared" si="29"/>
        <v>400</v>
      </c>
      <c r="N119" s="434">
        <v>200</v>
      </c>
      <c r="O119" s="435">
        <f t="shared" si="30"/>
        <v>1</v>
      </c>
    </row>
    <row r="120" spans="1:15" ht="15">
      <c r="A120" s="13" t="s">
        <v>268</v>
      </c>
      <c r="B120" s="27" t="s">
        <v>334</v>
      </c>
      <c r="C120" s="13" t="s">
        <v>83</v>
      </c>
      <c r="D120" s="13">
        <v>116</v>
      </c>
      <c r="E120" s="13"/>
      <c r="F120" s="4" t="s">
        <v>84</v>
      </c>
      <c r="G120" s="16">
        <v>11.50</v>
      </c>
      <c r="H120" s="440">
        <v>10</v>
      </c>
      <c r="I120" s="28">
        <v>2</v>
      </c>
      <c r="J120" s="441">
        <f t="shared" si="27"/>
        <v>1.7391304347826086</v>
      </c>
      <c r="K120" s="28">
        <v>1</v>
      </c>
      <c r="L120" s="267">
        <f t="shared" si="28"/>
        <v>1.7391304347826086</v>
      </c>
      <c r="M120" s="433">
        <f t="shared" si="29"/>
        <v>347.82608695652175</v>
      </c>
      <c r="N120" s="434">
        <v>200</v>
      </c>
      <c r="O120" s="435">
        <f t="shared" si="30"/>
        <v>0.86956521739130432</v>
      </c>
    </row>
    <row r="121" spans="1:15" ht="15">
      <c r="A121" s="13" t="s">
        <v>335</v>
      </c>
      <c r="B121" s="27" t="s">
        <v>336</v>
      </c>
      <c r="C121" s="13" t="s">
        <v>83</v>
      </c>
      <c r="D121" s="13">
        <v>116</v>
      </c>
      <c r="E121" s="13"/>
      <c r="F121" s="4" t="s">
        <v>84</v>
      </c>
      <c r="G121" s="16">
        <v>5.50</v>
      </c>
      <c r="H121" s="440">
        <v>10</v>
      </c>
      <c r="I121" s="28">
        <v>2</v>
      </c>
      <c r="J121" s="441">
        <f t="shared" si="27"/>
        <v>3.6363636363636362</v>
      </c>
      <c r="K121" s="28">
        <v>1</v>
      </c>
      <c r="L121" s="267">
        <f t="shared" si="28"/>
        <v>3.6363636363636362</v>
      </c>
      <c r="M121" s="433">
        <f t="shared" si="29"/>
        <v>727.27272727272725</v>
      </c>
      <c r="N121" s="434">
        <v>200</v>
      </c>
      <c r="O121" s="435">
        <f t="shared" si="30"/>
        <v>1.8181818181818181</v>
      </c>
    </row>
    <row r="122" spans="1:15" ht="15">
      <c r="A122" s="13" t="s">
        <v>526</v>
      </c>
      <c r="B122" s="56" t="s">
        <v>524</v>
      </c>
      <c r="C122" s="13" t="s">
        <v>523</v>
      </c>
      <c r="D122" s="13">
        <v>224</v>
      </c>
      <c r="E122" s="13"/>
      <c r="F122" s="4" t="s">
        <v>525</v>
      </c>
      <c r="G122" s="28">
        <v>600</v>
      </c>
      <c r="H122" s="431">
        <v>10</v>
      </c>
      <c r="I122" s="28">
        <v>1</v>
      </c>
      <c r="J122" s="441">
        <f t="shared" si="27"/>
        <v>0.016666666666666666</v>
      </c>
      <c r="K122" s="28">
        <v>4</v>
      </c>
      <c r="L122" s="267">
        <f t="shared" si="28"/>
        <v>0.066666666666666666</v>
      </c>
      <c r="M122" s="433">
        <f t="shared" si="29"/>
        <v>11.733333333333333</v>
      </c>
      <c r="N122" s="434">
        <v>176</v>
      </c>
      <c r="O122" s="435">
        <f t="shared" si="30"/>
        <v>0.066666666666666666</v>
      </c>
    </row>
    <row r="123" spans="1:15" ht="15">
      <c r="A123" s="13" t="s">
        <v>269</v>
      </c>
      <c r="B123" s="56" t="s">
        <v>270</v>
      </c>
      <c r="C123" s="13" t="s">
        <v>523</v>
      </c>
      <c r="D123" s="13">
        <v>224</v>
      </c>
      <c r="E123" s="13"/>
      <c r="F123" s="4" t="s">
        <v>88</v>
      </c>
      <c r="G123" s="28">
        <v>300</v>
      </c>
      <c r="H123" s="431">
        <v>10</v>
      </c>
      <c r="I123" s="28">
        <v>1</v>
      </c>
      <c r="J123" s="441">
        <f t="shared" si="27"/>
        <v>0.033333333333333333</v>
      </c>
      <c r="K123" s="28">
        <v>2</v>
      </c>
      <c r="L123" s="267">
        <f t="shared" si="28"/>
        <v>0.066666666666666666</v>
      </c>
      <c r="M123" s="433">
        <f t="shared" si="29"/>
        <v>11.733333333333333</v>
      </c>
      <c r="N123" s="434">
        <v>176</v>
      </c>
      <c r="O123" s="435">
        <f t="shared" si="30"/>
        <v>0.066666666666666666</v>
      </c>
    </row>
    <row r="124" spans="1:15" ht="15">
      <c r="A124" s="13" t="s">
        <v>918</v>
      </c>
      <c r="B124" s="56" t="s">
        <v>898</v>
      </c>
      <c r="C124" s="13" t="s">
        <v>523</v>
      </c>
      <c r="D124" s="13">
        <v>224</v>
      </c>
      <c r="E124" s="13"/>
      <c r="F124" s="4" t="s">
        <v>88</v>
      </c>
      <c r="G124" s="28">
        <v>600</v>
      </c>
      <c r="H124" s="431">
        <v>10</v>
      </c>
      <c r="I124" s="28">
        <v>1</v>
      </c>
      <c r="J124" s="441">
        <f t="shared" si="27"/>
        <v>0.016666666666666666</v>
      </c>
      <c r="K124" s="28">
        <v>1</v>
      </c>
      <c r="L124" s="267">
        <f t="shared" si="28"/>
        <v>0.016666666666666666</v>
      </c>
      <c r="M124" s="433">
        <f t="shared" si="29"/>
        <v>2.9333333333333331</v>
      </c>
      <c r="N124" s="434">
        <v>176</v>
      </c>
      <c r="O124" s="435">
        <f t="shared" si="30"/>
        <v>0.016666666666666666</v>
      </c>
    </row>
    <row r="125" spans="1:15" ht="30">
      <c r="A125" s="13" t="s">
        <v>271</v>
      </c>
      <c r="B125" s="56" t="s">
        <v>85</v>
      </c>
      <c r="C125" s="13" t="s">
        <v>83</v>
      </c>
      <c r="D125" s="13">
        <v>116</v>
      </c>
      <c r="E125" s="13"/>
      <c r="F125" s="13" t="s">
        <v>12</v>
      </c>
      <c r="G125" s="28">
        <v>2.2999999999999998</v>
      </c>
      <c r="H125" s="440">
        <v>10</v>
      </c>
      <c r="I125" s="28">
        <v>2</v>
      </c>
      <c r="J125" s="441">
        <f t="shared" si="27"/>
        <v>8.6956521739130448</v>
      </c>
      <c r="K125" s="28">
        <v>1</v>
      </c>
      <c r="L125" s="267">
        <f t="shared" si="28"/>
        <v>8.6956521739130448</v>
      </c>
      <c r="M125" s="433">
        <f t="shared" si="29"/>
        <v>1739.130434782609</v>
      </c>
      <c r="N125" s="434">
        <v>200</v>
      </c>
      <c r="O125" s="435">
        <f t="shared" si="30"/>
        <v>4.3478260869565224</v>
      </c>
    </row>
    <row r="126" spans="1:15" ht="15">
      <c r="A126" s="13" t="s">
        <v>272</v>
      </c>
      <c r="B126" s="27" t="s">
        <v>337</v>
      </c>
      <c r="C126" s="13" t="s">
        <v>83</v>
      </c>
      <c r="D126" s="13">
        <v>116</v>
      </c>
      <c r="E126" s="13"/>
      <c r="F126" s="4" t="s">
        <v>89</v>
      </c>
      <c r="G126" s="28">
        <v>10.50</v>
      </c>
      <c r="H126" s="440">
        <v>10</v>
      </c>
      <c r="I126" s="28">
        <v>2</v>
      </c>
      <c r="J126" s="441">
        <f t="shared" si="27"/>
        <v>1.9047619047619047</v>
      </c>
      <c r="K126" s="28">
        <v>1</v>
      </c>
      <c r="L126" s="267">
        <f t="shared" si="28"/>
        <v>1.9047619047619047</v>
      </c>
      <c r="M126" s="433">
        <f t="shared" si="29"/>
        <v>380.95238095238091</v>
      </c>
      <c r="N126" s="434">
        <v>200</v>
      </c>
      <c r="O126" s="435">
        <f t="shared" si="30"/>
        <v>0.95238095238095233</v>
      </c>
    </row>
    <row r="127" spans="1:15" ht="30">
      <c r="A127" s="13" t="s">
        <v>339</v>
      </c>
      <c r="B127" s="27" t="s">
        <v>338</v>
      </c>
      <c r="C127" s="13" t="s">
        <v>83</v>
      </c>
      <c r="D127" s="13">
        <v>116</v>
      </c>
      <c r="E127" s="13"/>
      <c r="F127" s="4" t="s">
        <v>89</v>
      </c>
      <c r="G127" s="28">
        <v>5.70</v>
      </c>
      <c r="H127" s="440">
        <v>10</v>
      </c>
      <c r="I127" s="28">
        <v>2</v>
      </c>
      <c r="J127" s="441">
        <f t="shared" si="27"/>
        <v>3.5087719298245612</v>
      </c>
      <c r="K127" s="28">
        <v>1</v>
      </c>
      <c r="L127" s="267">
        <f t="shared" si="28"/>
        <v>3.5087719298245612</v>
      </c>
      <c r="M127" s="433">
        <f t="shared" si="29"/>
        <v>701.75438596491222</v>
      </c>
      <c r="N127" s="434">
        <v>200</v>
      </c>
      <c r="O127" s="435">
        <f t="shared" si="30"/>
        <v>1.7543859649122806</v>
      </c>
    </row>
    <row r="128" spans="1:15" ht="30">
      <c r="A128" s="13" t="s">
        <v>273</v>
      </c>
      <c r="B128" s="27" t="s">
        <v>125</v>
      </c>
      <c r="C128" s="13" t="s">
        <v>54</v>
      </c>
      <c r="D128" s="13">
        <v>116</v>
      </c>
      <c r="E128" s="13"/>
      <c r="F128" s="4" t="s">
        <v>88</v>
      </c>
      <c r="G128" s="28">
        <v>15</v>
      </c>
      <c r="H128" s="440">
        <v>10</v>
      </c>
      <c r="I128" s="28">
        <v>2</v>
      </c>
      <c r="J128" s="441">
        <f t="shared" si="27"/>
        <v>1.3333333333333333</v>
      </c>
      <c r="K128" s="28">
        <v>2</v>
      </c>
      <c r="L128" s="267">
        <f t="shared" si="28"/>
        <v>2.6666666666666665</v>
      </c>
      <c r="M128" s="433">
        <f t="shared" si="29"/>
        <v>533.33333333333326</v>
      </c>
      <c r="N128" s="434">
        <v>200</v>
      </c>
      <c r="O128" s="435">
        <f t="shared" si="30"/>
        <v>1.3333333333333333</v>
      </c>
    </row>
    <row r="129" spans="1:15" ht="30">
      <c r="A129" s="523" t="s">
        <v>1668</v>
      </c>
      <c r="B129" s="522" t="s">
        <v>1670</v>
      </c>
      <c r="C129" s="523" t="s">
        <v>33</v>
      </c>
      <c r="D129" s="523">
        <v>116</v>
      </c>
      <c r="E129" s="523"/>
      <c r="F129" s="523" t="s">
        <v>1666</v>
      </c>
      <c r="G129" s="527">
        <v>12.97</v>
      </c>
      <c r="H129" s="530">
        <v>10</v>
      </c>
      <c r="I129" s="527">
        <v>2</v>
      </c>
      <c r="J129" s="531">
        <f t="shared" si="27"/>
        <v>1.5420200462606013</v>
      </c>
      <c r="K129" s="527">
        <v>1</v>
      </c>
      <c r="L129" s="267">
        <f t="shared" si="28"/>
        <v>1.5420200462606013</v>
      </c>
      <c r="M129" s="433">
        <f t="shared" si="29"/>
        <v>308.40400925212026</v>
      </c>
      <c r="N129" s="434">
        <v>200</v>
      </c>
      <c r="O129" s="435">
        <f t="shared" si="30"/>
        <v>0.77101002313030065</v>
      </c>
    </row>
    <row r="130" spans="1:15" ht="30">
      <c r="A130" s="523" t="s">
        <v>1669</v>
      </c>
      <c r="B130" s="522" t="s">
        <v>1671</v>
      </c>
      <c r="C130" s="523" t="s">
        <v>33</v>
      </c>
      <c r="D130" s="523">
        <v>116</v>
      </c>
      <c r="E130" s="523"/>
      <c r="F130" s="523" t="s">
        <v>10</v>
      </c>
      <c r="G130" s="527">
        <v>40</v>
      </c>
      <c r="H130" s="530">
        <v>10</v>
      </c>
      <c r="I130" s="527">
        <v>1</v>
      </c>
      <c r="J130" s="531">
        <f t="shared" si="27"/>
        <v>0.25</v>
      </c>
      <c r="K130" s="525">
        <f>3423/1000</f>
        <v>3.423</v>
      </c>
      <c r="L130" s="267">
        <f t="shared" si="28"/>
        <v>0.85575000000000001</v>
      </c>
      <c r="M130" s="433">
        <f t="shared" si="29"/>
        <v>171.15</v>
      </c>
      <c r="N130" s="434">
        <v>200</v>
      </c>
      <c r="O130" s="435">
        <f t="shared" si="30"/>
        <v>0.85575000000000001</v>
      </c>
    </row>
    <row r="131" spans="1:15" ht="15">
      <c r="A131" s="13" t="s">
        <v>274</v>
      </c>
      <c r="B131" s="27" t="s">
        <v>275</v>
      </c>
      <c r="C131" s="13" t="s">
        <v>83</v>
      </c>
      <c r="D131" s="13">
        <v>116</v>
      </c>
      <c r="E131" s="13"/>
      <c r="F131" s="4" t="s">
        <v>276</v>
      </c>
      <c r="G131" s="28">
        <v>20</v>
      </c>
      <c r="H131" s="440">
        <v>10</v>
      </c>
      <c r="I131" s="28">
        <v>2</v>
      </c>
      <c r="J131" s="441">
        <f t="shared" si="27"/>
        <v>1</v>
      </c>
      <c r="K131" s="28">
        <v>1</v>
      </c>
      <c r="L131" s="267">
        <f t="shared" si="28"/>
        <v>1</v>
      </c>
      <c r="M131" s="433">
        <f t="shared" si="29"/>
        <v>200</v>
      </c>
      <c r="N131" s="434">
        <v>200</v>
      </c>
      <c r="O131" s="435">
        <f t="shared" si="30"/>
        <v>0.50</v>
      </c>
    </row>
    <row r="132" spans="1:15" ht="15">
      <c r="A132" s="13" t="s">
        <v>277</v>
      </c>
      <c r="B132" s="27" t="s">
        <v>278</v>
      </c>
      <c r="C132" s="13" t="s">
        <v>83</v>
      </c>
      <c r="D132" s="13">
        <v>116</v>
      </c>
      <c r="E132" s="13"/>
      <c r="F132" s="4" t="s">
        <v>90</v>
      </c>
      <c r="G132" s="28">
        <v>14</v>
      </c>
      <c r="H132" s="440">
        <v>10</v>
      </c>
      <c r="I132" s="28">
        <v>2</v>
      </c>
      <c r="J132" s="441">
        <f t="shared" si="27"/>
        <v>1.4285714285714286</v>
      </c>
      <c r="K132" s="28">
        <v>1</v>
      </c>
      <c r="L132" s="267">
        <f t="shared" si="28"/>
        <v>1.4285714285714286</v>
      </c>
      <c r="M132" s="433">
        <f t="shared" si="29"/>
        <v>285.71428571428572</v>
      </c>
      <c r="N132" s="434">
        <v>200</v>
      </c>
      <c r="O132" s="435">
        <f t="shared" si="30"/>
        <v>0.7142857142857143</v>
      </c>
    </row>
    <row r="133" spans="1:15" ht="15">
      <c r="A133" s="13" t="s">
        <v>279</v>
      </c>
      <c r="B133" s="27" t="s">
        <v>280</v>
      </c>
      <c r="C133" s="13" t="s">
        <v>29</v>
      </c>
      <c r="D133" s="13">
        <v>120</v>
      </c>
      <c r="E133" s="13"/>
      <c r="F133" s="13" t="s">
        <v>12</v>
      </c>
      <c r="G133" s="28">
        <v>11</v>
      </c>
      <c r="H133" s="440">
        <v>10</v>
      </c>
      <c r="I133" s="28">
        <v>1</v>
      </c>
      <c r="J133" s="441">
        <f t="shared" si="27"/>
        <v>0.90909090909090906</v>
      </c>
      <c r="K133" s="28">
        <v>1</v>
      </c>
      <c r="L133" s="435">
        <f t="shared" si="28"/>
        <v>0.90909090909090906</v>
      </c>
      <c r="M133" s="266">
        <f t="shared" si="29"/>
        <v>160</v>
      </c>
      <c r="N133" s="433">
        <v>176</v>
      </c>
      <c r="O133" s="435">
        <f t="shared" si="30"/>
        <v>0.90909090909090906</v>
      </c>
    </row>
    <row r="134" spans="1:15" ht="15">
      <c r="A134" s="13" t="s">
        <v>281</v>
      </c>
      <c r="B134" s="56" t="s">
        <v>30</v>
      </c>
      <c r="C134" s="13" t="s">
        <v>29</v>
      </c>
      <c r="D134" s="13">
        <v>120</v>
      </c>
      <c r="E134" s="13"/>
      <c r="F134" s="13" t="s">
        <v>12</v>
      </c>
      <c r="G134" s="436">
        <v>5.80</v>
      </c>
      <c r="H134" s="440">
        <v>10</v>
      </c>
      <c r="I134" s="28">
        <v>1</v>
      </c>
      <c r="J134" s="441">
        <f t="shared" si="27"/>
        <v>1.7241379310344829</v>
      </c>
      <c r="K134" s="28">
        <v>1</v>
      </c>
      <c r="L134" s="267">
        <f t="shared" si="28"/>
        <v>1.7241379310344829</v>
      </c>
      <c r="M134" s="433">
        <f t="shared" si="29"/>
        <v>303.44827586206901</v>
      </c>
      <c r="N134" s="434">
        <v>176</v>
      </c>
      <c r="O134" s="435">
        <f t="shared" si="30"/>
        <v>1.7241379310344829</v>
      </c>
    </row>
    <row r="135" spans="1:15" ht="30">
      <c r="A135" s="13" t="s">
        <v>282</v>
      </c>
      <c r="B135" s="56" t="s">
        <v>283</v>
      </c>
      <c r="C135" s="13" t="s">
        <v>29</v>
      </c>
      <c r="D135" s="13">
        <v>120</v>
      </c>
      <c r="E135" s="13"/>
      <c r="F135" s="13" t="s">
        <v>12</v>
      </c>
      <c r="G135" s="436">
        <v>6.78</v>
      </c>
      <c r="H135" s="440">
        <v>10</v>
      </c>
      <c r="I135" s="28">
        <v>1</v>
      </c>
      <c r="J135" s="441">
        <f t="shared" si="27"/>
        <v>1.4749262536873156</v>
      </c>
      <c r="K135" s="28">
        <v>1</v>
      </c>
      <c r="L135" s="267">
        <f t="shared" si="28"/>
        <v>1.4749262536873156</v>
      </c>
      <c r="M135" s="433">
        <f t="shared" si="29"/>
        <v>259.58702064896755</v>
      </c>
      <c r="N135" s="434">
        <v>176</v>
      </c>
      <c r="O135" s="435">
        <f t="shared" si="30"/>
        <v>1.4749262536873156</v>
      </c>
    </row>
    <row r="136" spans="1:15" ht="15">
      <c r="A136" s="13" t="s">
        <v>902</v>
      </c>
      <c r="B136" s="56" t="s">
        <v>1157</v>
      </c>
      <c r="C136" s="13" t="s">
        <v>523</v>
      </c>
      <c r="D136" s="13">
        <v>224</v>
      </c>
      <c r="E136" s="13"/>
      <c r="F136" s="4" t="s">
        <v>900</v>
      </c>
      <c r="G136" s="28">
        <v>600</v>
      </c>
      <c r="H136" s="431">
        <v>10</v>
      </c>
      <c r="I136" s="28">
        <v>1</v>
      </c>
      <c r="J136" s="441">
        <f t="shared" si="27"/>
        <v>0.016666666666666666</v>
      </c>
      <c r="K136" s="28">
        <v>1</v>
      </c>
      <c r="L136" s="267">
        <f t="shared" si="28"/>
        <v>0.016666666666666666</v>
      </c>
      <c r="M136" s="433">
        <f t="shared" si="29"/>
        <v>2.9333333333333331</v>
      </c>
      <c r="N136" s="434">
        <v>176</v>
      </c>
      <c r="O136" s="435">
        <f t="shared" si="30"/>
        <v>0.016666666666666666</v>
      </c>
    </row>
    <row r="137" spans="1:15" ht="15">
      <c r="A137" s="13" t="s">
        <v>285</v>
      </c>
      <c r="B137" s="56" t="s">
        <v>901</v>
      </c>
      <c r="C137" s="13" t="s">
        <v>83</v>
      </c>
      <c r="D137" s="13">
        <v>116</v>
      </c>
      <c r="E137" s="13"/>
      <c r="F137" s="13" t="s">
        <v>12</v>
      </c>
      <c r="G137" s="28">
        <v>8.50</v>
      </c>
      <c r="H137" s="440">
        <v>10</v>
      </c>
      <c r="I137" s="28">
        <v>2</v>
      </c>
      <c r="J137" s="441">
        <f t="shared" si="27"/>
        <v>2.3529411764705883</v>
      </c>
      <c r="K137" s="28">
        <v>1</v>
      </c>
      <c r="L137" s="267">
        <f t="shared" si="28"/>
        <v>2.3529411764705883</v>
      </c>
      <c r="M137" s="433">
        <f t="shared" si="29"/>
        <v>470.58823529411768</v>
      </c>
      <c r="N137" s="434">
        <v>200</v>
      </c>
      <c r="O137" s="435">
        <f t="shared" si="30"/>
        <v>1.1764705882352942</v>
      </c>
    </row>
    <row r="138" spans="1:15" ht="15">
      <c r="A138" s="13" t="s">
        <v>286</v>
      </c>
      <c r="B138" s="27" t="s">
        <v>288</v>
      </c>
      <c r="C138" s="13" t="s">
        <v>287</v>
      </c>
      <c r="D138" s="13">
        <v>116</v>
      </c>
      <c r="E138" s="13"/>
      <c r="F138" s="13" t="s">
        <v>67</v>
      </c>
      <c r="G138" s="28">
        <v>40</v>
      </c>
      <c r="H138" s="440">
        <v>10</v>
      </c>
      <c r="I138" s="28">
        <v>1</v>
      </c>
      <c r="J138" s="441">
        <f t="shared" si="27"/>
        <v>0.25</v>
      </c>
      <c r="K138" s="28">
        <v>4</v>
      </c>
      <c r="L138" s="267">
        <f t="shared" si="28"/>
        <v>1</v>
      </c>
      <c r="M138" s="433">
        <f t="shared" si="29"/>
        <v>152</v>
      </c>
      <c r="N138" s="434">
        <v>152</v>
      </c>
      <c r="O138" s="435">
        <f t="shared" si="30"/>
        <v>1</v>
      </c>
    </row>
    <row r="139" spans="1:15" ht="15">
      <c r="A139" s="39"/>
      <c r="B139" s="649" t="s">
        <v>134</v>
      </c>
      <c r="C139" s="649"/>
      <c r="D139" s="649"/>
      <c r="E139" s="649"/>
      <c r="F139" s="649"/>
      <c r="G139" s="649"/>
      <c r="H139" s="649"/>
      <c r="I139" s="649"/>
      <c r="J139" s="649"/>
      <c r="K139" s="649"/>
      <c r="L139" s="267"/>
      <c r="M139" s="262">
        <f>SUM(M140:M160)</f>
        <v>7376.8187595383288</v>
      </c>
      <c r="N139" s="263"/>
      <c r="O139" s="264">
        <f>SUM(O140:O160)</f>
        <v>27.281788401446903</v>
      </c>
    </row>
    <row r="140" spans="1:16" ht="30">
      <c r="A140" s="13" t="s">
        <v>297</v>
      </c>
      <c r="B140" s="56" t="s">
        <v>298</v>
      </c>
      <c r="C140" s="13" t="s">
        <v>33</v>
      </c>
      <c r="D140" s="13">
        <v>116</v>
      </c>
      <c r="E140" s="13"/>
      <c r="F140" s="13" t="s">
        <v>96</v>
      </c>
      <c r="G140" s="432">
        <v>10</v>
      </c>
      <c r="H140" s="440">
        <v>10</v>
      </c>
      <c r="I140" s="28">
        <v>2</v>
      </c>
      <c r="J140" s="441">
        <f t="shared" si="31" ref="J140:J160">H140/G140*I140</f>
        <v>2</v>
      </c>
      <c r="K140" s="28">
        <v>1</v>
      </c>
      <c r="L140" s="267">
        <f t="shared" si="32" ref="L140:L160">J140*K140</f>
        <v>2</v>
      </c>
      <c r="M140" s="433">
        <f t="shared" si="33" ref="M140:M160">L140*N140</f>
        <v>400</v>
      </c>
      <c r="N140" s="434">
        <v>200</v>
      </c>
      <c r="O140" s="435">
        <f t="shared" si="34" ref="O140:O160">J140/I140*K140</f>
        <v>1</v>
      </c>
      <c r="P140" s="22"/>
    </row>
    <row r="141" spans="1:16" ht="30">
      <c r="A141" s="523" t="s">
        <v>1663</v>
      </c>
      <c r="B141" s="522" t="s">
        <v>1665</v>
      </c>
      <c r="C141" s="523" t="s">
        <v>33</v>
      </c>
      <c r="D141" s="523">
        <v>116</v>
      </c>
      <c r="E141" s="523"/>
      <c r="F141" s="523" t="s">
        <v>1666</v>
      </c>
      <c r="G141" s="527">
        <v>12.61</v>
      </c>
      <c r="H141" s="530">
        <v>10</v>
      </c>
      <c r="I141" s="527">
        <v>2</v>
      </c>
      <c r="J141" s="531">
        <f t="shared" si="31"/>
        <v>1.5860428231562254</v>
      </c>
      <c r="K141" s="527">
        <v>1</v>
      </c>
      <c r="L141" s="267">
        <f t="shared" si="32"/>
        <v>1.5860428231562254</v>
      </c>
      <c r="M141" s="433">
        <f t="shared" si="33"/>
        <v>317.20856463124505</v>
      </c>
      <c r="N141" s="434">
        <v>200</v>
      </c>
      <c r="O141" s="435">
        <f t="shared" si="34"/>
        <v>0.79302141157811268</v>
      </c>
      <c r="P141" s="22"/>
    </row>
    <row r="142" spans="1:16" ht="30">
      <c r="A142" s="523" t="s">
        <v>1664</v>
      </c>
      <c r="B142" s="522" t="s">
        <v>1667</v>
      </c>
      <c r="C142" s="523" t="s">
        <v>33</v>
      </c>
      <c r="D142" s="523">
        <v>116</v>
      </c>
      <c r="E142" s="523"/>
      <c r="F142" s="523" t="s">
        <v>10</v>
      </c>
      <c r="G142" s="527">
        <v>40</v>
      </c>
      <c r="H142" s="530">
        <v>10</v>
      </c>
      <c r="I142" s="527">
        <v>1</v>
      </c>
      <c r="J142" s="531">
        <f t="shared" si="31"/>
        <v>0.25</v>
      </c>
      <c r="K142" s="525">
        <f>3407/1000</f>
        <v>3.407</v>
      </c>
      <c r="L142" s="267">
        <f t="shared" si="32"/>
        <v>0.85175000000000001</v>
      </c>
      <c r="M142" s="433">
        <f t="shared" si="33"/>
        <v>170.35</v>
      </c>
      <c r="N142" s="434">
        <v>200</v>
      </c>
      <c r="O142" s="435">
        <f t="shared" si="34"/>
        <v>0.85175000000000001</v>
      </c>
      <c r="P142" s="22"/>
    </row>
    <row r="143" spans="1:16" ht="30">
      <c r="A143" s="13" t="s">
        <v>299</v>
      </c>
      <c r="B143" s="56" t="s">
        <v>300</v>
      </c>
      <c r="C143" s="13" t="s">
        <v>33</v>
      </c>
      <c r="D143" s="13">
        <v>119</v>
      </c>
      <c r="E143" s="13"/>
      <c r="F143" s="13" t="s">
        <v>96</v>
      </c>
      <c r="G143" s="442">
        <v>7.08</v>
      </c>
      <c r="H143" s="440">
        <v>10</v>
      </c>
      <c r="I143" s="28">
        <v>2</v>
      </c>
      <c r="J143" s="441">
        <f t="shared" si="31"/>
        <v>2.8248587570621471</v>
      </c>
      <c r="K143" s="28">
        <v>1</v>
      </c>
      <c r="L143" s="267">
        <f t="shared" si="32"/>
        <v>2.8248587570621471</v>
      </c>
      <c r="M143" s="433">
        <f t="shared" si="33"/>
        <v>564.9717514124294</v>
      </c>
      <c r="N143" s="434">
        <v>200</v>
      </c>
      <c r="O143" s="435">
        <f t="shared" si="34"/>
        <v>1.4124293785310735</v>
      </c>
      <c r="P143" s="22"/>
    </row>
    <row r="144" spans="1:16" ht="30">
      <c r="A144" s="13" t="s">
        <v>301</v>
      </c>
      <c r="B144" s="27" t="s">
        <v>97</v>
      </c>
      <c r="C144" s="13" t="s">
        <v>83</v>
      </c>
      <c r="D144" s="13">
        <v>119</v>
      </c>
      <c r="E144" s="13"/>
      <c r="F144" s="13" t="s">
        <v>12</v>
      </c>
      <c r="G144" s="442">
        <v>3.77</v>
      </c>
      <c r="H144" s="440">
        <v>10</v>
      </c>
      <c r="I144" s="28">
        <v>2</v>
      </c>
      <c r="J144" s="441">
        <f t="shared" si="31"/>
        <v>5.3050397877984086</v>
      </c>
      <c r="K144" s="28">
        <v>1</v>
      </c>
      <c r="L144" s="267">
        <f t="shared" si="32"/>
        <v>5.3050397877984086</v>
      </c>
      <c r="M144" s="433">
        <f t="shared" si="33"/>
        <v>1061.0079575596817</v>
      </c>
      <c r="N144" s="434">
        <v>200</v>
      </c>
      <c r="O144" s="435">
        <f t="shared" si="34"/>
        <v>2.6525198938992043</v>
      </c>
      <c r="P144" s="22"/>
    </row>
    <row r="145" spans="1:15" ht="15">
      <c r="A145" s="57" t="s">
        <v>530</v>
      </c>
      <c r="B145" s="269" t="s">
        <v>531</v>
      </c>
      <c r="C145" s="13" t="s">
        <v>33</v>
      </c>
      <c r="D145" s="13">
        <v>226</v>
      </c>
      <c r="E145" s="13"/>
      <c r="F145" s="13" t="s">
        <v>12</v>
      </c>
      <c r="G145" s="28">
        <v>10</v>
      </c>
      <c r="H145" s="440">
        <v>10</v>
      </c>
      <c r="I145" s="28">
        <v>1</v>
      </c>
      <c r="J145" s="441">
        <f t="shared" si="31"/>
        <v>1</v>
      </c>
      <c r="K145" s="442">
        <v>1</v>
      </c>
      <c r="L145" s="267">
        <f t="shared" si="32"/>
        <v>1</v>
      </c>
      <c r="M145" s="266">
        <f t="shared" si="33"/>
        <v>200</v>
      </c>
      <c r="N145" s="433">
        <v>200</v>
      </c>
      <c r="O145" s="435">
        <f t="shared" si="34"/>
        <v>1</v>
      </c>
    </row>
    <row r="146" spans="1:16" ht="15">
      <c r="A146" s="13" t="s">
        <v>290</v>
      </c>
      <c r="B146" s="27" t="s">
        <v>31</v>
      </c>
      <c r="C146" s="13" t="s">
        <v>14</v>
      </c>
      <c r="D146" s="13">
        <v>226</v>
      </c>
      <c r="E146" s="13"/>
      <c r="F146" s="13" t="s">
        <v>58</v>
      </c>
      <c r="G146" s="28">
        <v>61</v>
      </c>
      <c r="H146" s="440">
        <v>10</v>
      </c>
      <c r="I146" s="28">
        <v>1</v>
      </c>
      <c r="J146" s="441">
        <f t="shared" si="31"/>
        <v>0.16393442622950818</v>
      </c>
      <c r="K146" s="28">
        <v>9.40</v>
      </c>
      <c r="L146" s="267">
        <f t="shared" si="32"/>
        <v>1.540983606557377</v>
      </c>
      <c r="M146" s="433">
        <f t="shared" si="33"/>
        <v>308.19672131147541</v>
      </c>
      <c r="N146" s="434">
        <v>200</v>
      </c>
      <c r="O146" s="435">
        <f t="shared" si="34"/>
        <v>1.540983606557377</v>
      </c>
      <c r="P146" s="22"/>
    </row>
    <row r="147" spans="1:16" ht="15">
      <c r="A147" s="13" t="s">
        <v>302</v>
      </c>
      <c r="B147" s="27" t="s">
        <v>903</v>
      </c>
      <c r="C147" s="13" t="s">
        <v>523</v>
      </c>
      <c r="D147" s="13">
        <v>224</v>
      </c>
      <c r="E147" s="13"/>
      <c r="F147" s="13" t="s">
        <v>400</v>
      </c>
      <c r="G147" s="442">
        <v>50</v>
      </c>
      <c r="H147" s="440">
        <v>10</v>
      </c>
      <c r="I147" s="28">
        <v>2</v>
      </c>
      <c r="J147" s="441">
        <f t="shared" si="31"/>
        <v>0.40</v>
      </c>
      <c r="K147" s="28">
        <v>2</v>
      </c>
      <c r="L147" s="267">
        <f t="shared" si="32"/>
        <v>0.80</v>
      </c>
      <c r="M147" s="433">
        <f t="shared" si="33"/>
        <v>140.80000000000001</v>
      </c>
      <c r="N147" s="434">
        <v>176</v>
      </c>
      <c r="O147" s="435">
        <f t="shared" si="34"/>
        <v>0.40</v>
      </c>
      <c r="P147" s="22"/>
    </row>
    <row r="148" spans="1:16" ht="15">
      <c r="A148" s="13" t="s">
        <v>292</v>
      </c>
      <c r="B148" s="27" t="s">
        <v>21</v>
      </c>
      <c r="C148" s="13" t="s">
        <v>33</v>
      </c>
      <c r="D148" s="13">
        <v>219</v>
      </c>
      <c r="E148" s="13"/>
      <c r="F148" s="13" t="s">
        <v>12</v>
      </c>
      <c r="G148" s="569">
        <f>2.821*2</f>
        <v>5.6419999999999995</v>
      </c>
      <c r="H148" s="440">
        <v>10</v>
      </c>
      <c r="I148" s="28">
        <v>2</v>
      </c>
      <c r="J148" s="441">
        <f t="shared" si="31"/>
        <v>3.5448422545196743</v>
      </c>
      <c r="K148" s="28">
        <v>1</v>
      </c>
      <c r="L148" s="267">
        <f t="shared" si="32"/>
        <v>3.5448422545196743</v>
      </c>
      <c r="M148" s="433">
        <f t="shared" si="33"/>
        <v>588.44381425026597</v>
      </c>
      <c r="N148" s="434">
        <v>166</v>
      </c>
      <c r="O148" s="435">
        <f t="shared" si="34"/>
        <v>1.7724211272598371</v>
      </c>
      <c r="P148" s="22"/>
    </row>
    <row r="149" spans="1:16" ht="30">
      <c r="A149" s="13" t="s">
        <v>406</v>
      </c>
      <c r="B149" s="27" t="s">
        <v>407</v>
      </c>
      <c r="C149" s="13" t="s">
        <v>14</v>
      </c>
      <c r="D149" s="13">
        <v>226</v>
      </c>
      <c r="E149" s="13"/>
      <c r="F149" s="13" t="s">
        <v>12</v>
      </c>
      <c r="G149" s="442">
        <v>61</v>
      </c>
      <c r="H149" s="440">
        <v>10</v>
      </c>
      <c r="I149" s="28">
        <v>1</v>
      </c>
      <c r="J149" s="441">
        <f t="shared" si="31"/>
        <v>0.16393442622950818</v>
      </c>
      <c r="K149" s="28">
        <v>1.54</v>
      </c>
      <c r="L149" s="435">
        <f t="shared" si="32"/>
        <v>0.25245901639344259</v>
      </c>
      <c r="M149" s="266">
        <f t="shared" si="33"/>
        <v>50.491803278688522</v>
      </c>
      <c r="N149" s="433">
        <v>200</v>
      </c>
      <c r="O149" s="435">
        <f t="shared" si="34"/>
        <v>0.25245901639344259</v>
      </c>
      <c r="P149" s="22"/>
    </row>
    <row r="150" spans="1:16" ht="15">
      <c r="A150" s="13" t="s">
        <v>291</v>
      </c>
      <c r="B150" s="27" t="s">
        <v>101</v>
      </c>
      <c r="C150" s="13" t="s">
        <v>33</v>
      </c>
      <c r="D150" s="13">
        <v>219</v>
      </c>
      <c r="E150" s="13"/>
      <c r="F150" s="13" t="s">
        <v>12</v>
      </c>
      <c r="G150" s="442">
        <v>6.40</v>
      </c>
      <c r="H150" s="440">
        <v>10</v>
      </c>
      <c r="I150" s="28">
        <v>2</v>
      </c>
      <c r="J150" s="441">
        <f t="shared" si="31"/>
        <v>3.125</v>
      </c>
      <c r="K150" s="28">
        <v>1</v>
      </c>
      <c r="L150" s="267">
        <f t="shared" si="32"/>
        <v>3.125</v>
      </c>
      <c r="M150" s="433">
        <f t="shared" si="33"/>
        <v>625</v>
      </c>
      <c r="N150" s="434">
        <v>200</v>
      </c>
      <c r="O150" s="435">
        <f t="shared" si="34"/>
        <v>1.5625</v>
      </c>
      <c r="P150" s="22"/>
    </row>
    <row r="151" spans="1:16" ht="15">
      <c r="A151" s="13" t="s">
        <v>303</v>
      </c>
      <c r="B151" s="27" t="s">
        <v>304</v>
      </c>
      <c r="C151" s="13" t="s">
        <v>226</v>
      </c>
      <c r="D151" s="13">
        <v>302</v>
      </c>
      <c r="E151" s="13"/>
      <c r="F151" s="13" t="s">
        <v>103</v>
      </c>
      <c r="G151" s="432">
        <v>108</v>
      </c>
      <c r="H151" s="440">
        <v>10</v>
      </c>
      <c r="I151" s="28">
        <v>1</v>
      </c>
      <c r="J151" s="441">
        <f t="shared" si="31"/>
        <v>0.092592592592592587</v>
      </c>
      <c r="K151" s="28">
        <v>49</v>
      </c>
      <c r="L151" s="267">
        <f t="shared" si="32"/>
        <v>4.5370370370370372</v>
      </c>
      <c r="M151" s="433">
        <f t="shared" si="33"/>
        <v>798.51851851851859</v>
      </c>
      <c r="N151" s="434">
        <v>176</v>
      </c>
      <c r="O151" s="435">
        <f t="shared" si="34"/>
        <v>4.5370370370370372</v>
      </c>
      <c r="P151" s="22"/>
    </row>
    <row r="152" spans="1:16" ht="15">
      <c r="A152" s="13" t="s">
        <v>293</v>
      </c>
      <c r="B152" s="27" t="s">
        <v>102</v>
      </c>
      <c r="C152" s="13" t="s">
        <v>33</v>
      </c>
      <c r="D152" s="13">
        <v>219</v>
      </c>
      <c r="E152" s="13"/>
      <c r="F152" s="13" t="s">
        <v>103</v>
      </c>
      <c r="G152" s="28">
        <f>10*60/1</f>
        <v>600</v>
      </c>
      <c r="H152" s="440">
        <v>10</v>
      </c>
      <c r="I152" s="28">
        <v>1</v>
      </c>
      <c r="J152" s="441">
        <f t="shared" si="31"/>
        <v>0.016666666666666666</v>
      </c>
      <c r="K152" s="28">
        <v>49</v>
      </c>
      <c r="L152" s="267">
        <f t="shared" si="32"/>
        <v>0.81666666666666665</v>
      </c>
      <c r="M152" s="433">
        <f t="shared" si="33"/>
        <v>124.13333333333333</v>
      </c>
      <c r="N152" s="434">
        <v>152</v>
      </c>
      <c r="O152" s="435">
        <f t="shared" si="34"/>
        <v>0.81666666666666665</v>
      </c>
      <c r="P152" s="22"/>
    </row>
    <row r="153" spans="1:16" ht="15">
      <c r="A153" s="13" t="s">
        <v>305</v>
      </c>
      <c r="B153" s="27" t="s">
        <v>343</v>
      </c>
      <c r="C153" s="13" t="s">
        <v>14</v>
      </c>
      <c r="D153" s="13">
        <v>226</v>
      </c>
      <c r="E153" s="13"/>
      <c r="F153" s="13" t="s">
        <v>58</v>
      </c>
      <c r="G153" s="28">
        <v>55.20</v>
      </c>
      <c r="H153" s="440">
        <v>10</v>
      </c>
      <c r="I153" s="28">
        <v>1</v>
      </c>
      <c r="J153" s="441">
        <f t="shared" si="31"/>
        <v>0.18115942028985507</v>
      </c>
      <c r="K153" s="28">
        <v>1.50</v>
      </c>
      <c r="L153" s="435">
        <f t="shared" si="32"/>
        <v>0.27173913043478259</v>
      </c>
      <c r="M153" s="266">
        <f t="shared" si="33"/>
        <v>54.347826086956516</v>
      </c>
      <c r="N153" s="433">
        <v>200</v>
      </c>
      <c r="O153" s="435">
        <f t="shared" si="34"/>
        <v>0.27173913043478259</v>
      </c>
      <c r="P153" s="22"/>
    </row>
    <row r="154" spans="1:16" ht="30">
      <c r="A154" s="13" t="s">
        <v>306</v>
      </c>
      <c r="B154" s="27" t="s">
        <v>307</v>
      </c>
      <c r="C154" s="13" t="s">
        <v>14</v>
      </c>
      <c r="D154" s="13">
        <v>226</v>
      </c>
      <c r="E154" s="13"/>
      <c r="F154" s="13" t="s">
        <v>12</v>
      </c>
      <c r="G154" s="28">
        <v>6.50</v>
      </c>
      <c r="H154" s="440">
        <v>10</v>
      </c>
      <c r="I154" s="28">
        <v>1</v>
      </c>
      <c r="J154" s="441">
        <f t="shared" si="31"/>
        <v>1.5384615384615385</v>
      </c>
      <c r="K154" s="28">
        <v>1</v>
      </c>
      <c r="L154" s="435">
        <f t="shared" si="32"/>
        <v>1.5384615384615385</v>
      </c>
      <c r="M154" s="266">
        <f t="shared" si="33"/>
        <v>307.69230769230774</v>
      </c>
      <c r="N154" s="433">
        <v>200</v>
      </c>
      <c r="O154" s="435">
        <f t="shared" si="34"/>
        <v>1.5384615384615385</v>
      </c>
      <c r="P154" s="22"/>
    </row>
    <row r="155" spans="1:16" ht="15">
      <c r="A155" s="13" t="s">
        <v>296</v>
      </c>
      <c r="B155" s="56" t="s">
        <v>105</v>
      </c>
      <c r="C155" s="13" t="s">
        <v>33</v>
      </c>
      <c r="D155" s="13">
        <v>219</v>
      </c>
      <c r="E155" s="13"/>
      <c r="F155" s="13" t="s">
        <v>96</v>
      </c>
      <c r="G155" s="28">
        <v>11.10</v>
      </c>
      <c r="H155" s="440">
        <v>10</v>
      </c>
      <c r="I155" s="28">
        <v>2</v>
      </c>
      <c r="J155" s="441">
        <f t="shared" si="31"/>
        <v>1.8018018018018018</v>
      </c>
      <c r="K155" s="28">
        <v>1</v>
      </c>
      <c r="L155" s="267">
        <f t="shared" si="32"/>
        <v>1.8018018018018018</v>
      </c>
      <c r="M155" s="433">
        <f t="shared" si="33"/>
        <v>360.36036036036035</v>
      </c>
      <c r="N155" s="434">
        <v>200</v>
      </c>
      <c r="O155" s="435">
        <f t="shared" si="34"/>
        <v>0.90090090090090091</v>
      </c>
      <c r="P155" s="22"/>
    </row>
    <row r="156" spans="1:16" ht="15">
      <c r="A156" s="523" t="s">
        <v>1695</v>
      </c>
      <c r="B156" s="522" t="s">
        <v>1696</v>
      </c>
      <c r="C156" s="523" t="s">
        <v>33</v>
      </c>
      <c r="D156" s="523">
        <v>226</v>
      </c>
      <c r="E156" s="523"/>
      <c r="F156" s="523" t="s">
        <v>12</v>
      </c>
      <c r="G156" s="527">
        <v>20</v>
      </c>
      <c r="H156" s="530">
        <v>10</v>
      </c>
      <c r="I156" s="527">
        <v>1</v>
      </c>
      <c r="J156" s="531">
        <f t="shared" si="31"/>
        <v>0.50</v>
      </c>
      <c r="K156" s="527">
        <v>1</v>
      </c>
      <c r="L156" s="267">
        <f t="shared" si="32"/>
        <v>0.50</v>
      </c>
      <c r="M156" s="433">
        <f t="shared" si="33"/>
        <v>100</v>
      </c>
      <c r="N156" s="434">
        <v>200</v>
      </c>
      <c r="O156" s="435">
        <f t="shared" si="34"/>
        <v>0.50</v>
      </c>
      <c r="P156" s="22"/>
    </row>
    <row r="157" spans="1:16" ht="15">
      <c r="A157" s="13" t="s">
        <v>308</v>
      </c>
      <c r="B157" s="27" t="s">
        <v>309</v>
      </c>
      <c r="C157" s="13" t="s">
        <v>14</v>
      </c>
      <c r="D157" s="13">
        <v>226</v>
      </c>
      <c r="E157" s="13"/>
      <c r="F157" s="13" t="s">
        <v>58</v>
      </c>
      <c r="G157" s="442">
        <v>55</v>
      </c>
      <c r="H157" s="440">
        <v>10</v>
      </c>
      <c r="I157" s="28">
        <v>1</v>
      </c>
      <c r="J157" s="441">
        <f t="shared" si="31"/>
        <v>0.18181818181818182</v>
      </c>
      <c r="K157" s="28">
        <v>5.20</v>
      </c>
      <c r="L157" s="435">
        <f t="shared" si="32"/>
        <v>0.94545454545454555</v>
      </c>
      <c r="M157" s="266">
        <f t="shared" si="33"/>
        <v>143.70909090909092</v>
      </c>
      <c r="N157" s="433">
        <v>152</v>
      </c>
      <c r="O157" s="435">
        <f t="shared" si="34"/>
        <v>0.94545454545454555</v>
      </c>
      <c r="P157" s="22"/>
    </row>
    <row r="158" spans="1:16" ht="15">
      <c r="A158" s="13" t="s">
        <v>294</v>
      </c>
      <c r="B158" s="27" t="s">
        <v>521</v>
      </c>
      <c r="C158" s="13" t="s">
        <v>14</v>
      </c>
      <c r="D158" s="13">
        <v>226</v>
      </c>
      <c r="E158" s="13"/>
      <c r="F158" s="13" t="s">
        <v>58</v>
      </c>
      <c r="G158" s="28">
        <v>23.16</v>
      </c>
      <c r="H158" s="440">
        <v>10</v>
      </c>
      <c r="I158" s="28">
        <v>1</v>
      </c>
      <c r="J158" s="441">
        <f t="shared" si="31"/>
        <v>0.43177892918825561</v>
      </c>
      <c r="K158" s="28">
        <v>7.05</v>
      </c>
      <c r="L158" s="267">
        <f t="shared" si="32"/>
        <v>3.0440414507772018</v>
      </c>
      <c r="M158" s="433">
        <f t="shared" si="33"/>
        <v>608.80829015544032</v>
      </c>
      <c r="N158" s="434">
        <v>200</v>
      </c>
      <c r="O158" s="435">
        <f t="shared" si="34"/>
        <v>3.0440414507772018</v>
      </c>
      <c r="P158" s="22"/>
    </row>
    <row r="159" spans="1:16" ht="15">
      <c r="A159" s="13" t="s">
        <v>1639</v>
      </c>
      <c r="B159" s="27" t="s">
        <v>1640</v>
      </c>
      <c r="C159" s="13" t="s">
        <v>33</v>
      </c>
      <c r="D159" s="13" t="s">
        <v>1333</v>
      </c>
      <c r="E159" s="13"/>
      <c r="F159" s="13" t="s">
        <v>12</v>
      </c>
      <c r="G159" s="442">
        <v>30</v>
      </c>
      <c r="H159" s="440">
        <v>10</v>
      </c>
      <c r="I159" s="28">
        <v>2</v>
      </c>
      <c r="J159" s="441">
        <f t="shared" si="31"/>
        <v>0.66666666666666663</v>
      </c>
      <c r="K159" s="28">
        <v>1</v>
      </c>
      <c r="L159" s="267">
        <f t="shared" si="32"/>
        <v>0.66666666666666663</v>
      </c>
      <c r="M159" s="433">
        <f t="shared" si="33"/>
        <v>101.33333333333333</v>
      </c>
      <c r="N159" s="434">
        <v>152</v>
      </c>
      <c r="O159" s="435">
        <f t="shared" si="34"/>
        <v>0.33333333333333331</v>
      </c>
      <c r="P159" s="21"/>
    </row>
    <row r="160" spans="1:16" ht="15">
      <c r="A160" s="13" t="s">
        <v>295</v>
      </c>
      <c r="B160" s="27" t="s">
        <v>104</v>
      </c>
      <c r="C160" s="13" t="s">
        <v>33</v>
      </c>
      <c r="D160" s="13" t="s">
        <v>1333</v>
      </c>
      <c r="E160" s="13"/>
      <c r="F160" s="13" t="s">
        <v>12</v>
      </c>
      <c r="G160" s="28">
        <v>8.65</v>
      </c>
      <c r="H160" s="440">
        <v>10</v>
      </c>
      <c r="I160" s="28">
        <v>2</v>
      </c>
      <c r="J160" s="441">
        <f t="shared" si="31"/>
        <v>2.3121387283236992</v>
      </c>
      <c r="K160" s="28">
        <v>1</v>
      </c>
      <c r="L160" s="267">
        <f t="shared" si="32"/>
        <v>2.3121387283236992</v>
      </c>
      <c r="M160" s="433">
        <f t="shared" si="33"/>
        <v>351.44508670520224</v>
      </c>
      <c r="N160" s="434">
        <v>152</v>
      </c>
      <c r="O160" s="435">
        <f t="shared" si="34"/>
        <v>1.1560693641618496</v>
      </c>
      <c r="P160" s="21"/>
    </row>
    <row r="161" spans="1:15" s="22" customFormat="1" ht="15">
      <c r="A161" s="443"/>
      <c r="B161" s="495" t="s">
        <v>15</v>
      </c>
      <c r="C161" s="443"/>
      <c r="D161" s="443"/>
      <c r="E161" s="443"/>
      <c r="F161" s="444"/>
      <c r="G161" s="443"/>
      <c r="H161" s="445"/>
      <c r="I161" s="443"/>
      <c r="J161" s="446"/>
      <c r="K161" s="443"/>
      <c r="L161" s="447">
        <f>SUM(L6:L160)</f>
        <v>214.36379896359472</v>
      </c>
      <c r="M161" s="455">
        <f>M18+M49+M68+M81+M92+M139+M88+M5</f>
        <v>42217.592794443823</v>
      </c>
      <c r="N161" s="110"/>
      <c r="O161" s="454">
        <f>O18+O49+O68+O81+O92+O139+O88+O5</f>
        <v>150.52517722562882</v>
      </c>
    </row>
    <row r="162" spans="12:15" ht="15">
      <c r="L162" s="448" t="s">
        <v>16</v>
      </c>
      <c r="O162" s="448" t="s">
        <v>17</v>
      </c>
    </row>
    <row r="163" spans="6:15" ht="15">
      <c r="F163" s="107"/>
      <c r="J163" s="450"/>
      <c r="K163" s="451" t="s">
        <v>18</v>
      </c>
      <c r="L163" s="452">
        <f>L161/G2</f>
        <v>124.19687077844422</v>
      </c>
      <c r="M163" s="450" t="s">
        <v>19</v>
      </c>
      <c r="N163" s="450"/>
      <c r="O163" s="450"/>
    </row>
    <row r="164" spans="6:6" ht="15">
      <c r="F164" s="107"/>
    </row>
    <row r="165" spans="2:8" ht="15">
      <c r="B165" s="493" t="s">
        <v>858</v>
      </c>
      <c r="C165" s="449"/>
      <c r="F165" s="107"/>
      <c r="H165" s="268"/>
    </row>
    <row r="166" spans="6:6" ht="15">
      <c r="F166" s="107"/>
    </row>
    <row r="167" spans="2:3" ht="15">
      <c r="B167" s="493" t="s">
        <v>848</v>
      </c>
      <c r="C167" s="449"/>
    </row>
    <row r="169" spans="2:3" ht="15">
      <c r="B169" s="493" t="s">
        <v>849</v>
      </c>
      <c r="C169" s="449"/>
    </row>
    <row r="172" ht="15.75"/>
    <row r="173" spans="1:8" ht="15" hidden="1">
      <c r="A173" s="481" t="s">
        <v>328</v>
      </c>
      <c r="B173" s="496" t="s">
        <v>329</v>
      </c>
      <c r="C173" s="481" t="s">
        <v>330</v>
      </c>
      <c r="D173" s="481" t="s">
        <v>331</v>
      </c>
      <c r="E173" s="481" t="s">
        <v>332</v>
      </c>
      <c r="F173" s="481" t="s">
        <v>333</v>
      </c>
      <c r="G173" s="427"/>
      <c r="H173" s="268"/>
    </row>
    <row r="174" spans="1:8" ht="75" hidden="1">
      <c r="A174" s="482">
        <v>1</v>
      </c>
      <c r="B174" s="483" t="s">
        <v>1283</v>
      </c>
      <c r="C174" s="482">
        <v>600</v>
      </c>
      <c r="D174" s="482">
        <v>400</v>
      </c>
      <c r="E174" s="482" t="s">
        <v>954</v>
      </c>
      <c r="F174" s="484">
        <v>44602</v>
      </c>
      <c r="G174" s="427"/>
      <c r="H174" s="268"/>
    </row>
    <row r="175" spans="1:8" ht="30" hidden="1">
      <c r="A175" s="482">
        <v>2</v>
      </c>
      <c r="B175" s="483" t="s">
        <v>1284</v>
      </c>
      <c r="C175" s="485"/>
      <c r="D175" s="485"/>
      <c r="E175" s="482" t="s">
        <v>954</v>
      </c>
      <c r="F175" s="484">
        <v>44602</v>
      </c>
      <c r="G175" s="427"/>
      <c r="H175" s="268"/>
    </row>
    <row r="176" spans="1:6" ht="30" hidden="1">
      <c r="A176" s="482">
        <v>3</v>
      </c>
      <c r="B176" s="483" t="s">
        <v>1296</v>
      </c>
      <c r="C176" s="485"/>
      <c r="D176" s="485"/>
      <c r="E176" s="482" t="s">
        <v>954</v>
      </c>
      <c r="F176" s="484">
        <v>44634</v>
      </c>
    </row>
    <row r="177" spans="1:6" ht="30" hidden="1">
      <c r="A177" s="482">
        <v>4</v>
      </c>
      <c r="B177" s="483" t="s">
        <v>1410</v>
      </c>
      <c r="C177" s="485"/>
      <c r="D177" s="485"/>
      <c r="E177" s="482" t="s">
        <v>954</v>
      </c>
      <c r="F177" s="484">
        <v>44634</v>
      </c>
    </row>
    <row r="178" spans="1:6" ht="30" hidden="1">
      <c r="A178" s="482">
        <v>5</v>
      </c>
      <c r="B178" s="483" t="s">
        <v>1298</v>
      </c>
      <c r="C178" s="485"/>
      <c r="D178" s="485"/>
      <c r="E178" s="482" t="s">
        <v>954</v>
      </c>
      <c r="F178" s="484">
        <v>44634</v>
      </c>
    </row>
    <row r="179" spans="1:6" ht="30" hidden="1">
      <c r="A179" s="482">
        <v>6</v>
      </c>
      <c r="B179" s="483" t="s">
        <v>1302</v>
      </c>
      <c r="C179" s="485"/>
      <c r="D179" s="485"/>
      <c r="E179" s="482" t="s">
        <v>954</v>
      </c>
      <c r="F179" s="484">
        <v>44634</v>
      </c>
    </row>
    <row r="180" spans="1:6" ht="30" hidden="1">
      <c r="A180" s="482">
        <v>7</v>
      </c>
      <c r="B180" s="483" t="s">
        <v>1303</v>
      </c>
      <c r="C180" s="485"/>
      <c r="D180" s="485"/>
      <c r="E180" s="482" t="s">
        <v>954</v>
      </c>
      <c r="F180" s="484">
        <v>44634</v>
      </c>
    </row>
    <row r="181" spans="1:6" ht="30" hidden="1">
      <c r="A181" s="482">
        <v>8</v>
      </c>
      <c r="B181" s="483" t="s">
        <v>1304</v>
      </c>
      <c r="C181" s="485"/>
      <c r="D181" s="485"/>
      <c r="E181" s="482" t="s">
        <v>954</v>
      </c>
      <c r="F181" s="484">
        <v>44634</v>
      </c>
    </row>
    <row r="182" spans="1:6" ht="30" hidden="1">
      <c r="A182" s="482">
        <v>9</v>
      </c>
      <c r="B182" s="483" t="s">
        <v>1305</v>
      </c>
      <c r="C182" s="485"/>
      <c r="D182" s="485"/>
      <c r="E182" s="482" t="s">
        <v>954</v>
      </c>
      <c r="F182" s="484">
        <v>44634</v>
      </c>
    </row>
    <row r="183" spans="1:6" ht="30" hidden="1">
      <c r="A183" s="482">
        <v>10</v>
      </c>
      <c r="B183" s="483" t="s">
        <v>1306</v>
      </c>
      <c r="C183" s="485"/>
      <c r="D183" s="485"/>
      <c r="E183" s="482" t="s">
        <v>954</v>
      </c>
      <c r="F183" s="484">
        <v>44634</v>
      </c>
    </row>
    <row r="184" spans="1:6" ht="30" hidden="1">
      <c r="A184" s="482">
        <v>11</v>
      </c>
      <c r="B184" s="483" t="s">
        <v>1307</v>
      </c>
      <c r="C184" s="485"/>
      <c r="D184" s="485"/>
      <c r="E184" s="482" t="s">
        <v>954</v>
      </c>
      <c r="F184" s="484">
        <v>44634</v>
      </c>
    </row>
    <row r="185" spans="1:6" ht="45" hidden="1">
      <c r="A185" s="482">
        <v>12</v>
      </c>
      <c r="B185" s="483" t="s">
        <v>1408</v>
      </c>
      <c r="C185" s="485"/>
      <c r="D185" s="485"/>
      <c r="E185" s="482" t="s">
        <v>954</v>
      </c>
      <c r="F185" s="484">
        <v>44634</v>
      </c>
    </row>
    <row r="186" spans="1:6" ht="45" hidden="1">
      <c r="A186" s="482">
        <v>13</v>
      </c>
      <c r="B186" s="483" t="s">
        <v>1419</v>
      </c>
      <c r="C186" s="485"/>
      <c r="D186" s="485"/>
      <c r="E186" s="482" t="s">
        <v>954</v>
      </c>
      <c r="F186" s="484">
        <v>44634</v>
      </c>
    </row>
    <row r="187" spans="1:6" ht="45" hidden="1">
      <c r="A187" s="482">
        <v>14</v>
      </c>
      <c r="B187" s="483" t="s">
        <v>1571</v>
      </c>
      <c r="C187" s="485"/>
      <c r="D187" s="485"/>
      <c r="E187" s="482" t="s">
        <v>1334</v>
      </c>
      <c r="F187" s="484">
        <v>44656</v>
      </c>
    </row>
    <row r="188" spans="1:6" ht="45" hidden="1">
      <c r="A188" s="482">
        <v>15</v>
      </c>
      <c r="B188" s="483" t="s">
        <v>1572</v>
      </c>
      <c r="C188" s="485"/>
      <c r="D188" s="485"/>
      <c r="E188" s="482" t="s">
        <v>1334</v>
      </c>
      <c r="F188" s="484">
        <v>44656</v>
      </c>
    </row>
    <row r="189" spans="1:6" ht="45" hidden="1">
      <c r="A189" s="482">
        <v>16</v>
      </c>
      <c r="B189" s="483" t="s">
        <v>1573</v>
      </c>
      <c r="C189" s="485"/>
      <c r="D189" s="485"/>
      <c r="E189" s="482" t="s">
        <v>1334</v>
      </c>
      <c r="F189" s="484">
        <v>44656</v>
      </c>
    </row>
    <row r="190" spans="1:6" ht="45" hidden="1">
      <c r="A190" s="482">
        <v>17</v>
      </c>
      <c r="B190" s="483" t="s">
        <v>1574</v>
      </c>
      <c r="C190" s="485"/>
      <c r="D190" s="485"/>
      <c r="E190" s="482" t="s">
        <v>1334</v>
      </c>
      <c r="F190" s="484">
        <v>44656</v>
      </c>
    </row>
    <row r="191" spans="1:6" ht="60" hidden="1">
      <c r="A191" s="482">
        <v>18</v>
      </c>
      <c r="B191" s="483" t="s">
        <v>1575</v>
      </c>
      <c r="C191" s="485"/>
      <c r="D191" s="485"/>
      <c r="E191" s="482" t="s">
        <v>1334</v>
      </c>
      <c r="F191" s="484">
        <v>44656</v>
      </c>
    </row>
    <row r="192" spans="1:6" ht="60" hidden="1">
      <c r="A192" s="482">
        <v>19</v>
      </c>
      <c r="B192" s="483" t="s">
        <v>1576</v>
      </c>
      <c r="C192" s="485"/>
      <c r="D192" s="485"/>
      <c r="E192" s="482" t="s">
        <v>1334</v>
      </c>
      <c r="F192" s="484">
        <v>44656</v>
      </c>
    </row>
    <row r="193" spans="1:6" ht="60" hidden="1">
      <c r="A193" s="482">
        <v>20</v>
      </c>
      <c r="B193" s="483" t="s">
        <v>1577</v>
      </c>
      <c r="C193" s="485"/>
      <c r="D193" s="485"/>
      <c r="E193" s="482" t="s">
        <v>1334</v>
      </c>
      <c r="F193" s="484">
        <v>44656</v>
      </c>
    </row>
    <row r="194" spans="1:6" ht="60.75" hidden="1" thickBot="1">
      <c r="A194" s="482">
        <v>21</v>
      </c>
      <c r="B194" s="483" t="s">
        <v>1578</v>
      </c>
      <c r="C194" s="485"/>
      <c r="D194" s="485"/>
      <c r="E194" s="482" t="s">
        <v>1334</v>
      </c>
      <c r="F194" s="484">
        <v>44656</v>
      </c>
    </row>
    <row r="195" spans="1:15" ht="15">
      <c r="A195" s="500" t="s">
        <v>328</v>
      </c>
      <c r="B195" s="631" t="s">
        <v>1593</v>
      </c>
      <c r="C195" s="632"/>
      <c r="D195" s="633"/>
      <c r="E195" s="501" t="s">
        <v>332</v>
      </c>
      <c r="F195" s="502" t="s">
        <v>333</v>
      </c>
      <c r="G195" s="427"/>
      <c r="H195" s="268"/>
      <c r="O195" s="503"/>
    </row>
    <row r="196" spans="1:15" ht="15.75" thickBot="1">
      <c r="A196" s="504">
        <v>1</v>
      </c>
      <c r="B196" s="634" t="s">
        <v>1605</v>
      </c>
      <c r="C196" s="635"/>
      <c r="D196" s="636"/>
      <c r="E196" s="505" t="s">
        <v>1334</v>
      </c>
      <c r="F196" s="506">
        <v>44677</v>
      </c>
      <c r="G196" s="427"/>
      <c r="H196" s="268"/>
      <c r="O196" s="503"/>
    </row>
    <row r="197" spans="1:16" ht="15">
      <c r="A197" s="13" t="s">
        <v>1639</v>
      </c>
      <c r="B197" s="27" t="s">
        <v>1640</v>
      </c>
      <c r="C197" s="13" t="s">
        <v>33</v>
      </c>
      <c r="D197" s="13" t="s">
        <v>1333</v>
      </c>
      <c r="E197" s="13"/>
      <c r="F197" s="13" t="s">
        <v>12</v>
      </c>
      <c r="G197" s="442">
        <v>30</v>
      </c>
      <c r="H197" s="440">
        <v>10</v>
      </c>
      <c r="I197" s="28">
        <v>2</v>
      </c>
      <c r="J197" s="441">
        <f t="shared" si="35" ref="J197">H197/G197*I197</f>
        <v>0.66666666666666663</v>
      </c>
      <c r="K197" s="28">
        <v>1</v>
      </c>
      <c r="L197" s="267">
        <f t="shared" si="36" ref="L197">J197*K197</f>
        <v>0.66666666666666663</v>
      </c>
      <c r="M197" s="433">
        <f t="shared" si="37" ref="M197">L197*N197</f>
        <v>101.33333333333333</v>
      </c>
      <c r="N197" s="434">
        <v>152</v>
      </c>
      <c r="O197" s="435">
        <f t="shared" si="38" ref="O197">J197/I197*K197</f>
        <v>0.33333333333333331</v>
      </c>
      <c r="P197" s="21"/>
    </row>
    <row r="198" ht="15.75" thickBot="1"/>
    <row r="199" spans="1:7" ht="15">
      <c r="A199" s="500" t="s">
        <v>328</v>
      </c>
      <c r="B199" s="631" t="s">
        <v>1593</v>
      </c>
      <c r="C199" s="632"/>
      <c r="D199" s="633"/>
      <c r="E199" s="501" t="s">
        <v>332</v>
      </c>
      <c r="F199" s="502" t="s">
        <v>333</v>
      </c>
      <c r="G199" s="68"/>
    </row>
    <row r="200" spans="1:7" ht="15.75" thickBot="1">
      <c r="A200" s="504">
        <v>2</v>
      </c>
      <c r="B200" s="634" t="s">
        <v>1605</v>
      </c>
      <c r="C200" s="635"/>
      <c r="D200" s="636"/>
      <c r="E200" s="505" t="s">
        <v>1682</v>
      </c>
      <c r="F200" s="506">
        <v>44987</v>
      </c>
      <c r="G200" s="68"/>
    </row>
    <row r="201" spans="1:15" ht="30">
      <c r="A201" s="529" t="s">
        <v>1662</v>
      </c>
      <c r="B201" s="522" t="s">
        <v>1661</v>
      </c>
      <c r="C201" s="523" t="s">
        <v>9</v>
      </c>
      <c r="D201" s="523">
        <v>109</v>
      </c>
      <c r="E201" s="523"/>
      <c r="F201" s="524" t="s">
        <v>10</v>
      </c>
      <c r="G201" s="525">
        <v>33</v>
      </c>
      <c r="H201" s="526">
        <v>10</v>
      </c>
      <c r="I201" s="527">
        <v>1</v>
      </c>
      <c r="J201" s="528">
        <f t="shared" si="39" ref="J201:J205">H201/G201*I201</f>
        <v>0.30303030303030304</v>
      </c>
      <c r="K201" s="525">
        <f>(350*2)/1000</f>
        <v>0.70</v>
      </c>
      <c r="L201" s="267">
        <f t="shared" si="40" ref="L201:L205">J201*K201</f>
        <v>0.21212121212121213</v>
      </c>
      <c r="M201" s="266">
        <f t="shared" si="41" ref="M201:M205">L201*N201</f>
        <v>32.242424242424242</v>
      </c>
      <c r="N201" s="433">
        <v>152</v>
      </c>
      <c r="O201" s="267">
        <f t="shared" si="42" ref="O201:O205">J201/I201*K201</f>
        <v>0.21212121212121213</v>
      </c>
    </row>
    <row r="202" spans="1:15" ht="30">
      <c r="A202" s="523" t="s">
        <v>1668</v>
      </c>
      <c r="B202" s="522" t="s">
        <v>1670</v>
      </c>
      <c r="C202" s="523" t="s">
        <v>33</v>
      </c>
      <c r="D202" s="523">
        <v>116</v>
      </c>
      <c r="E202" s="523"/>
      <c r="F202" s="523" t="s">
        <v>1666</v>
      </c>
      <c r="G202" s="527">
        <v>12.97</v>
      </c>
      <c r="H202" s="530">
        <v>10</v>
      </c>
      <c r="I202" s="527">
        <v>2</v>
      </c>
      <c r="J202" s="531">
        <f t="shared" si="39"/>
        <v>1.5420200462606013</v>
      </c>
      <c r="K202" s="527">
        <v>1</v>
      </c>
      <c r="L202" s="267">
        <f t="shared" si="40"/>
        <v>1.5420200462606013</v>
      </c>
      <c r="M202" s="433">
        <f t="shared" si="41"/>
        <v>308.40400925212026</v>
      </c>
      <c r="N202" s="434">
        <v>200</v>
      </c>
      <c r="O202" s="435">
        <f t="shared" si="42"/>
        <v>0.77101002313030065</v>
      </c>
    </row>
    <row r="203" spans="1:15" ht="30">
      <c r="A203" s="523" t="s">
        <v>1669</v>
      </c>
      <c r="B203" s="522" t="s">
        <v>1671</v>
      </c>
      <c r="C203" s="523" t="s">
        <v>33</v>
      </c>
      <c r="D203" s="523">
        <v>116</v>
      </c>
      <c r="E203" s="523"/>
      <c r="F203" s="523" t="s">
        <v>10</v>
      </c>
      <c r="G203" s="527">
        <v>40</v>
      </c>
      <c r="H203" s="530">
        <v>10</v>
      </c>
      <c r="I203" s="527">
        <v>1</v>
      </c>
      <c r="J203" s="531">
        <f t="shared" si="39"/>
        <v>0.25</v>
      </c>
      <c r="K203" s="525">
        <f>3423/1000</f>
        <v>3.423</v>
      </c>
      <c r="L203" s="267">
        <f t="shared" si="40"/>
        <v>0.85575000000000001</v>
      </c>
      <c r="M203" s="433">
        <f t="shared" si="41"/>
        <v>171.15</v>
      </c>
      <c r="N203" s="434">
        <v>200</v>
      </c>
      <c r="O203" s="435">
        <f t="shared" si="42"/>
        <v>0.85575000000000001</v>
      </c>
    </row>
    <row r="204" spans="1:15" ht="30">
      <c r="A204" s="523" t="s">
        <v>1663</v>
      </c>
      <c r="B204" s="522" t="s">
        <v>1665</v>
      </c>
      <c r="C204" s="523" t="s">
        <v>33</v>
      </c>
      <c r="D204" s="523">
        <v>116</v>
      </c>
      <c r="E204" s="523"/>
      <c r="F204" s="523" t="s">
        <v>1666</v>
      </c>
      <c r="G204" s="527">
        <v>12.61</v>
      </c>
      <c r="H204" s="530">
        <v>10</v>
      </c>
      <c r="I204" s="527">
        <v>2</v>
      </c>
      <c r="J204" s="531">
        <f t="shared" si="39"/>
        <v>1.5860428231562254</v>
      </c>
      <c r="K204" s="527">
        <v>1</v>
      </c>
      <c r="L204" s="267">
        <f t="shared" si="40"/>
        <v>1.5860428231562254</v>
      </c>
      <c r="M204" s="433">
        <f t="shared" si="41"/>
        <v>317.20856463124505</v>
      </c>
      <c r="N204" s="434">
        <v>200</v>
      </c>
      <c r="O204" s="435">
        <f t="shared" si="42"/>
        <v>0.79302141157811268</v>
      </c>
    </row>
    <row r="205" spans="1:15" ht="30">
      <c r="A205" s="523" t="s">
        <v>1664</v>
      </c>
      <c r="B205" s="522" t="s">
        <v>1667</v>
      </c>
      <c r="C205" s="523" t="s">
        <v>33</v>
      </c>
      <c r="D205" s="523">
        <v>116</v>
      </c>
      <c r="E205" s="523"/>
      <c r="F205" s="523" t="s">
        <v>10</v>
      </c>
      <c r="G205" s="527">
        <v>40</v>
      </c>
      <c r="H205" s="530">
        <v>10</v>
      </c>
      <c r="I205" s="527">
        <v>1</v>
      </c>
      <c r="J205" s="531">
        <f t="shared" si="39"/>
        <v>0.25</v>
      </c>
      <c r="K205" s="525">
        <f>3407/1000</f>
        <v>3.407</v>
      </c>
      <c r="L205" s="267">
        <f t="shared" si="40"/>
        <v>0.85175000000000001</v>
      </c>
      <c r="M205" s="433">
        <f t="shared" si="41"/>
        <v>170.35</v>
      </c>
      <c r="N205" s="434">
        <v>200</v>
      </c>
      <c r="O205" s="435">
        <f t="shared" si="42"/>
        <v>0.85175000000000001</v>
      </c>
    </row>
    <row r="206" ht="15.75" thickBot="1"/>
    <row r="207" spans="1:6" ht="15">
      <c r="A207" s="500" t="s">
        <v>328</v>
      </c>
      <c r="B207" s="631" t="s">
        <v>1593</v>
      </c>
      <c r="C207" s="632"/>
      <c r="D207" s="633"/>
      <c r="E207" s="501" t="s">
        <v>332</v>
      </c>
      <c r="F207" s="502" t="s">
        <v>333</v>
      </c>
    </row>
    <row r="208" spans="1:6" ht="15.75" thickBot="1">
      <c r="A208" s="504">
        <v>3</v>
      </c>
      <c r="B208" s="634" t="s">
        <v>1605</v>
      </c>
      <c r="C208" s="635"/>
      <c r="D208" s="636"/>
      <c r="E208" s="505" t="s">
        <v>1682</v>
      </c>
      <c r="F208" s="506">
        <v>45055</v>
      </c>
    </row>
    <row r="209" spans="1:15" ht="15">
      <c r="A209" s="523" t="s">
        <v>1695</v>
      </c>
      <c r="B209" s="522" t="s">
        <v>1696</v>
      </c>
      <c r="C209" s="523" t="s">
        <v>33</v>
      </c>
      <c r="D209" s="523">
        <v>226</v>
      </c>
      <c r="E209" s="523"/>
      <c r="F209" s="523" t="s">
        <v>12</v>
      </c>
      <c r="G209" s="527">
        <v>20</v>
      </c>
      <c r="H209" s="530">
        <v>10</v>
      </c>
      <c r="I209" s="527">
        <v>1</v>
      </c>
      <c r="J209" s="531">
        <f t="shared" si="43" ref="J209">H209/G209*I209</f>
        <v>0.50</v>
      </c>
      <c r="K209" s="527">
        <v>1</v>
      </c>
      <c r="L209" s="267">
        <f t="shared" si="44" ref="L209">J209*K209</f>
        <v>0.50</v>
      </c>
      <c r="M209" s="433">
        <f t="shared" si="45" ref="M209">L209*N209</f>
        <v>100</v>
      </c>
      <c r="N209" s="434">
        <v>200</v>
      </c>
      <c r="O209" s="435">
        <f t="shared" si="46" ref="O209">J209/I209*K209</f>
        <v>0.50</v>
      </c>
    </row>
    <row r="210" ht="15.75" thickBot="1"/>
    <row r="211" spans="1:6" ht="15">
      <c r="A211" s="500" t="s">
        <v>328</v>
      </c>
      <c r="B211" s="631" t="s">
        <v>1593</v>
      </c>
      <c r="C211" s="632"/>
      <c r="D211" s="633"/>
      <c r="E211" s="501" t="s">
        <v>332</v>
      </c>
      <c r="F211" s="502" t="s">
        <v>333</v>
      </c>
    </row>
    <row r="212" spans="1:6" ht="15.75" thickBot="1">
      <c r="A212" s="504">
        <v>4</v>
      </c>
      <c r="B212" s="634" t="s">
        <v>1657</v>
      </c>
      <c r="C212" s="635"/>
      <c r="D212" s="636"/>
      <c r="E212" s="505" t="s">
        <v>1697</v>
      </c>
      <c r="F212" s="506">
        <v>45142</v>
      </c>
    </row>
    <row r="213" spans="1:16" ht="15">
      <c r="A213" s="13" t="s">
        <v>292</v>
      </c>
      <c r="B213" s="27" t="s">
        <v>21</v>
      </c>
      <c r="C213" s="13" t="s">
        <v>33</v>
      </c>
      <c r="D213" s="13">
        <v>219</v>
      </c>
      <c r="E213" s="13"/>
      <c r="F213" s="13" t="s">
        <v>12</v>
      </c>
      <c r="G213" s="436">
        <v>2.8210000000000002</v>
      </c>
      <c r="H213" s="440">
        <v>10</v>
      </c>
      <c r="I213" s="28">
        <v>2</v>
      </c>
      <c r="J213" s="441">
        <f t="shared" si="47" ref="J213:J214">H213/G213*I213</f>
        <v>7.0896845090393477</v>
      </c>
      <c r="K213" s="28">
        <v>1</v>
      </c>
      <c r="L213" s="267">
        <f t="shared" si="48" ref="L213:L214">J213*K213</f>
        <v>7.0896845090393477</v>
      </c>
      <c r="M213" s="433">
        <f t="shared" si="49" ref="M213:M214">L213*N213</f>
        <v>1176.8876285005317</v>
      </c>
      <c r="N213" s="434">
        <v>166</v>
      </c>
      <c r="O213" s="435">
        <f t="shared" si="50" ref="O213:O214">J213/I213*K213</f>
        <v>3.5448422545196738</v>
      </c>
      <c r="P213" s="22"/>
    </row>
    <row r="214" spans="1:16" ht="15">
      <c r="A214" s="13" t="s">
        <v>292</v>
      </c>
      <c r="B214" s="27" t="s">
        <v>21</v>
      </c>
      <c r="C214" s="13" t="s">
        <v>33</v>
      </c>
      <c r="D214" s="13">
        <v>219</v>
      </c>
      <c r="E214" s="13"/>
      <c r="F214" s="13" t="s">
        <v>12</v>
      </c>
      <c r="G214" s="569">
        <f t="shared" si="51" ref="G214">2.821*2</f>
        <v>5.6419999999999995</v>
      </c>
      <c r="H214" s="440">
        <v>10</v>
      </c>
      <c r="I214" s="28">
        <v>2</v>
      </c>
      <c r="J214" s="441">
        <f t="shared" si="47"/>
        <v>3.5448422545196743</v>
      </c>
      <c r="K214" s="28">
        <v>1</v>
      </c>
      <c r="L214" s="267">
        <f t="shared" si="48"/>
        <v>3.5448422545196743</v>
      </c>
      <c r="M214" s="433">
        <f t="shared" si="49"/>
        <v>588.44381425026597</v>
      </c>
      <c r="N214" s="434">
        <v>166</v>
      </c>
      <c r="O214" s="435">
        <f t="shared" si="50"/>
        <v>1.7724211272598371</v>
      </c>
      <c r="P214" s="22"/>
    </row>
  </sheetData>
  <autoFilter ref="A4:P163"/>
  <mergeCells count="52">
    <mergeCell ref="E25:E26"/>
    <mergeCell ref="B60:B61"/>
    <mergeCell ref="A60:A61"/>
    <mergeCell ref="E60:E61"/>
    <mergeCell ref="A33:A34"/>
    <mergeCell ref="B33:B34"/>
    <mergeCell ref="E33:E34"/>
    <mergeCell ref="A35:A37"/>
    <mergeCell ref="B35:B37"/>
    <mergeCell ref="E35:E37"/>
    <mergeCell ref="A39:A40"/>
    <mergeCell ref="B49:K49"/>
    <mergeCell ref="A50:A55"/>
    <mergeCell ref="B58:B59"/>
    <mergeCell ref="E58:E59"/>
    <mergeCell ref="B5:K5"/>
    <mergeCell ref="B18:K18"/>
    <mergeCell ref="B92:K92"/>
    <mergeCell ref="B39:B40"/>
    <mergeCell ref="A112:A113"/>
    <mergeCell ref="B112:B113"/>
    <mergeCell ref="B25:B26"/>
    <mergeCell ref="A25:A26"/>
    <mergeCell ref="A69:A71"/>
    <mergeCell ref="B69:B71"/>
    <mergeCell ref="B81:K81"/>
    <mergeCell ref="B88:K88"/>
    <mergeCell ref="A99:A100"/>
    <mergeCell ref="B99:B100"/>
    <mergeCell ref="B50:B55"/>
    <mergeCell ref="A58:A59"/>
    <mergeCell ref="A19:A21"/>
    <mergeCell ref="B19:B21"/>
    <mergeCell ref="A23:A24"/>
    <mergeCell ref="B23:B24"/>
    <mergeCell ref="E23:E24"/>
    <mergeCell ref="B211:D211"/>
    <mergeCell ref="B212:D212"/>
    <mergeCell ref="B208:D208"/>
    <mergeCell ref="A64:A65"/>
    <mergeCell ref="B64:B65"/>
    <mergeCell ref="B207:D207"/>
    <mergeCell ref="B68:K68"/>
    <mergeCell ref="B199:D199"/>
    <mergeCell ref="B200:D200"/>
    <mergeCell ref="A114:A116"/>
    <mergeCell ref="B114:B116"/>
    <mergeCell ref="B195:D195"/>
    <mergeCell ref="B196:D196"/>
    <mergeCell ref="A117:A118"/>
    <mergeCell ref="B117:B118"/>
    <mergeCell ref="B139:K13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62"/>
  <sheetViews>
    <sheetView zoomScale="85" zoomScaleNormal="85" workbookViewId="0" topLeftCell="A1">
      <pane ySplit="4" topLeftCell="A245" activePane="bottomLeft" state="frozen"/>
      <selection pane="topLeft" activeCell="A1" sqref="A1"/>
      <selection pane="bottomLeft" activeCell="A259" sqref="A259:XFD260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5.285714285714285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44519</v>
      </c>
    </row>
    <row r="2" spans="2:9" ht="31.5">
      <c r="B2" s="492" t="s">
        <v>1177</v>
      </c>
      <c r="F2" s="429" t="s">
        <v>22</v>
      </c>
      <c r="G2" s="268">
        <f>1726/1000</f>
        <v>1.726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SUM(M6:M17)</f>
        <v>623.62666666666667</v>
      </c>
      <c r="N5" s="263"/>
      <c r="O5" s="264">
        <f>SUM(O6:O17)</f>
        <v>3.5433333333333334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7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18</v>
      </c>
      <c r="L6" s="465">
        <f t="shared" si="1" ref="L6:L17">J6*K6</f>
        <v>0.35099999999999998</v>
      </c>
      <c r="M6" s="466">
        <f t="shared" si="2" ref="M6:M17">L6*N6</f>
        <v>61.775999999999996</v>
      </c>
      <c r="N6" s="466">
        <v>176</v>
      </c>
      <c r="O6" s="456">
        <f t="shared" si="3" ref="O6:O17">J6/I6*K6</f>
        <v>0.35099999999999998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200</v>
      </c>
      <c r="H8" s="462">
        <v>10</v>
      </c>
      <c r="I8" s="463">
        <v>1</v>
      </c>
      <c r="J8" s="464">
        <f>3/60</f>
        <v>0.05</v>
      </c>
      <c r="K8" s="461">
        <v>2</v>
      </c>
      <c r="L8" s="465">
        <f t="shared" si="1"/>
        <v>0.10000000000000001</v>
      </c>
      <c r="M8" s="466">
        <f t="shared" si="2"/>
        <v>17.60</v>
      </c>
      <c r="N8" s="466">
        <v>176</v>
      </c>
      <c r="O8" s="456">
        <f t="shared" si="3"/>
        <v>0.10000000000000001</v>
      </c>
    </row>
    <row r="9" spans="1:15" s="457" customFormat="1" ht="15">
      <c r="A9" s="459" t="s">
        <v>838</v>
      </c>
      <c r="B9" s="494" t="s">
        <v>1178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111.31725417439704</v>
      </c>
      <c r="H9" s="462">
        <v>10</v>
      </c>
      <c r="I9" s="463">
        <v>1</v>
      </c>
      <c r="J9" s="464">
        <f>5.39/60</f>
        <v>0.089833333333333334</v>
      </c>
      <c r="K9" s="461">
        <v>2</v>
      </c>
      <c r="L9" s="465">
        <f t="shared" si="1"/>
        <v>0.17966666666666667</v>
      </c>
      <c r="M9" s="466">
        <f t="shared" si="2"/>
        <v>31.621333333333332</v>
      </c>
      <c r="N9" s="466">
        <v>176</v>
      </c>
      <c r="O9" s="456">
        <f t="shared" si="3"/>
        <v>0.17966666666666667</v>
      </c>
    </row>
    <row r="10" spans="1:15" s="457" customFormat="1" ht="15">
      <c r="A10" s="459" t="s">
        <v>839</v>
      </c>
      <c r="B10" s="494" t="s">
        <v>852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582.52427184466023</v>
      </c>
      <c r="H10" s="462">
        <v>10</v>
      </c>
      <c r="I10" s="463">
        <v>1</v>
      </c>
      <c r="J10" s="464">
        <f>1.03/60</f>
        <v>0.017166666666666667</v>
      </c>
      <c r="K10" s="461">
        <v>3</v>
      </c>
      <c r="L10" s="465">
        <f t="shared" si="1"/>
        <v>0.051500000000000004</v>
      </c>
      <c r="M10" s="466">
        <f t="shared" si="2"/>
        <v>9.0640000000000001</v>
      </c>
      <c r="N10" s="466">
        <v>176</v>
      </c>
      <c r="O10" s="456">
        <f t="shared" si="3"/>
        <v>0.051500000000000004</v>
      </c>
    </row>
    <row r="11" spans="1:15" s="457" customFormat="1" ht="15">
      <c r="A11" s="459" t="s">
        <v>840</v>
      </c>
      <c r="B11" s="494" t="s">
        <v>929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44.477390659747961</v>
      </c>
      <c r="H11" s="462">
        <v>10</v>
      </c>
      <c r="I11" s="463">
        <v>1</v>
      </c>
      <c r="J11" s="464">
        <f>13.49/60</f>
        <v>0.22483333333333333</v>
      </c>
      <c r="K11" s="461">
        <v>1</v>
      </c>
      <c r="L11" s="465">
        <f t="shared" si="1"/>
        <v>0.22483333333333333</v>
      </c>
      <c r="M11" s="466">
        <f t="shared" si="2"/>
        <v>39.570666666666668</v>
      </c>
      <c r="N11" s="466">
        <v>176</v>
      </c>
      <c r="O11" s="456">
        <f t="shared" si="3"/>
        <v>0.22483333333333333</v>
      </c>
    </row>
    <row r="12" spans="1:15" s="457" customFormat="1" ht="15">
      <c r="A12" s="459" t="s">
        <v>841</v>
      </c>
      <c r="B12" s="494" t="s">
        <v>931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419.58041958041963</v>
      </c>
      <c r="H12" s="462">
        <v>10</v>
      </c>
      <c r="I12" s="463">
        <v>1</v>
      </c>
      <c r="J12" s="464">
        <f>1.43/60</f>
        <v>0.023833333333333331</v>
      </c>
      <c r="K12" s="461">
        <v>6</v>
      </c>
      <c r="L12" s="465">
        <f t="shared" si="1"/>
        <v>0.14299999999999999</v>
      </c>
      <c r="M12" s="466">
        <f t="shared" si="2"/>
        <v>25.167999999999999</v>
      </c>
      <c r="N12" s="466">
        <v>176</v>
      </c>
      <c r="O12" s="456">
        <f t="shared" si="3"/>
        <v>0.14299999999999999</v>
      </c>
    </row>
    <row r="13" spans="1:15" s="457" customFormat="1" ht="15">
      <c r="A13" s="459" t="s">
        <v>842</v>
      </c>
      <c r="B13" s="494" t="s">
        <v>1043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322.58064516129036</v>
      </c>
      <c r="H13" s="462">
        <v>10</v>
      </c>
      <c r="I13" s="463">
        <v>1</v>
      </c>
      <c r="J13" s="464">
        <f>1.86/60</f>
        <v>0.030999999999999996</v>
      </c>
      <c r="K13" s="461">
        <v>7</v>
      </c>
      <c r="L13" s="465">
        <f t="shared" si="1"/>
        <v>0.21699999999999997</v>
      </c>
      <c r="M13" s="466">
        <f t="shared" si="2"/>
        <v>38.191999999999993</v>
      </c>
      <c r="N13" s="466">
        <v>176</v>
      </c>
      <c r="O13" s="456">
        <f t="shared" si="3"/>
        <v>0.21699999999999997</v>
      </c>
    </row>
    <row r="14" spans="1:15" s="457" customFormat="1" ht="15">
      <c r="A14" s="459" t="s">
        <v>843</v>
      </c>
      <c r="B14" s="494" t="s">
        <v>856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257.51072961373387</v>
      </c>
      <c r="H14" s="462">
        <v>10</v>
      </c>
      <c r="I14" s="463">
        <v>1</v>
      </c>
      <c r="J14" s="464">
        <f>2.33/60</f>
        <v>0.038833333333333338</v>
      </c>
      <c r="K14" s="461">
        <v>50</v>
      </c>
      <c r="L14" s="465">
        <f t="shared" si="1"/>
        <v>1.9416666666666669</v>
      </c>
      <c r="M14" s="466">
        <f t="shared" si="2"/>
        <v>341.73333333333335</v>
      </c>
      <c r="N14" s="466">
        <v>176</v>
      </c>
      <c r="O14" s="456">
        <f t="shared" si="3"/>
        <v>1.9416666666666669</v>
      </c>
    </row>
    <row r="15" spans="1:15" s="457" customFormat="1" ht="15">
      <c r="A15" s="459" t="s">
        <v>844</v>
      </c>
      <c r="B15" s="494" t="s">
        <v>854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631.57894736842115</v>
      </c>
      <c r="H15" s="462">
        <v>10</v>
      </c>
      <c r="I15" s="463">
        <v>1</v>
      </c>
      <c r="J15" s="464">
        <f>0.95/60</f>
        <v>0.015833333333333331</v>
      </c>
      <c r="K15" s="461">
        <v>8</v>
      </c>
      <c r="L15" s="465">
        <f t="shared" si="1"/>
        <v>0.12666666666666665</v>
      </c>
      <c r="M15" s="466">
        <f t="shared" si="2"/>
        <v>22.293333333333329</v>
      </c>
      <c r="N15" s="466">
        <v>176</v>
      </c>
      <c r="O15" s="456">
        <f t="shared" si="3"/>
        <v>0.12666666666666665</v>
      </c>
    </row>
    <row r="16" spans="1:15" s="457" customFormat="1" ht="15">
      <c r="A16" s="459" t="s">
        <v>845</v>
      </c>
      <c r="B16" s="494" t="s">
        <v>855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454.5454545454545</v>
      </c>
      <c r="H16" s="462">
        <v>10</v>
      </c>
      <c r="I16" s="463">
        <v>1</v>
      </c>
      <c r="J16" s="464">
        <f>1.32/60</f>
        <v>0.022000000000000002</v>
      </c>
      <c r="K16" s="461">
        <v>6</v>
      </c>
      <c r="L16" s="465">
        <f t="shared" si="1"/>
        <v>0.13200000000000001</v>
      </c>
      <c r="M16" s="466">
        <f t="shared" si="2"/>
        <v>23.231999999999999</v>
      </c>
      <c r="N16" s="466">
        <v>176</v>
      </c>
      <c r="O16" s="456">
        <f t="shared" si="3"/>
        <v>0.13200000000000001</v>
      </c>
    </row>
    <row r="17" spans="1:15" s="457" customFormat="1" ht="15">
      <c r="A17" s="459" t="s">
        <v>846</v>
      </c>
      <c r="B17" s="494" t="s">
        <v>861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857.14285714285722</v>
      </c>
      <c r="H17" s="462">
        <v>10</v>
      </c>
      <c r="I17" s="463">
        <v>1</v>
      </c>
      <c r="J17" s="464">
        <f>0.7/60</f>
        <v>0.011666666666666665</v>
      </c>
      <c r="K17" s="461">
        <v>2</v>
      </c>
      <c r="L17" s="465">
        <f t="shared" si="1"/>
        <v>0.023333333333333331</v>
      </c>
      <c r="M17" s="466">
        <f t="shared" si="2"/>
        <v>4.1066666666666665</v>
      </c>
      <c r="N17" s="466">
        <v>176</v>
      </c>
      <c r="O17" s="456">
        <f t="shared" si="3"/>
        <v>0.023333333333333331</v>
      </c>
    </row>
    <row r="18" spans="1:15" ht="15">
      <c r="A18" s="39"/>
      <c r="B18" s="649" t="s">
        <v>130</v>
      </c>
      <c r="C18" s="649"/>
      <c r="D18" s="649"/>
      <c r="E18" s="649"/>
      <c r="F18" s="649"/>
      <c r="G18" s="649"/>
      <c r="H18" s="649"/>
      <c r="I18" s="649"/>
      <c r="J18" s="649"/>
      <c r="K18" s="649"/>
      <c r="L18" s="265"/>
      <c r="M18" s="262">
        <f>SUM(M19:M47)</f>
        <v>3835.6807664895337</v>
      </c>
      <c r="N18" s="430"/>
      <c r="O18" s="264">
        <f>SUM(O19:O47)</f>
        <v>16.026347892110913</v>
      </c>
    </row>
    <row r="19" spans="1:15" s="0" customFormat="1" ht="15">
      <c r="A19" s="650" t="s">
        <v>143</v>
      </c>
      <c r="B19" s="638" t="s">
        <v>144</v>
      </c>
      <c r="C19" s="523" t="s">
        <v>1684</v>
      </c>
      <c r="D19" s="523">
        <v>105</v>
      </c>
      <c r="E19" s="523"/>
      <c r="F19" s="558" t="s">
        <v>353</v>
      </c>
      <c r="G19" s="559">
        <v>18.20</v>
      </c>
      <c r="H19" s="560">
        <v>10</v>
      </c>
      <c r="I19" s="561">
        <v>1</v>
      </c>
      <c r="J19" s="562">
        <f>H19/G19*I19</f>
        <v>0.5494505494505495</v>
      </c>
      <c r="K19" s="563">
        <v>1</v>
      </c>
      <c r="L19" s="26">
        <f t="shared" si="4" ref="L19:L47">J19*K19</f>
        <v>0.5494505494505495</v>
      </c>
      <c r="M19" s="43">
        <f>L19*N19</f>
        <v>109.8901098901099</v>
      </c>
      <c r="N19" s="85">
        <v>200</v>
      </c>
      <c r="O19" s="8">
        <f>J19/I19*K19</f>
        <v>0.5494505494505495</v>
      </c>
    </row>
    <row r="20" spans="1:15" s="0" customFormat="1" ht="15">
      <c r="A20" s="650"/>
      <c r="B20" s="638"/>
      <c r="C20" s="523" t="s">
        <v>1689</v>
      </c>
      <c r="D20" s="523">
        <v>105</v>
      </c>
      <c r="E20" s="523"/>
      <c r="F20" s="558" t="s">
        <v>353</v>
      </c>
      <c r="G20" s="559">
        <v>18.20</v>
      </c>
      <c r="H20" s="560">
        <v>10</v>
      </c>
      <c r="I20" s="561">
        <v>1</v>
      </c>
      <c r="J20" s="562">
        <f>H20/G20*I20</f>
        <v>0.5494505494505495</v>
      </c>
      <c r="K20" s="563">
        <v>1</v>
      </c>
      <c r="L20" s="26">
        <f t="shared" si="5" ref="L20">J20*K20</f>
        <v>0.5494505494505495</v>
      </c>
      <c r="M20" s="43">
        <f>L20*N20</f>
        <v>109.8901098901099</v>
      </c>
      <c r="N20" s="85">
        <v>200</v>
      </c>
      <c r="O20" s="8">
        <f>J20/I20*K20</f>
        <v>0.5494505494505495</v>
      </c>
    </row>
    <row r="21" spans="1:15" s="0" customFormat="1" ht="15" customHeight="1">
      <c r="A21" s="650" t="s">
        <v>146</v>
      </c>
      <c r="B21" s="664" t="s">
        <v>1690</v>
      </c>
      <c r="C21" s="523" t="s">
        <v>1685</v>
      </c>
      <c r="D21" s="523">
        <v>109</v>
      </c>
      <c r="E21" s="666" t="s">
        <v>911</v>
      </c>
      <c r="F21" s="558" t="s">
        <v>10</v>
      </c>
      <c r="G21" s="561">
        <v>40</v>
      </c>
      <c r="H21" s="560">
        <v>10</v>
      </c>
      <c r="I21" s="561">
        <v>1</v>
      </c>
      <c r="J21" s="562">
        <f t="shared" si="6" ref="J21:J47">H21/G21*I21</f>
        <v>0.25</v>
      </c>
      <c r="K21" s="564">
        <f>1480/1000</f>
        <v>1.48</v>
      </c>
      <c r="L21" s="26">
        <f t="shared" si="4"/>
        <v>0.37</v>
      </c>
      <c r="M21" s="43">
        <f t="shared" si="7" ref="M21:M47">L21*N21</f>
        <v>74</v>
      </c>
      <c r="N21" s="85">
        <v>200</v>
      </c>
      <c r="O21" s="8">
        <f t="shared" si="8" ref="O21:O47">J21/I21*K21</f>
        <v>0.37</v>
      </c>
    </row>
    <row r="22" spans="1:15" s="0" customFormat="1" ht="15">
      <c r="A22" s="650"/>
      <c r="B22" s="664"/>
      <c r="C22" s="523" t="s">
        <v>1686</v>
      </c>
      <c r="D22" s="523">
        <v>109</v>
      </c>
      <c r="E22" s="666"/>
      <c r="F22" s="558" t="s">
        <v>10</v>
      </c>
      <c r="G22" s="561">
        <v>27</v>
      </c>
      <c r="H22" s="560">
        <v>10</v>
      </c>
      <c r="I22" s="561">
        <v>1</v>
      </c>
      <c r="J22" s="562">
        <f t="shared" si="6"/>
        <v>0.37037037037037035</v>
      </c>
      <c r="K22" s="564">
        <f>1480/1000+0.1</f>
        <v>1.58</v>
      </c>
      <c r="L22" s="26">
        <f t="shared" si="4"/>
        <v>0.58518518518518514</v>
      </c>
      <c r="M22" s="43">
        <f t="shared" si="7"/>
        <v>117.03703703703702</v>
      </c>
      <c r="N22" s="85">
        <v>200</v>
      </c>
      <c r="O22" s="8">
        <f t="shared" si="8"/>
        <v>0.58518518518518514</v>
      </c>
    </row>
    <row r="23" spans="1:15" s="0" customFormat="1" ht="15">
      <c r="A23" s="650"/>
      <c r="B23" s="664"/>
      <c r="C23" s="523" t="s">
        <v>1687</v>
      </c>
      <c r="D23" s="523">
        <v>109</v>
      </c>
      <c r="E23" s="666" t="s">
        <v>911</v>
      </c>
      <c r="F23" s="558" t="s">
        <v>10</v>
      </c>
      <c r="G23" s="561">
        <v>40</v>
      </c>
      <c r="H23" s="560">
        <v>10</v>
      </c>
      <c r="I23" s="561">
        <v>1</v>
      </c>
      <c r="J23" s="562">
        <f t="shared" si="9" ref="J23:J24">H23/G23*I23</f>
        <v>0.25</v>
      </c>
      <c r="K23" s="564">
        <f>320/1000</f>
        <v>0.32</v>
      </c>
      <c r="L23" s="26">
        <f t="shared" si="10" ref="L23:L24">J23*K23</f>
        <v>0.08</v>
      </c>
      <c r="M23" s="43">
        <f t="shared" si="11" ref="M23:M24">L23*N23</f>
        <v>16</v>
      </c>
      <c r="N23" s="85">
        <v>200</v>
      </c>
      <c r="O23" s="8">
        <f t="shared" si="12" ref="O23:O24">J23/I23*K23</f>
        <v>0.08</v>
      </c>
    </row>
    <row r="24" spans="1:15" s="0" customFormat="1" ht="15">
      <c r="A24" s="650"/>
      <c r="B24" s="664"/>
      <c r="C24" s="523" t="s">
        <v>1688</v>
      </c>
      <c r="D24" s="523">
        <v>109</v>
      </c>
      <c r="E24" s="666"/>
      <c r="F24" s="558" t="s">
        <v>10</v>
      </c>
      <c r="G24" s="561">
        <v>27</v>
      </c>
      <c r="H24" s="560">
        <v>10</v>
      </c>
      <c r="I24" s="561">
        <v>1</v>
      </c>
      <c r="J24" s="562">
        <f t="shared" si="9"/>
        <v>0.37037037037037035</v>
      </c>
      <c r="K24" s="564">
        <f>320/1000+0.1</f>
        <v>0.42000000000000004</v>
      </c>
      <c r="L24" s="26">
        <f t="shared" si="10"/>
        <v>0.15555555555555556</v>
      </c>
      <c r="M24" s="43">
        <f t="shared" si="11"/>
        <v>31.111111111111111</v>
      </c>
      <c r="N24" s="85">
        <v>200</v>
      </c>
      <c r="O24" s="8">
        <f t="shared" si="12"/>
        <v>0.15555555555555556</v>
      </c>
    </row>
    <row r="25" spans="1:15" s="0" customFormat="1" ht="15">
      <c r="A25" s="650" t="s">
        <v>421</v>
      </c>
      <c r="B25" s="638" t="s">
        <v>149</v>
      </c>
      <c r="C25" s="523" t="s">
        <v>1684</v>
      </c>
      <c r="D25" s="523">
        <v>105</v>
      </c>
      <c r="E25" s="523"/>
      <c r="F25" s="558" t="s">
        <v>353</v>
      </c>
      <c r="G25" s="559">
        <f>18.2/0.65</f>
        <v>27.999999999999996</v>
      </c>
      <c r="H25" s="560">
        <v>10</v>
      </c>
      <c r="I25" s="561">
        <v>1</v>
      </c>
      <c r="J25" s="562">
        <f t="shared" si="6"/>
        <v>0.35714285714285721</v>
      </c>
      <c r="K25" s="563">
        <v>1</v>
      </c>
      <c r="L25" s="26">
        <f t="shared" si="4"/>
        <v>0.35714285714285721</v>
      </c>
      <c r="M25" s="43">
        <f t="shared" si="7"/>
        <v>71.428571428571445</v>
      </c>
      <c r="N25" s="43">
        <v>200</v>
      </c>
      <c r="O25" s="8">
        <f t="shared" si="8"/>
        <v>0.35714285714285721</v>
      </c>
    </row>
    <row r="26" spans="1:15" s="0" customFormat="1" ht="15">
      <c r="A26" s="650"/>
      <c r="B26" s="638"/>
      <c r="C26" s="523" t="s">
        <v>1689</v>
      </c>
      <c r="D26" s="523">
        <v>105</v>
      </c>
      <c r="E26" s="523"/>
      <c r="F26" s="558" t="s">
        <v>353</v>
      </c>
      <c r="G26" s="559">
        <f>18.2/0.65</f>
        <v>27.999999999999996</v>
      </c>
      <c r="H26" s="560">
        <v>10</v>
      </c>
      <c r="I26" s="561">
        <v>1</v>
      </c>
      <c r="J26" s="562">
        <f t="shared" si="13" ref="J26">H26/G26*I26</f>
        <v>0.35714285714285721</v>
      </c>
      <c r="K26" s="563">
        <v>1</v>
      </c>
      <c r="L26" s="26">
        <f t="shared" si="14" ref="L26">J26*K26</f>
        <v>0.35714285714285721</v>
      </c>
      <c r="M26" s="43">
        <f t="shared" si="15" ref="M26">L26*N26</f>
        <v>71.428571428571445</v>
      </c>
      <c r="N26" s="43">
        <v>200</v>
      </c>
      <c r="O26" s="8">
        <f t="shared" si="16" ref="O26">J26/I26*K26</f>
        <v>0.35714285714285721</v>
      </c>
    </row>
    <row r="27" spans="1:15" s="0" customFormat="1" ht="30">
      <c r="A27" s="57" t="s">
        <v>1662</v>
      </c>
      <c r="B27" s="56" t="s">
        <v>1661</v>
      </c>
      <c r="C27" s="13" t="s">
        <v>9</v>
      </c>
      <c r="D27" s="13">
        <v>109</v>
      </c>
      <c r="E27" s="13"/>
      <c r="F27" s="4" t="s">
        <v>10</v>
      </c>
      <c r="G27" s="442">
        <v>33</v>
      </c>
      <c r="H27" s="437">
        <v>10</v>
      </c>
      <c r="I27" s="28">
        <v>1</v>
      </c>
      <c r="J27" s="438">
        <f t="shared" si="17" ref="J27:J30">H27/G27*I27</f>
        <v>0.30303030303030304</v>
      </c>
      <c r="K27" s="442">
        <f>(350*2)/1000</f>
        <v>0.70</v>
      </c>
      <c r="L27" s="267">
        <f t="shared" si="18" ref="L27:L30">J27*K27</f>
        <v>0.21212121212121213</v>
      </c>
      <c r="M27" s="266">
        <f t="shared" si="19" ref="M27:M30">L27*N27</f>
        <v>32.242424242424242</v>
      </c>
      <c r="N27" s="433">
        <v>152</v>
      </c>
      <c r="O27" s="267">
        <f t="shared" si="20" ref="O27:O30">J27/I27*K27</f>
        <v>0.21212121212121213</v>
      </c>
    </row>
    <row r="28" spans="1:15" s="0" customFormat="1" ht="15">
      <c r="A28" s="565" t="s">
        <v>422</v>
      </c>
      <c r="B28" s="522" t="s">
        <v>423</v>
      </c>
      <c r="C28" s="523" t="s">
        <v>24</v>
      </c>
      <c r="D28" s="523">
        <v>108</v>
      </c>
      <c r="E28" s="523"/>
      <c r="F28" s="566" t="s">
        <v>45</v>
      </c>
      <c r="G28" s="561">
        <v>13.08</v>
      </c>
      <c r="H28" s="560">
        <v>10</v>
      </c>
      <c r="I28" s="561">
        <v>2</v>
      </c>
      <c r="J28" s="562">
        <f t="shared" si="17"/>
        <v>1.5290519877675841</v>
      </c>
      <c r="K28" s="561">
        <v>1</v>
      </c>
      <c r="L28" s="26">
        <f t="shared" si="18"/>
        <v>1.5290519877675841</v>
      </c>
      <c r="M28" s="43">
        <f t="shared" si="19"/>
        <v>305.81039755351685</v>
      </c>
      <c r="N28" s="85">
        <v>200</v>
      </c>
      <c r="O28" s="8">
        <f t="shared" si="20"/>
        <v>0.76452599388379205</v>
      </c>
    </row>
    <row r="29" spans="1:15" s="0" customFormat="1" ht="15">
      <c r="A29" s="665" t="s">
        <v>150</v>
      </c>
      <c r="B29" s="664" t="s">
        <v>1691</v>
      </c>
      <c r="C29" s="523" t="s">
        <v>970</v>
      </c>
      <c r="D29" s="523">
        <v>109</v>
      </c>
      <c r="E29" s="666" t="s">
        <v>911</v>
      </c>
      <c r="F29" s="558" t="s">
        <v>10</v>
      </c>
      <c r="G29" s="561">
        <v>40</v>
      </c>
      <c r="H29" s="560">
        <v>10</v>
      </c>
      <c r="I29" s="561">
        <v>1</v>
      </c>
      <c r="J29" s="562">
        <f t="shared" si="17"/>
        <v>0.25</v>
      </c>
      <c r="K29" s="564">
        <f>630*3.1415/1000</f>
        <v>1.9791450000000002</v>
      </c>
      <c r="L29" s="26">
        <f t="shared" si="18"/>
        <v>0.49478625000000004</v>
      </c>
      <c r="M29" s="43">
        <f t="shared" si="19"/>
        <v>98.957250000000002</v>
      </c>
      <c r="N29" s="85">
        <v>200</v>
      </c>
      <c r="O29" s="8">
        <f t="shared" si="20"/>
        <v>0.49478625000000004</v>
      </c>
    </row>
    <row r="30" spans="1:15" s="0" customFormat="1" ht="15">
      <c r="A30" s="665"/>
      <c r="B30" s="664"/>
      <c r="C30" s="523" t="s">
        <v>151</v>
      </c>
      <c r="D30" s="523">
        <v>109</v>
      </c>
      <c r="E30" s="666"/>
      <c r="F30" s="558" t="s">
        <v>10</v>
      </c>
      <c r="G30" s="561">
        <v>27</v>
      </c>
      <c r="H30" s="560">
        <v>10</v>
      </c>
      <c r="I30" s="561">
        <v>1</v>
      </c>
      <c r="J30" s="562">
        <f t="shared" si="17"/>
        <v>0.37037037037037035</v>
      </c>
      <c r="K30" s="564">
        <f>(630*3.1415)/1000</f>
        <v>1.9791450000000002</v>
      </c>
      <c r="L30" s="26">
        <f t="shared" si="18"/>
        <v>0.73301666666666665</v>
      </c>
      <c r="M30" s="43">
        <f t="shared" si="19"/>
        <v>146.60333333333332</v>
      </c>
      <c r="N30" s="85">
        <v>200</v>
      </c>
      <c r="O30" s="8">
        <f t="shared" si="20"/>
        <v>0.73301666666666665</v>
      </c>
    </row>
    <row r="31" spans="1:15" ht="15">
      <c r="A31" s="57" t="s">
        <v>152</v>
      </c>
      <c r="B31" s="56" t="s">
        <v>153</v>
      </c>
      <c r="C31" s="13" t="s">
        <v>154</v>
      </c>
      <c r="D31" s="13">
        <v>124</v>
      </c>
      <c r="E31" s="13"/>
      <c r="F31" s="13" t="s">
        <v>354</v>
      </c>
      <c r="G31" s="442">
        <v>13.10</v>
      </c>
      <c r="H31" s="440">
        <v>10</v>
      </c>
      <c r="I31" s="28">
        <v>1</v>
      </c>
      <c r="J31" s="441">
        <f t="shared" si="6"/>
        <v>0.76335877862595425</v>
      </c>
      <c r="K31" s="432">
        <v>1</v>
      </c>
      <c r="L31" s="267">
        <f t="shared" si="4"/>
        <v>0.76335877862595425</v>
      </c>
      <c r="M31" s="433">
        <f t="shared" si="7"/>
        <v>152.67175572519085</v>
      </c>
      <c r="N31" s="434">
        <v>200</v>
      </c>
      <c r="O31" s="435">
        <f t="shared" si="8"/>
        <v>0.76335877862595425</v>
      </c>
    </row>
    <row r="32" spans="1:15" ht="30">
      <c r="A32" s="57" t="s">
        <v>155</v>
      </c>
      <c r="B32" s="56" t="s">
        <v>156</v>
      </c>
      <c r="C32" s="13" t="s">
        <v>157</v>
      </c>
      <c r="D32" s="13" t="s">
        <v>1329</v>
      </c>
      <c r="E32" s="13"/>
      <c r="F32" s="13" t="s">
        <v>354</v>
      </c>
      <c r="G32" s="442">
        <v>5.63</v>
      </c>
      <c r="H32" s="440">
        <v>10</v>
      </c>
      <c r="I32" s="28">
        <v>1</v>
      </c>
      <c r="J32" s="441">
        <f t="shared" si="6"/>
        <v>1.7761989342806395</v>
      </c>
      <c r="K32" s="432">
        <v>1</v>
      </c>
      <c r="L32" s="267">
        <f t="shared" si="4"/>
        <v>1.7761989342806395</v>
      </c>
      <c r="M32" s="433">
        <f t="shared" si="7"/>
        <v>355.23978685612792</v>
      </c>
      <c r="N32" s="434">
        <v>200</v>
      </c>
      <c r="O32" s="435">
        <f t="shared" si="8"/>
        <v>1.7761989342806395</v>
      </c>
    </row>
    <row r="33" spans="1:15" ht="30">
      <c r="A33" s="57" t="s">
        <v>158</v>
      </c>
      <c r="B33" s="522" t="s">
        <v>1692</v>
      </c>
      <c r="C33" s="13" t="s">
        <v>160</v>
      </c>
      <c r="D33" s="13" t="s">
        <v>1331</v>
      </c>
      <c r="E33" s="13" t="s">
        <v>161</v>
      </c>
      <c r="F33" s="13" t="s">
        <v>10</v>
      </c>
      <c r="G33" s="439">
        <v>15.40</v>
      </c>
      <c r="H33" s="440">
        <v>10</v>
      </c>
      <c r="I33" s="28">
        <v>1</v>
      </c>
      <c r="J33" s="441">
        <f t="shared" si="6"/>
        <v>0.64935064935064934</v>
      </c>
      <c r="K33" s="436">
        <f>(61/1000)*3.1415*4</f>
        <v>0.76652600000000004</v>
      </c>
      <c r="L33" s="435">
        <f t="shared" si="4"/>
        <v>0.49774415584415588</v>
      </c>
      <c r="M33" s="266">
        <f t="shared" si="7"/>
        <v>99.548831168831171</v>
      </c>
      <c r="N33" s="433">
        <v>200</v>
      </c>
      <c r="O33" s="435">
        <f t="shared" si="8"/>
        <v>0.49774415584415588</v>
      </c>
    </row>
    <row r="34" spans="1:15" ht="15">
      <c r="A34" s="57" t="s">
        <v>427</v>
      </c>
      <c r="B34" s="56" t="s">
        <v>428</v>
      </c>
      <c r="C34" s="13" t="s">
        <v>24</v>
      </c>
      <c r="D34" s="13">
        <v>110</v>
      </c>
      <c r="E34" s="13"/>
      <c r="F34" s="4" t="s">
        <v>38</v>
      </c>
      <c r="G34" s="442">
        <v>13.08</v>
      </c>
      <c r="H34" s="440">
        <v>10</v>
      </c>
      <c r="I34" s="28">
        <v>2</v>
      </c>
      <c r="J34" s="441">
        <f t="shared" si="6"/>
        <v>1.5290519877675841</v>
      </c>
      <c r="K34" s="28">
        <v>1</v>
      </c>
      <c r="L34" s="267">
        <f t="shared" si="4"/>
        <v>1.5290519877675841</v>
      </c>
      <c r="M34" s="433">
        <f t="shared" si="7"/>
        <v>305.81039755351685</v>
      </c>
      <c r="N34" s="434">
        <v>200</v>
      </c>
      <c r="O34" s="435">
        <f t="shared" si="8"/>
        <v>0.76452599388379205</v>
      </c>
    </row>
    <row r="35" spans="1:15" ht="15">
      <c r="A35" s="637" t="s">
        <v>162</v>
      </c>
      <c r="B35" s="664" t="s">
        <v>1693</v>
      </c>
      <c r="C35" s="13" t="s">
        <v>160</v>
      </c>
      <c r="D35" s="13">
        <v>109</v>
      </c>
      <c r="E35" s="637" t="s">
        <v>44</v>
      </c>
      <c r="F35" s="13" t="s">
        <v>10</v>
      </c>
      <c r="G35" s="28">
        <v>40</v>
      </c>
      <c r="H35" s="440">
        <v>10</v>
      </c>
      <c r="I35" s="28">
        <v>1</v>
      </c>
      <c r="J35" s="441">
        <f t="shared" si="6"/>
        <v>0.25</v>
      </c>
      <c r="K35" s="436">
        <f>630/1000*3.1415</f>
        <v>1.9791450000000002</v>
      </c>
      <c r="L35" s="267">
        <f t="shared" si="4"/>
        <v>0.49478625000000004</v>
      </c>
      <c r="M35" s="433">
        <f t="shared" si="7"/>
        <v>98.957250000000002</v>
      </c>
      <c r="N35" s="434">
        <v>200</v>
      </c>
      <c r="O35" s="435">
        <f t="shared" si="8"/>
        <v>0.49478625000000004</v>
      </c>
    </row>
    <row r="36" spans="1:15" ht="15">
      <c r="A36" s="637"/>
      <c r="B36" s="664"/>
      <c r="C36" s="13" t="s">
        <v>9</v>
      </c>
      <c r="D36" s="13">
        <v>109</v>
      </c>
      <c r="E36" s="637"/>
      <c r="F36" s="13" t="s">
        <v>10</v>
      </c>
      <c r="G36" s="28">
        <v>27</v>
      </c>
      <c r="H36" s="440">
        <v>10</v>
      </c>
      <c r="I36" s="28">
        <v>1</v>
      </c>
      <c r="J36" s="441">
        <f t="shared" si="6"/>
        <v>0.37037037037037035</v>
      </c>
      <c r="K36" s="436">
        <f>630/1000*3.1415</f>
        <v>1.9791450000000002</v>
      </c>
      <c r="L36" s="267">
        <f t="shared" si="4"/>
        <v>0.73301666666666665</v>
      </c>
      <c r="M36" s="433">
        <f t="shared" si="7"/>
        <v>146.60333333333332</v>
      </c>
      <c r="N36" s="434">
        <v>200</v>
      </c>
      <c r="O36" s="435">
        <f t="shared" si="8"/>
        <v>0.73301666666666665</v>
      </c>
    </row>
    <row r="37" spans="1:15" ht="15">
      <c r="A37" s="57" t="s">
        <v>629</v>
      </c>
      <c r="B37" s="56" t="s">
        <v>1187</v>
      </c>
      <c r="C37" s="13" t="s">
        <v>862</v>
      </c>
      <c r="D37" s="13">
        <v>224</v>
      </c>
      <c r="E37" s="13"/>
      <c r="F37" s="17"/>
      <c r="G37" s="28">
        <f>(600-25)/10</f>
        <v>57.50</v>
      </c>
      <c r="H37" s="440">
        <v>10</v>
      </c>
      <c r="I37" s="28">
        <v>2</v>
      </c>
      <c r="J37" s="441">
        <f t="shared" si="6"/>
        <v>0.34782608695652173</v>
      </c>
      <c r="K37" s="28">
        <v>1</v>
      </c>
      <c r="L37" s="267">
        <f t="shared" si="4"/>
        <v>0.34782608695652173</v>
      </c>
      <c r="M37" s="433">
        <f t="shared" si="7"/>
        <v>69.565217391304344</v>
      </c>
      <c r="N37" s="434">
        <v>200</v>
      </c>
      <c r="O37" s="435">
        <f t="shared" si="8"/>
        <v>0.17391304347826086</v>
      </c>
    </row>
    <row r="38" spans="1:15" ht="15">
      <c r="A38" s="637" t="s">
        <v>314</v>
      </c>
      <c r="B38" s="664" t="s">
        <v>1694</v>
      </c>
      <c r="C38" s="13" t="s">
        <v>24</v>
      </c>
      <c r="D38" s="13">
        <v>110</v>
      </c>
      <c r="E38" s="13"/>
      <c r="F38" s="4" t="s">
        <v>40</v>
      </c>
      <c r="G38" s="442">
        <v>20</v>
      </c>
      <c r="H38" s="440">
        <v>10</v>
      </c>
      <c r="I38" s="28">
        <v>2</v>
      </c>
      <c r="J38" s="441">
        <f t="shared" si="6"/>
        <v>1</v>
      </c>
      <c r="K38" s="28">
        <v>1</v>
      </c>
      <c r="L38" s="267">
        <f t="shared" si="4"/>
        <v>1</v>
      </c>
      <c r="M38" s="433">
        <f t="shared" si="7"/>
        <v>200</v>
      </c>
      <c r="N38" s="434">
        <v>200</v>
      </c>
      <c r="O38" s="435">
        <f t="shared" si="8"/>
        <v>0.50</v>
      </c>
    </row>
    <row r="39" spans="1:15" ht="15">
      <c r="A39" s="637"/>
      <c r="B39" s="664"/>
      <c r="C39" s="13" t="s">
        <v>25</v>
      </c>
      <c r="D39" s="13">
        <v>110</v>
      </c>
      <c r="E39" s="13" t="s">
        <v>41</v>
      </c>
      <c r="F39" s="13" t="s">
        <v>10</v>
      </c>
      <c r="G39" s="28">
        <v>40</v>
      </c>
      <c r="H39" s="440">
        <v>10</v>
      </c>
      <c r="I39" s="28">
        <v>1</v>
      </c>
      <c r="J39" s="441">
        <f t="shared" si="6"/>
        <v>0.25</v>
      </c>
      <c r="K39" s="436">
        <f>630/1000*3.1415*2</f>
        <v>3.9582900000000003</v>
      </c>
      <c r="L39" s="267">
        <f t="shared" si="4"/>
        <v>0.98957250000000008</v>
      </c>
      <c r="M39" s="433">
        <f t="shared" si="7"/>
        <v>197.9145</v>
      </c>
      <c r="N39" s="434">
        <v>200</v>
      </c>
      <c r="O39" s="435">
        <f t="shared" si="8"/>
        <v>0.98957250000000008</v>
      </c>
    </row>
    <row r="40" spans="1:15" ht="15">
      <c r="A40" s="57" t="s">
        <v>1285</v>
      </c>
      <c r="B40" s="56" t="s">
        <v>1619</v>
      </c>
      <c r="C40" s="13" t="s">
        <v>1627</v>
      </c>
      <c r="D40" s="13">
        <v>105</v>
      </c>
      <c r="E40" s="13"/>
      <c r="F40" s="13" t="s">
        <v>353</v>
      </c>
      <c r="G40" s="442">
        <v>24.90</v>
      </c>
      <c r="H40" s="440">
        <v>10</v>
      </c>
      <c r="I40" s="28">
        <v>1</v>
      </c>
      <c r="J40" s="441">
        <f t="shared" si="6"/>
        <v>0.40160642570281124</v>
      </c>
      <c r="K40" s="432">
        <v>1</v>
      </c>
      <c r="L40" s="435">
        <f t="shared" si="4"/>
        <v>0.40160642570281124</v>
      </c>
      <c r="M40" s="266">
        <f t="shared" si="7"/>
        <v>80.321285140562253</v>
      </c>
      <c r="N40" s="433">
        <v>200</v>
      </c>
      <c r="O40" s="435">
        <f t="shared" si="8"/>
        <v>0.40160642570281124</v>
      </c>
    </row>
    <row r="41" spans="1:15" ht="15">
      <c r="A41" s="57" t="s">
        <v>648</v>
      </c>
      <c r="B41" s="508" t="s">
        <v>1620</v>
      </c>
      <c r="C41" s="13" t="s">
        <v>1628</v>
      </c>
      <c r="D41" s="13">
        <v>108</v>
      </c>
      <c r="E41" s="13"/>
      <c r="F41" s="13" t="s">
        <v>10</v>
      </c>
      <c r="G41" s="28">
        <v>40</v>
      </c>
      <c r="H41" s="440">
        <v>10</v>
      </c>
      <c r="I41" s="28">
        <v>1</v>
      </c>
      <c r="J41" s="453">
        <f t="shared" si="6"/>
        <v>0.25</v>
      </c>
      <c r="K41" s="436">
        <f>191*2/1000</f>
        <v>0.38200000000000001</v>
      </c>
      <c r="L41" s="267">
        <f t="shared" si="4"/>
        <v>0.095500000000000002</v>
      </c>
      <c r="M41" s="433">
        <f t="shared" si="7"/>
        <v>19.10</v>
      </c>
      <c r="N41" s="434">
        <v>200</v>
      </c>
      <c r="O41" s="435">
        <f t="shared" si="8"/>
        <v>0.095500000000000002</v>
      </c>
    </row>
    <row r="42" spans="1:15" ht="15">
      <c r="A42" s="57" t="s">
        <v>1288</v>
      </c>
      <c r="B42" s="56" t="s">
        <v>1621</v>
      </c>
      <c r="C42" s="13" t="s">
        <v>1627</v>
      </c>
      <c r="D42" s="13">
        <v>105</v>
      </c>
      <c r="E42" s="13"/>
      <c r="F42" s="13" t="s">
        <v>353</v>
      </c>
      <c r="G42" s="442">
        <f>24.9/0.65</f>
        <v>38.307692307692307</v>
      </c>
      <c r="H42" s="440">
        <v>10</v>
      </c>
      <c r="I42" s="28">
        <v>1</v>
      </c>
      <c r="J42" s="441">
        <f t="shared" si="6"/>
        <v>0.26104417670682734</v>
      </c>
      <c r="K42" s="432">
        <v>1</v>
      </c>
      <c r="L42" s="435">
        <f t="shared" si="4"/>
        <v>0.26104417670682734</v>
      </c>
      <c r="M42" s="266">
        <f t="shared" si="7"/>
        <v>52.208835341365464</v>
      </c>
      <c r="N42" s="433">
        <v>200</v>
      </c>
      <c r="O42" s="435">
        <f t="shared" si="8"/>
        <v>0.26104417670682734</v>
      </c>
    </row>
    <row r="43" spans="1:15" ht="15">
      <c r="A43" s="57" t="s">
        <v>176</v>
      </c>
      <c r="B43" s="56" t="s">
        <v>1622</v>
      </c>
      <c r="C43" s="13" t="s">
        <v>154</v>
      </c>
      <c r="D43" s="13">
        <v>124</v>
      </c>
      <c r="E43" s="13"/>
      <c r="F43" s="13" t="s">
        <v>354</v>
      </c>
      <c r="G43" s="442">
        <v>15.50</v>
      </c>
      <c r="H43" s="440">
        <v>10</v>
      </c>
      <c r="I43" s="28">
        <v>1</v>
      </c>
      <c r="J43" s="441">
        <f t="shared" si="6"/>
        <v>0.64516129032258063</v>
      </c>
      <c r="K43" s="432">
        <v>1</v>
      </c>
      <c r="L43" s="267">
        <f t="shared" si="4"/>
        <v>0.64516129032258063</v>
      </c>
      <c r="M43" s="433">
        <f t="shared" si="7"/>
        <v>129.03225806451613</v>
      </c>
      <c r="N43" s="434">
        <v>200</v>
      </c>
      <c r="O43" s="435">
        <f t="shared" si="8"/>
        <v>0.64516129032258063</v>
      </c>
    </row>
    <row r="44" spans="1:15" ht="30">
      <c r="A44" s="57" t="s">
        <v>1289</v>
      </c>
      <c r="B44" s="56" t="s">
        <v>1623</v>
      </c>
      <c r="C44" s="13" t="s">
        <v>24</v>
      </c>
      <c r="D44" s="13">
        <v>117</v>
      </c>
      <c r="E44" s="13"/>
      <c r="F44" s="4" t="s">
        <v>38</v>
      </c>
      <c r="G44" s="442">
        <v>20</v>
      </c>
      <c r="H44" s="440">
        <v>10</v>
      </c>
      <c r="I44" s="28">
        <v>2</v>
      </c>
      <c r="J44" s="441">
        <f t="shared" si="6"/>
        <v>1</v>
      </c>
      <c r="K44" s="28">
        <v>1</v>
      </c>
      <c r="L44" s="267">
        <f t="shared" si="4"/>
        <v>1</v>
      </c>
      <c r="M44" s="433">
        <f t="shared" si="7"/>
        <v>200</v>
      </c>
      <c r="N44" s="434">
        <v>200</v>
      </c>
      <c r="O44" s="435">
        <f t="shared" si="8"/>
        <v>0.50</v>
      </c>
    </row>
    <row r="45" spans="1:15" ht="30">
      <c r="A45" s="13" t="s">
        <v>1290</v>
      </c>
      <c r="B45" s="56" t="s">
        <v>1626</v>
      </c>
      <c r="C45" s="13" t="s">
        <v>160</v>
      </c>
      <c r="D45" s="13">
        <v>117</v>
      </c>
      <c r="E45" s="13" t="s">
        <v>869</v>
      </c>
      <c r="F45" s="13" t="s">
        <v>10</v>
      </c>
      <c r="G45" s="28">
        <v>40</v>
      </c>
      <c r="H45" s="440">
        <v>10</v>
      </c>
      <c r="I45" s="28">
        <v>1</v>
      </c>
      <c r="J45" s="441">
        <f t="shared" si="6"/>
        <v>0.25</v>
      </c>
      <c r="K45" s="436">
        <f>540*3.1415*2/1000</f>
        <v>3.3928199999999999</v>
      </c>
      <c r="L45" s="267">
        <f t="shared" si="4"/>
        <v>0.84820499999999999</v>
      </c>
      <c r="M45" s="433">
        <f t="shared" si="7"/>
        <v>169.64099999999999</v>
      </c>
      <c r="N45" s="434">
        <v>200</v>
      </c>
      <c r="O45" s="435">
        <f t="shared" si="8"/>
        <v>0.84820499999999999</v>
      </c>
    </row>
    <row r="46" spans="1:15" ht="30">
      <c r="A46" s="57" t="s">
        <v>1291</v>
      </c>
      <c r="B46" s="56" t="s">
        <v>1624</v>
      </c>
      <c r="C46" s="13" t="s">
        <v>24</v>
      </c>
      <c r="D46" s="13">
        <v>110</v>
      </c>
      <c r="E46" s="13"/>
      <c r="F46" s="4" t="s">
        <v>38</v>
      </c>
      <c r="G46" s="442">
        <v>20</v>
      </c>
      <c r="H46" s="440">
        <v>10</v>
      </c>
      <c r="I46" s="28">
        <v>2</v>
      </c>
      <c r="J46" s="441">
        <f t="shared" si="6"/>
        <v>1</v>
      </c>
      <c r="K46" s="28">
        <v>1</v>
      </c>
      <c r="L46" s="267">
        <f t="shared" si="4"/>
        <v>1</v>
      </c>
      <c r="M46" s="433">
        <f t="shared" si="7"/>
        <v>200</v>
      </c>
      <c r="N46" s="434">
        <v>200</v>
      </c>
      <c r="O46" s="435">
        <f t="shared" si="8"/>
        <v>0.50</v>
      </c>
    </row>
    <row r="47" spans="1:15" ht="30">
      <c r="A47" s="13" t="s">
        <v>177</v>
      </c>
      <c r="B47" s="56" t="s">
        <v>1625</v>
      </c>
      <c r="C47" s="13" t="s">
        <v>160</v>
      </c>
      <c r="D47" s="13">
        <v>110</v>
      </c>
      <c r="E47" s="13" t="s">
        <v>1604</v>
      </c>
      <c r="F47" s="13" t="s">
        <v>10</v>
      </c>
      <c r="G47" s="28">
        <v>40</v>
      </c>
      <c r="H47" s="440">
        <v>10</v>
      </c>
      <c r="I47" s="28">
        <v>1</v>
      </c>
      <c r="J47" s="441">
        <f t="shared" si="6"/>
        <v>0.25</v>
      </c>
      <c r="K47" s="436">
        <f>556*3.1415*2/1000</f>
        <v>3.4933480000000006</v>
      </c>
      <c r="L47" s="267">
        <f t="shared" si="4"/>
        <v>0.87333700000000014</v>
      </c>
      <c r="M47" s="433">
        <f t="shared" si="7"/>
        <v>174.66740000000001</v>
      </c>
      <c r="N47" s="434">
        <v>200</v>
      </c>
      <c r="O47" s="435">
        <f t="shared" si="8"/>
        <v>0.87333700000000014</v>
      </c>
    </row>
    <row r="48" spans="1:15" ht="15">
      <c r="A48" s="39"/>
      <c r="B48" s="649" t="s">
        <v>131</v>
      </c>
      <c r="C48" s="649"/>
      <c r="D48" s="649"/>
      <c r="E48" s="649"/>
      <c r="F48" s="649"/>
      <c r="G48" s="649"/>
      <c r="H48" s="649"/>
      <c r="I48" s="649"/>
      <c r="J48" s="649"/>
      <c r="K48" s="649"/>
      <c r="L48" s="267"/>
      <c r="M48" s="262">
        <f>SUM(M49:M69)</f>
        <v>4402.5428693365084</v>
      </c>
      <c r="N48" s="263"/>
      <c r="O48" s="264">
        <f>SUM(O49:O69)</f>
        <v>18.116836496705883</v>
      </c>
    </row>
    <row r="49" spans="1:15" ht="15">
      <c r="A49" s="650" t="s">
        <v>182</v>
      </c>
      <c r="B49" s="638" t="s">
        <v>183</v>
      </c>
      <c r="C49" s="13" t="s">
        <v>1188</v>
      </c>
      <c r="D49" s="13">
        <v>105</v>
      </c>
      <c r="E49" s="13"/>
      <c r="F49" s="13" t="s">
        <v>353</v>
      </c>
      <c r="G49" s="436">
        <v>12.78</v>
      </c>
      <c r="H49" s="440">
        <v>10</v>
      </c>
      <c r="I49" s="28">
        <v>1</v>
      </c>
      <c r="J49" s="441">
        <f t="shared" si="21" ref="J49:J69">H49/G49*I49</f>
        <v>0.78247261345852903</v>
      </c>
      <c r="K49" s="432">
        <v>1</v>
      </c>
      <c r="L49" s="435">
        <f t="shared" si="22" ref="L49:L69">J49*K49</f>
        <v>0.78247261345852903</v>
      </c>
      <c r="M49" s="266">
        <f t="shared" si="23" ref="M49:M69">L49*N49</f>
        <v>156.49452269170581</v>
      </c>
      <c r="N49" s="433">
        <v>200</v>
      </c>
      <c r="O49" s="435">
        <f t="shared" si="24" ref="O49:O69">J49/I49*K49</f>
        <v>0.78247261345852903</v>
      </c>
    </row>
    <row r="50" spans="1:15" ht="15">
      <c r="A50" s="650"/>
      <c r="B50" s="638"/>
      <c r="C50" s="13" t="s">
        <v>1189</v>
      </c>
      <c r="D50" s="13">
        <v>105</v>
      </c>
      <c r="E50" s="13"/>
      <c r="F50" s="13" t="s">
        <v>353</v>
      </c>
      <c r="G50" s="436">
        <v>12.78</v>
      </c>
      <c r="H50" s="440">
        <v>10</v>
      </c>
      <c r="I50" s="28">
        <v>1</v>
      </c>
      <c r="J50" s="441">
        <f t="shared" si="21"/>
        <v>0.78247261345852903</v>
      </c>
      <c r="K50" s="432">
        <v>1</v>
      </c>
      <c r="L50" s="435">
        <f t="shared" si="22"/>
        <v>0.78247261345852903</v>
      </c>
      <c r="M50" s="266">
        <f t="shared" si="23"/>
        <v>156.49452269170581</v>
      </c>
      <c r="N50" s="433">
        <v>200</v>
      </c>
      <c r="O50" s="435">
        <f t="shared" si="24"/>
        <v>0.78247261345852903</v>
      </c>
    </row>
    <row r="51" spans="1:15" ht="30">
      <c r="A51" s="57" t="s">
        <v>185</v>
      </c>
      <c r="B51" s="56" t="s">
        <v>186</v>
      </c>
      <c r="C51" s="13" t="s">
        <v>187</v>
      </c>
      <c r="D51" s="13">
        <v>105</v>
      </c>
      <c r="E51" s="13"/>
      <c r="F51" s="13" t="s">
        <v>522</v>
      </c>
      <c r="G51" s="28">
        <v>55</v>
      </c>
      <c r="H51" s="440">
        <v>10</v>
      </c>
      <c r="I51" s="28">
        <v>1</v>
      </c>
      <c r="J51" s="441">
        <f t="shared" si="21"/>
        <v>0.18181818181818182</v>
      </c>
      <c r="K51" s="432">
        <v>5</v>
      </c>
      <c r="L51" s="435">
        <f t="shared" si="22"/>
        <v>0.90909090909090917</v>
      </c>
      <c r="M51" s="266">
        <f t="shared" si="23"/>
        <v>181.81818181818184</v>
      </c>
      <c r="N51" s="433">
        <v>200</v>
      </c>
      <c r="O51" s="435">
        <f t="shared" si="24"/>
        <v>0.90909090909090917</v>
      </c>
    </row>
    <row r="52" spans="1:15" s="28" customFormat="1" ht="15">
      <c r="A52" s="650" t="s">
        <v>188</v>
      </c>
      <c r="B52" s="663" t="s">
        <v>438</v>
      </c>
      <c r="C52" s="13" t="s">
        <v>983</v>
      </c>
      <c r="D52" s="13">
        <v>109</v>
      </c>
      <c r="E52" s="637" t="s">
        <v>44</v>
      </c>
      <c r="F52" s="13" t="s">
        <v>10</v>
      </c>
      <c r="G52" s="28">
        <v>40</v>
      </c>
      <c r="H52" s="437">
        <v>10</v>
      </c>
      <c r="I52" s="28">
        <v>1</v>
      </c>
      <c r="J52" s="468">
        <f t="shared" si="21"/>
        <v>0.25</v>
      </c>
      <c r="K52" s="30">
        <f>(1480)/1000</f>
        <v>1.48</v>
      </c>
      <c r="L52" s="435">
        <f t="shared" si="22"/>
        <v>0.37</v>
      </c>
      <c r="M52" s="266">
        <f t="shared" si="23"/>
        <v>74</v>
      </c>
      <c r="N52" s="433">
        <v>200</v>
      </c>
      <c r="O52" s="267">
        <f t="shared" si="24"/>
        <v>0.37</v>
      </c>
    </row>
    <row r="53" spans="1:15" s="28" customFormat="1" ht="15">
      <c r="A53" s="650"/>
      <c r="B53" s="663"/>
      <c r="C53" s="13" t="s">
        <v>189</v>
      </c>
      <c r="D53" s="13">
        <v>109</v>
      </c>
      <c r="E53" s="637"/>
      <c r="F53" s="13" t="s">
        <v>10</v>
      </c>
      <c r="G53" s="28">
        <v>27</v>
      </c>
      <c r="H53" s="437">
        <v>10</v>
      </c>
      <c r="I53" s="28">
        <v>1</v>
      </c>
      <c r="J53" s="468">
        <f t="shared" si="21"/>
        <v>0.37037037037037035</v>
      </c>
      <c r="K53" s="436">
        <f>(1480*2)/1000+0.2</f>
        <v>3.16</v>
      </c>
      <c r="L53" s="435">
        <f t="shared" si="22"/>
        <v>1.1703703703703703</v>
      </c>
      <c r="M53" s="266">
        <f t="shared" si="23"/>
        <v>234.07407407407405</v>
      </c>
      <c r="N53" s="433">
        <v>200</v>
      </c>
      <c r="O53" s="267">
        <f t="shared" si="24"/>
        <v>1.1703703703703703</v>
      </c>
    </row>
    <row r="54" spans="1:15" s="28" customFormat="1" ht="15">
      <c r="A54" s="650"/>
      <c r="B54" s="663"/>
      <c r="C54" s="13" t="s">
        <v>1190</v>
      </c>
      <c r="D54" s="13">
        <v>109</v>
      </c>
      <c r="E54" s="637" t="s">
        <v>44</v>
      </c>
      <c r="F54" s="13" t="s">
        <v>10</v>
      </c>
      <c r="G54" s="28">
        <v>40</v>
      </c>
      <c r="H54" s="437">
        <v>10</v>
      </c>
      <c r="I54" s="28">
        <v>1</v>
      </c>
      <c r="J54" s="468">
        <f t="shared" si="21"/>
        <v>0.25</v>
      </c>
      <c r="K54" s="30">
        <f>(575)/1000+0.2</f>
        <v>0.77499999999999991</v>
      </c>
      <c r="L54" s="435">
        <f t="shared" si="22"/>
        <v>0.19374999999999998</v>
      </c>
      <c r="M54" s="266">
        <f t="shared" si="23"/>
        <v>38.749999999999993</v>
      </c>
      <c r="N54" s="433">
        <v>200</v>
      </c>
      <c r="O54" s="267">
        <f t="shared" si="24"/>
        <v>0.19374999999999998</v>
      </c>
    </row>
    <row r="55" spans="1:15" s="28" customFormat="1" ht="15">
      <c r="A55" s="650"/>
      <c r="B55" s="663"/>
      <c r="C55" s="13" t="s">
        <v>1191</v>
      </c>
      <c r="D55" s="13">
        <v>109</v>
      </c>
      <c r="E55" s="637"/>
      <c r="F55" s="13" t="s">
        <v>10</v>
      </c>
      <c r="G55" s="28">
        <v>27</v>
      </c>
      <c r="H55" s="437">
        <v>10</v>
      </c>
      <c r="I55" s="28">
        <v>1</v>
      </c>
      <c r="J55" s="468">
        <f t="shared" si="21"/>
        <v>0.37037037037037035</v>
      </c>
      <c r="K55" s="436">
        <f>(575*2)/1000+0.2</f>
        <v>1.35</v>
      </c>
      <c r="L55" s="435">
        <f t="shared" si="22"/>
        <v>0.49999999999999994</v>
      </c>
      <c r="M55" s="266">
        <f t="shared" si="23"/>
        <v>99.999999999999986</v>
      </c>
      <c r="N55" s="433">
        <v>200</v>
      </c>
      <c r="O55" s="267">
        <f t="shared" si="24"/>
        <v>0.49999999999999994</v>
      </c>
    </row>
    <row r="56" spans="1:15" s="16" customFormat="1" ht="15">
      <c r="A56" s="650" t="s">
        <v>437</v>
      </c>
      <c r="B56" s="663" t="s">
        <v>439</v>
      </c>
      <c r="C56" s="479" t="s">
        <v>986</v>
      </c>
      <c r="D56" s="479">
        <v>107</v>
      </c>
      <c r="E56" s="637" t="s">
        <v>122</v>
      </c>
      <c r="F56" s="17" t="s">
        <v>10</v>
      </c>
      <c r="G56" s="16">
        <v>25</v>
      </c>
      <c r="H56" s="252">
        <v>10</v>
      </c>
      <c r="I56" s="16">
        <v>1</v>
      </c>
      <c r="J56" s="471">
        <f t="shared" si="21"/>
        <v>0.40</v>
      </c>
      <c r="K56" s="30">
        <f>(1480*2)/1000</f>
        <v>2.96</v>
      </c>
      <c r="L56" s="8">
        <f t="shared" si="22"/>
        <v>1.1839999999999999</v>
      </c>
      <c r="M56" s="43">
        <f t="shared" si="23"/>
        <v>208.38399999999999</v>
      </c>
      <c r="N56" s="85">
        <v>176</v>
      </c>
      <c r="O56" s="26">
        <f t="shared" si="24"/>
        <v>1.1839999999999999</v>
      </c>
    </row>
    <row r="57" spans="1:15" s="16" customFormat="1" ht="15">
      <c r="A57" s="650"/>
      <c r="B57" s="663"/>
      <c r="C57" s="479" t="s">
        <v>987</v>
      </c>
      <c r="D57" s="479">
        <v>107</v>
      </c>
      <c r="E57" s="637"/>
      <c r="F57" s="17" t="s">
        <v>10</v>
      </c>
      <c r="G57" s="16">
        <v>28.50</v>
      </c>
      <c r="H57" s="252">
        <v>10</v>
      </c>
      <c r="I57" s="16">
        <v>1</v>
      </c>
      <c r="J57" s="471">
        <f t="shared" si="21"/>
        <v>0.35087719298245612</v>
      </c>
      <c r="K57" s="30">
        <f>(1480*2)/1000+0.2</f>
        <v>3.16</v>
      </c>
      <c r="L57" s="8">
        <f t="shared" si="22"/>
        <v>1.1087719298245613</v>
      </c>
      <c r="M57" s="43">
        <f t="shared" si="23"/>
        <v>221.75438596491227</v>
      </c>
      <c r="N57" s="85">
        <v>200</v>
      </c>
      <c r="O57" s="26">
        <f t="shared" si="24"/>
        <v>1.1087719298245613</v>
      </c>
    </row>
    <row r="58" spans="1:15" s="16" customFormat="1" ht="15">
      <c r="A58" s="650"/>
      <c r="B58" s="663"/>
      <c r="C58" s="479" t="s">
        <v>1192</v>
      </c>
      <c r="D58" s="479">
        <v>107</v>
      </c>
      <c r="E58" s="637" t="s">
        <v>122</v>
      </c>
      <c r="F58" s="17" t="s">
        <v>10</v>
      </c>
      <c r="G58" s="16">
        <v>25</v>
      </c>
      <c r="H58" s="252">
        <v>10</v>
      </c>
      <c r="I58" s="16">
        <v>1</v>
      </c>
      <c r="J58" s="471">
        <f t="shared" si="21"/>
        <v>0.40</v>
      </c>
      <c r="K58" s="30">
        <f>(575*2)/1000</f>
        <v>1.1499999999999999</v>
      </c>
      <c r="L58" s="8">
        <f t="shared" si="22"/>
        <v>0.45999999999999996</v>
      </c>
      <c r="M58" s="43">
        <f t="shared" si="23"/>
        <v>80.959999999999994</v>
      </c>
      <c r="N58" s="85">
        <v>176</v>
      </c>
      <c r="O58" s="26">
        <f t="shared" si="24"/>
        <v>0.45999999999999996</v>
      </c>
    </row>
    <row r="59" spans="1:15" s="16" customFormat="1" ht="15">
      <c r="A59" s="650"/>
      <c r="B59" s="663"/>
      <c r="C59" s="479" t="s">
        <v>1193</v>
      </c>
      <c r="D59" s="479">
        <v>107</v>
      </c>
      <c r="E59" s="637"/>
      <c r="F59" s="17" t="s">
        <v>10</v>
      </c>
      <c r="G59" s="16">
        <v>28.50</v>
      </c>
      <c r="H59" s="252">
        <v>10</v>
      </c>
      <c r="I59" s="16">
        <v>1</v>
      </c>
      <c r="J59" s="471">
        <f t="shared" si="21"/>
        <v>0.35087719298245612</v>
      </c>
      <c r="K59" s="30">
        <f>(575*2)/1000+0.2</f>
        <v>1.35</v>
      </c>
      <c r="L59" s="8">
        <f t="shared" si="22"/>
        <v>0.47368421052631571</v>
      </c>
      <c r="M59" s="43">
        <f t="shared" si="23"/>
        <v>94.736842105263136</v>
      </c>
      <c r="N59" s="85">
        <v>200</v>
      </c>
      <c r="O59" s="26">
        <f t="shared" si="24"/>
        <v>0.47368421052631571</v>
      </c>
    </row>
    <row r="60" spans="1:15" ht="15">
      <c r="A60" s="650" t="s">
        <v>190</v>
      </c>
      <c r="B60" s="638" t="s">
        <v>191</v>
      </c>
      <c r="C60" s="13" t="s">
        <v>24</v>
      </c>
      <c r="D60" s="13">
        <v>111</v>
      </c>
      <c r="E60" s="13"/>
      <c r="F60" s="4" t="s">
        <v>45</v>
      </c>
      <c r="G60" s="28">
        <v>7.66</v>
      </c>
      <c r="H60" s="431">
        <v>10</v>
      </c>
      <c r="I60" s="28">
        <v>2</v>
      </c>
      <c r="J60" s="472">
        <f t="shared" si="21"/>
        <v>2.6109660574412534</v>
      </c>
      <c r="K60" s="28">
        <v>1</v>
      </c>
      <c r="L60" s="267">
        <f t="shared" si="22"/>
        <v>2.6109660574412534</v>
      </c>
      <c r="M60" s="433">
        <f t="shared" si="23"/>
        <v>522.19321148825065</v>
      </c>
      <c r="N60" s="434">
        <v>200</v>
      </c>
      <c r="O60" s="435">
        <f t="shared" si="24"/>
        <v>1.3054830287206267</v>
      </c>
    </row>
    <row r="61" spans="1:15" ht="15">
      <c r="A61" s="650"/>
      <c r="B61" s="638"/>
      <c r="C61" s="13" t="s">
        <v>106</v>
      </c>
      <c r="D61" s="13">
        <v>111</v>
      </c>
      <c r="E61" s="637" t="s">
        <v>122</v>
      </c>
      <c r="F61" s="13" t="s">
        <v>10</v>
      </c>
      <c r="G61" s="28">
        <v>40</v>
      </c>
      <c r="H61" s="431">
        <v>10</v>
      </c>
      <c r="I61" s="28">
        <v>1</v>
      </c>
      <c r="J61" s="472">
        <f t="shared" si="21"/>
        <v>0.25</v>
      </c>
      <c r="K61" s="28">
        <f>3417/1000</f>
        <v>3.4169999999999998</v>
      </c>
      <c r="L61" s="267">
        <f t="shared" si="22"/>
        <v>0.85424999999999995</v>
      </c>
      <c r="M61" s="433">
        <f t="shared" si="23"/>
        <v>170.85</v>
      </c>
      <c r="N61" s="434">
        <v>200</v>
      </c>
      <c r="O61" s="435">
        <f t="shared" si="24"/>
        <v>0.85424999999999995</v>
      </c>
    </row>
    <row r="62" spans="1:15" ht="15">
      <c r="A62" s="650"/>
      <c r="B62" s="638"/>
      <c r="C62" s="4" t="s">
        <v>511</v>
      </c>
      <c r="D62" s="4">
        <v>111</v>
      </c>
      <c r="E62" s="637"/>
      <c r="F62" s="4" t="s">
        <v>10</v>
      </c>
      <c r="G62" s="28">
        <v>25</v>
      </c>
      <c r="H62" s="431">
        <v>10</v>
      </c>
      <c r="I62" s="28">
        <v>1</v>
      </c>
      <c r="J62" s="472">
        <f t="shared" si="21"/>
        <v>0.40</v>
      </c>
      <c r="K62" s="28">
        <f>3417/1000</f>
        <v>3.4169999999999998</v>
      </c>
      <c r="L62" s="267">
        <f t="shared" si="22"/>
        <v>1.3668</v>
      </c>
      <c r="M62" s="266">
        <f t="shared" si="23"/>
        <v>240.55680000000001</v>
      </c>
      <c r="N62" s="433">
        <v>176</v>
      </c>
      <c r="O62" s="435">
        <f t="shared" si="24"/>
        <v>1.3668</v>
      </c>
    </row>
    <row r="63" spans="1:15" ht="15">
      <c r="A63" s="650"/>
      <c r="B63" s="638"/>
      <c r="C63" s="13" t="s">
        <v>990</v>
      </c>
      <c r="D63" s="13">
        <v>111</v>
      </c>
      <c r="E63" s="637"/>
      <c r="F63" s="13" t="s">
        <v>10</v>
      </c>
      <c r="G63" s="28">
        <v>40</v>
      </c>
      <c r="H63" s="431">
        <v>10</v>
      </c>
      <c r="I63" s="28">
        <v>1</v>
      </c>
      <c r="J63" s="472">
        <f t="shared" si="21"/>
        <v>0.25</v>
      </c>
      <c r="K63" s="28">
        <f>3417*2/1000</f>
        <v>6.8339999999999996</v>
      </c>
      <c r="L63" s="267">
        <f t="shared" si="22"/>
        <v>1.7084999999999999</v>
      </c>
      <c r="M63" s="433">
        <f t="shared" si="23"/>
        <v>341.70</v>
      </c>
      <c r="N63" s="434">
        <v>200</v>
      </c>
      <c r="O63" s="435">
        <f t="shared" si="24"/>
        <v>1.7084999999999999</v>
      </c>
    </row>
    <row r="64" spans="1:15" s="0" customFormat="1" ht="15">
      <c r="A64" s="57" t="s">
        <v>348</v>
      </c>
      <c r="B64" s="56" t="s">
        <v>1007</v>
      </c>
      <c r="C64" s="17" t="s">
        <v>523</v>
      </c>
      <c r="D64" s="17">
        <v>224</v>
      </c>
      <c r="E64" s="13"/>
      <c r="F64" s="17"/>
      <c r="G64" s="16">
        <v>60</v>
      </c>
      <c r="H64" s="18">
        <v>10</v>
      </c>
      <c r="I64" s="16">
        <v>1</v>
      </c>
      <c r="J64" s="20">
        <f t="shared" si="21"/>
        <v>0.16666666666666666</v>
      </c>
      <c r="K64" s="30">
        <v>3</v>
      </c>
      <c r="L64" s="8">
        <f t="shared" si="22"/>
        <v>0.50</v>
      </c>
      <c r="M64" s="42">
        <f t="shared" si="23"/>
        <v>100</v>
      </c>
      <c r="N64" s="43">
        <v>200</v>
      </c>
      <c r="O64" s="8">
        <f t="shared" si="24"/>
        <v>0.50</v>
      </c>
    </row>
    <row r="65" spans="1:15" ht="15">
      <c r="A65" s="57" t="s">
        <v>325</v>
      </c>
      <c r="B65" s="56" t="s">
        <v>327</v>
      </c>
      <c r="C65" s="13" t="s">
        <v>326</v>
      </c>
      <c r="D65" s="13">
        <v>112</v>
      </c>
      <c r="E65" s="13"/>
      <c r="F65" s="13" t="s">
        <v>513</v>
      </c>
      <c r="G65" s="28">
        <v>15</v>
      </c>
      <c r="H65" s="440">
        <v>10</v>
      </c>
      <c r="I65" s="28">
        <v>2</v>
      </c>
      <c r="J65" s="441">
        <f t="shared" si="21"/>
        <v>1.3333333333333333</v>
      </c>
      <c r="K65" s="432">
        <v>1</v>
      </c>
      <c r="L65" s="435">
        <f t="shared" si="22"/>
        <v>1.3333333333333333</v>
      </c>
      <c r="M65" s="266">
        <f t="shared" si="23"/>
        <v>266.66666666666663</v>
      </c>
      <c r="N65" s="433">
        <v>200</v>
      </c>
      <c r="O65" s="435">
        <f t="shared" si="24"/>
        <v>0.66666666666666663</v>
      </c>
    </row>
    <row r="66" spans="1:15" s="0" customFormat="1" ht="15">
      <c r="A66" s="637" t="s">
        <v>197</v>
      </c>
      <c r="B66" s="638" t="s">
        <v>110</v>
      </c>
      <c r="C66" s="13" t="s">
        <v>47</v>
      </c>
      <c r="D66" s="13">
        <v>112</v>
      </c>
      <c r="E66" s="13"/>
      <c r="F66" s="25" t="s">
        <v>111</v>
      </c>
      <c r="G66" s="16">
        <v>9</v>
      </c>
      <c r="H66" s="252">
        <v>10</v>
      </c>
      <c r="I66" s="16">
        <v>2</v>
      </c>
      <c r="J66" s="253">
        <f t="shared" si="21"/>
        <v>2.2222222222222223</v>
      </c>
      <c r="K66" s="16">
        <v>1</v>
      </c>
      <c r="L66" s="26">
        <f t="shared" si="22"/>
        <v>2.2222222222222223</v>
      </c>
      <c r="M66" s="43">
        <f t="shared" si="23"/>
        <v>444.44444444444446</v>
      </c>
      <c r="N66" s="46">
        <v>200</v>
      </c>
      <c r="O66" s="8">
        <f t="shared" si="24"/>
        <v>1.1111111111111112</v>
      </c>
    </row>
    <row r="67" spans="1:15" s="0" customFormat="1" ht="30">
      <c r="A67" s="637"/>
      <c r="B67" s="638"/>
      <c r="C67" s="13" t="s">
        <v>48</v>
      </c>
      <c r="D67" s="13">
        <v>112</v>
      </c>
      <c r="E67" s="4" t="s">
        <v>520</v>
      </c>
      <c r="F67" s="17" t="s">
        <v>10</v>
      </c>
      <c r="G67" s="16">
        <v>40</v>
      </c>
      <c r="H67" s="252">
        <v>10</v>
      </c>
      <c r="I67" s="16">
        <v>1</v>
      </c>
      <c r="J67" s="253">
        <f t="shared" si="21"/>
        <v>0.25</v>
      </c>
      <c r="K67" s="30">
        <f>((1569*2+318*2)+(736*2)+(736))/1000</f>
        <v>5.9820000000000002</v>
      </c>
      <c r="L67" s="26">
        <f t="shared" si="22"/>
        <v>1.4955000000000001</v>
      </c>
      <c r="M67" s="43">
        <f t="shared" si="23"/>
        <v>299.10000000000002</v>
      </c>
      <c r="N67" s="46">
        <v>200</v>
      </c>
      <c r="O67" s="8">
        <f t="shared" si="24"/>
        <v>1.4955000000000001</v>
      </c>
    </row>
    <row r="68" spans="1:15" ht="15">
      <c r="A68" s="13" t="s">
        <v>888</v>
      </c>
      <c r="B68" s="56" t="s">
        <v>1194</v>
      </c>
      <c r="C68" s="13" t="s">
        <v>862</v>
      </c>
      <c r="D68" s="13">
        <v>224</v>
      </c>
      <c r="E68" s="13"/>
      <c r="F68" s="17"/>
      <c r="G68" s="28">
        <f>(600-25)/10</f>
        <v>57.50</v>
      </c>
      <c r="H68" s="440">
        <v>10</v>
      </c>
      <c r="I68" s="28">
        <v>2</v>
      </c>
      <c r="J68" s="441">
        <f t="shared" si="21"/>
        <v>0.34782608695652173</v>
      </c>
      <c r="K68" s="28">
        <v>1</v>
      </c>
      <c r="L68" s="267">
        <f t="shared" si="22"/>
        <v>0.34782608695652173</v>
      </c>
      <c r="M68" s="433">
        <f t="shared" si="23"/>
        <v>69.565217391304344</v>
      </c>
      <c r="N68" s="434">
        <v>200</v>
      </c>
      <c r="O68" s="435">
        <f t="shared" si="24"/>
        <v>0.17391304347826086</v>
      </c>
    </row>
    <row r="69" spans="1:15" ht="15">
      <c r="A69" s="13" t="s">
        <v>199</v>
      </c>
      <c r="B69" s="27" t="s">
        <v>890</v>
      </c>
      <c r="C69" s="13" t="s">
        <v>47</v>
      </c>
      <c r="D69" s="13">
        <v>112</v>
      </c>
      <c r="E69" s="13"/>
      <c r="F69" s="4" t="s">
        <v>870</v>
      </c>
      <c r="G69" s="28">
        <v>10</v>
      </c>
      <c r="H69" s="440">
        <v>10</v>
      </c>
      <c r="I69" s="28">
        <v>2</v>
      </c>
      <c r="J69" s="441">
        <f t="shared" si="21"/>
        <v>2</v>
      </c>
      <c r="K69" s="28">
        <v>1</v>
      </c>
      <c r="L69" s="267">
        <f t="shared" si="22"/>
        <v>2</v>
      </c>
      <c r="M69" s="433">
        <f t="shared" si="23"/>
        <v>400</v>
      </c>
      <c r="N69" s="434">
        <v>200</v>
      </c>
      <c r="O69" s="435">
        <f t="shared" si="24"/>
        <v>1</v>
      </c>
    </row>
    <row r="70" spans="1:15" ht="15">
      <c r="A70" s="39"/>
      <c r="B70" s="649" t="s">
        <v>132</v>
      </c>
      <c r="C70" s="649"/>
      <c r="D70" s="649"/>
      <c r="E70" s="649"/>
      <c r="F70" s="649"/>
      <c r="G70" s="649"/>
      <c r="H70" s="649"/>
      <c r="I70" s="649"/>
      <c r="J70" s="649"/>
      <c r="K70" s="649"/>
      <c r="L70" s="267"/>
      <c r="M70" s="262">
        <f>SUM(M71:M82)</f>
        <v>6009.2030083005247</v>
      </c>
      <c r="N70" s="263"/>
      <c r="O70" s="264">
        <f>SUM(O71:O82)</f>
        <v>22.055687898387269</v>
      </c>
    </row>
    <row r="71" spans="1:15" ht="15">
      <c r="A71" s="650" t="s">
        <v>200</v>
      </c>
      <c r="B71" s="638" t="s">
        <v>871</v>
      </c>
      <c r="C71" s="13" t="s">
        <v>946</v>
      </c>
      <c r="D71" s="13">
        <v>224</v>
      </c>
      <c r="E71" s="13"/>
      <c r="F71" s="13" t="s">
        <v>353</v>
      </c>
      <c r="G71" s="442">
        <f>600/10</f>
        <v>60</v>
      </c>
      <c r="H71" s="440">
        <v>10</v>
      </c>
      <c r="I71" s="28">
        <v>1</v>
      </c>
      <c r="J71" s="441">
        <f t="shared" si="25" ref="J71:J82">H71/G71*I71</f>
        <v>0.16666666666666666</v>
      </c>
      <c r="K71" s="432">
        <v>2</v>
      </c>
      <c r="L71" s="435">
        <f t="shared" si="26" ref="L71:L74">J71*K71</f>
        <v>0.33333333333333331</v>
      </c>
      <c r="M71" s="266">
        <f t="shared" si="27" ref="M71:M82">L71*N71</f>
        <v>66.666666666666657</v>
      </c>
      <c r="N71" s="433">
        <v>200</v>
      </c>
      <c r="O71" s="435">
        <f t="shared" si="28" ref="O71:O82">J71/I71*K71</f>
        <v>0.33333333333333331</v>
      </c>
    </row>
    <row r="72" spans="1:15" ht="15">
      <c r="A72" s="650"/>
      <c r="B72" s="638"/>
      <c r="C72" s="13" t="s">
        <v>1154</v>
      </c>
      <c r="D72" s="13">
        <v>224</v>
      </c>
      <c r="E72" s="13"/>
      <c r="F72" s="13" t="s">
        <v>353</v>
      </c>
      <c r="G72" s="442">
        <v>120</v>
      </c>
      <c r="H72" s="440">
        <v>10</v>
      </c>
      <c r="I72" s="28">
        <v>1</v>
      </c>
      <c r="J72" s="441">
        <f t="shared" si="25"/>
        <v>0.083333333333333329</v>
      </c>
      <c r="K72" s="432">
        <v>2</v>
      </c>
      <c r="L72" s="435">
        <f t="shared" si="26"/>
        <v>0.16666666666666666</v>
      </c>
      <c r="M72" s="266">
        <f t="shared" si="27"/>
        <v>33.333333333333329</v>
      </c>
      <c r="N72" s="433">
        <v>200</v>
      </c>
      <c r="O72" s="435">
        <f t="shared" si="28"/>
        <v>0.16666666666666666</v>
      </c>
    </row>
    <row r="73" spans="1:15" ht="15">
      <c r="A73" s="650"/>
      <c r="B73" s="638"/>
      <c r="C73" s="13" t="s">
        <v>873</v>
      </c>
      <c r="D73" s="13">
        <v>224</v>
      </c>
      <c r="E73" s="13"/>
      <c r="F73" s="13" t="s">
        <v>353</v>
      </c>
      <c r="G73" s="442">
        <f>600/5</f>
        <v>120</v>
      </c>
      <c r="H73" s="440">
        <v>10</v>
      </c>
      <c r="I73" s="28">
        <v>1</v>
      </c>
      <c r="J73" s="441">
        <f t="shared" si="25"/>
        <v>0.083333333333333329</v>
      </c>
      <c r="K73" s="432">
        <v>2</v>
      </c>
      <c r="L73" s="435">
        <f t="shared" si="26"/>
        <v>0.16666666666666666</v>
      </c>
      <c r="M73" s="266">
        <f t="shared" si="27"/>
        <v>33.333333333333329</v>
      </c>
      <c r="N73" s="433">
        <v>200</v>
      </c>
      <c r="O73" s="435">
        <f t="shared" si="28"/>
        <v>0.16666666666666666</v>
      </c>
    </row>
    <row r="74" spans="1:15" ht="15">
      <c r="A74" s="57" t="s">
        <v>662</v>
      </c>
      <c r="B74" s="56" t="s">
        <v>1196</v>
      </c>
      <c r="C74" s="13" t="s">
        <v>862</v>
      </c>
      <c r="D74" s="13">
        <v>224</v>
      </c>
      <c r="E74" s="13"/>
      <c r="F74" s="17"/>
      <c r="G74" s="442">
        <f>(600-25)/10</f>
        <v>57.50</v>
      </c>
      <c r="H74" s="440">
        <v>10</v>
      </c>
      <c r="I74" s="28">
        <v>2</v>
      </c>
      <c r="J74" s="441">
        <f t="shared" si="25"/>
        <v>0.34782608695652173</v>
      </c>
      <c r="K74" s="28">
        <v>1</v>
      </c>
      <c r="L74" s="267">
        <f t="shared" si="26"/>
        <v>0.34782608695652173</v>
      </c>
      <c r="M74" s="433">
        <f t="shared" si="27"/>
        <v>69.565217391304344</v>
      </c>
      <c r="N74" s="434">
        <v>200</v>
      </c>
      <c r="O74" s="435">
        <f t="shared" si="28"/>
        <v>0.17391304347826086</v>
      </c>
    </row>
    <row r="75" spans="1:15" ht="15">
      <c r="A75" s="13" t="s">
        <v>205</v>
      </c>
      <c r="B75" s="27" t="s">
        <v>1156</v>
      </c>
      <c r="C75" s="13" t="s">
        <v>138</v>
      </c>
      <c r="D75" s="13">
        <v>117</v>
      </c>
      <c r="E75" s="13"/>
      <c r="F75" s="4" t="s">
        <v>13</v>
      </c>
      <c r="G75" s="442">
        <f>1.429*1.4</f>
        <v>2.0005999999999999</v>
      </c>
      <c r="H75" s="440">
        <v>10</v>
      </c>
      <c r="I75" s="28">
        <v>2</v>
      </c>
      <c r="J75" s="441">
        <f t="shared" si="25"/>
        <v>9.9970008997300805</v>
      </c>
      <c r="K75" s="28">
        <v>1</v>
      </c>
      <c r="L75" s="267">
        <f>J75*K75</f>
        <v>9.9970008997300805</v>
      </c>
      <c r="M75" s="433">
        <f t="shared" si="27"/>
        <v>1999.4001799460161</v>
      </c>
      <c r="N75" s="434">
        <v>200</v>
      </c>
      <c r="O75" s="435">
        <f t="shared" si="28"/>
        <v>4.9985004498650403</v>
      </c>
    </row>
    <row r="76" spans="1:15" ht="15">
      <c r="A76" s="13" t="s">
        <v>877</v>
      </c>
      <c r="B76" s="27" t="s">
        <v>876</v>
      </c>
      <c r="C76" s="13" t="s">
        <v>160</v>
      </c>
      <c r="D76" s="13">
        <v>117</v>
      </c>
      <c r="E76" s="13"/>
      <c r="F76" s="4" t="s">
        <v>13</v>
      </c>
      <c r="G76" s="442">
        <v>40</v>
      </c>
      <c r="H76" s="440">
        <v>10</v>
      </c>
      <c r="I76" s="28">
        <v>1</v>
      </c>
      <c r="J76" s="441">
        <f t="shared" si="25"/>
        <v>0.25</v>
      </c>
      <c r="K76" s="442">
        <f>(3520+3182+3150+926+16*3.1415*18+377*3.1415+30*3)/1000</f>
        <v>12.9570975</v>
      </c>
      <c r="L76" s="267">
        <f>J76*K76</f>
        <v>3.2392743749999999</v>
      </c>
      <c r="M76" s="433">
        <f t="shared" si="27"/>
        <v>647.85487499999999</v>
      </c>
      <c r="N76" s="434">
        <v>200</v>
      </c>
      <c r="O76" s="435">
        <f t="shared" si="28"/>
        <v>3.2392743749999999</v>
      </c>
    </row>
    <row r="77" spans="1:15" ht="15">
      <c r="A77" s="13" t="s">
        <v>206</v>
      </c>
      <c r="B77" s="27" t="s">
        <v>94</v>
      </c>
      <c r="C77" s="13" t="s">
        <v>160</v>
      </c>
      <c r="D77" s="13">
        <v>114</v>
      </c>
      <c r="E77" s="13"/>
      <c r="F77" s="4" t="s">
        <v>13</v>
      </c>
      <c r="G77" s="442">
        <v>40</v>
      </c>
      <c r="H77" s="440">
        <v>10</v>
      </c>
      <c r="I77" s="28">
        <v>1</v>
      </c>
      <c r="J77" s="441">
        <f t="shared" si="25"/>
        <v>0.25</v>
      </c>
      <c r="K77" s="442">
        <f>(3520*2+120*3+16*3.1415*18+377*3.1415+3182+3335+19*3.1415*2+23*3.1415*3+3150)/1000</f>
        <v>19.492238</v>
      </c>
      <c r="L77" s="267">
        <f>J77*K77</f>
        <v>4.8730595000000001</v>
      </c>
      <c r="M77" s="433">
        <f t="shared" si="27"/>
        <v>974.61189999999999</v>
      </c>
      <c r="N77" s="434">
        <v>200</v>
      </c>
      <c r="O77" s="435">
        <f t="shared" si="28"/>
        <v>4.8730595000000001</v>
      </c>
    </row>
    <row r="78" spans="1:15" ht="15">
      <c r="A78" s="13" t="s">
        <v>207</v>
      </c>
      <c r="B78" s="56" t="s">
        <v>55</v>
      </c>
      <c r="C78" s="13" t="s">
        <v>29</v>
      </c>
      <c r="D78" s="13">
        <v>120</v>
      </c>
      <c r="E78" s="13"/>
      <c r="F78" s="13" t="s">
        <v>13</v>
      </c>
      <c r="G78" s="31">
        <v>11.30</v>
      </c>
      <c r="H78" s="440">
        <v>10</v>
      </c>
      <c r="I78" s="28">
        <v>1</v>
      </c>
      <c r="J78" s="441">
        <f t="shared" si="25"/>
        <v>0.88495575221238931</v>
      </c>
      <c r="K78" s="28">
        <v>1</v>
      </c>
      <c r="L78" s="267">
        <f t="shared" si="29" ref="L78:L81">J78*K78</f>
        <v>0.88495575221238931</v>
      </c>
      <c r="M78" s="433">
        <f t="shared" si="27"/>
        <v>155.75221238938053</v>
      </c>
      <c r="N78" s="434">
        <v>176</v>
      </c>
      <c r="O78" s="435">
        <f t="shared" si="28"/>
        <v>0.88495575221238931</v>
      </c>
    </row>
    <row r="79" spans="1:15" ht="15">
      <c r="A79" s="13" t="s">
        <v>208</v>
      </c>
      <c r="B79" s="56" t="s">
        <v>56</v>
      </c>
      <c r="C79" s="13" t="s">
        <v>29</v>
      </c>
      <c r="D79" s="13">
        <v>120</v>
      </c>
      <c r="E79" s="13"/>
      <c r="F79" s="13" t="s">
        <v>13</v>
      </c>
      <c r="G79" s="31">
        <v>11.30</v>
      </c>
      <c r="H79" s="440">
        <v>10</v>
      </c>
      <c r="I79" s="28">
        <v>1</v>
      </c>
      <c r="J79" s="441">
        <f t="shared" si="25"/>
        <v>0.88495575221238931</v>
      </c>
      <c r="K79" s="28">
        <v>1</v>
      </c>
      <c r="L79" s="267">
        <f t="shared" si="29"/>
        <v>0.88495575221238931</v>
      </c>
      <c r="M79" s="433">
        <f t="shared" si="27"/>
        <v>155.75221238938053</v>
      </c>
      <c r="N79" s="434">
        <v>176</v>
      </c>
      <c r="O79" s="435">
        <f t="shared" si="28"/>
        <v>0.88495575221238931</v>
      </c>
    </row>
    <row r="80" spans="1:16" ht="30">
      <c r="A80" s="13" t="s">
        <v>209</v>
      </c>
      <c r="B80" s="27" t="s">
        <v>892</v>
      </c>
      <c r="C80" s="13" t="s">
        <v>14</v>
      </c>
      <c r="D80" s="13">
        <v>119</v>
      </c>
      <c r="E80" s="13"/>
      <c r="F80" s="13" t="s">
        <v>58</v>
      </c>
      <c r="G80" s="16">
        <v>61</v>
      </c>
      <c r="H80" s="440">
        <v>10</v>
      </c>
      <c r="I80" s="28">
        <v>1</v>
      </c>
      <c r="J80" s="441">
        <f t="shared" si="25"/>
        <v>0.16393442622950818</v>
      </c>
      <c r="K80" s="28">
        <v>2</v>
      </c>
      <c r="L80" s="267">
        <f t="shared" si="29"/>
        <v>0.32786885245901637</v>
      </c>
      <c r="M80" s="433">
        <f t="shared" si="27"/>
        <v>65.573770491803273</v>
      </c>
      <c r="N80" s="434">
        <v>200</v>
      </c>
      <c r="O80" s="435">
        <f t="shared" si="28"/>
        <v>0.32786885245901637</v>
      </c>
      <c r="P80" s="22"/>
    </row>
    <row r="81" spans="1:16" ht="30">
      <c r="A81" s="13" t="s">
        <v>210</v>
      </c>
      <c r="B81" s="27" t="s">
        <v>114</v>
      </c>
      <c r="C81" s="13" t="s">
        <v>54</v>
      </c>
      <c r="D81" s="13">
        <v>116</v>
      </c>
      <c r="E81" s="13"/>
      <c r="F81" s="13" t="s">
        <v>13</v>
      </c>
      <c r="G81" s="469">
        <v>3.30</v>
      </c>
      <c r="H81" s="440">
        <v>10</v>
      </c>
      <c r="I81" s="28">
        <v>2</v>
      </c>
      <c r="J81" s="441">
        <f t="shared" si="25"/>
        <v>6.0606060606060606</v>
      </c>
      <c r="K81" s="28">
        <v>1</v>
      </c>
      <c r="L81" s="267">
        <f t="shared" si="29"/>
        <v>6.0606060606060606</v>
      </c>
      <c r="M81" s="433">
        <f t="shared" si="27"/>
        <v>1212.121212121212</v>
      </c>
      <c r="N81" s="434">
        <v>200</v>
      </c>
      <c r="O81" s="435">
        <f t="shared" si="28"/>
        <v>3.0303030303030303</v>
      </c>
      <c r="P81" s="22"/>
    </row>
    <row r="82" spans="1:15" ht="30">
      <c r="A82" s="13" t="s">
        <v>211</v>
      </c>
      <c r="B82" s="56" t="s">
        <v>60</v>
      </c>
      <c r="C82" s="13" t="s">
        <v>14</v>
      </c>
      <c r="D82" s="13">
        <v>226</v>
      </c>
      <c r="E82" s="13"/>
      <c r="F82" s="4" t="s">
        <v>58</v>
      </c>
      <c r="G82" s="470">
        <v>3.36</v>
      </c>
      <c r="H82" s="440">
        <v>10</v>
      </c>
      <c r="I82" s="28">
        <v>1</v>
      </c>
      <c r="J82" s="441">
        <f t="shared" si="25"/>
        <v>2.9761904761904763</v>
      </c>
      <c r="K82" s="28">
        <v>1</v>
      </c>
      <c r="L82" s="267">
        <f>J82*K82</f>
        <v>2.9761904761904763</v>
      </c>
      <c r="M82" s="433">
        <f t="shared" si="27"/>
        <v>595.2380952380953</v>
      </c>
      <c r="N82" s="434">
        <v>200</v>
      </c>
      <c r="O82" s="435">
        <f t="shared" si="28"/>
        <v>2.9761904761904763</v>
      </c>
    </row>
    <row r="83" spans="1:15" ht="15">
      <c r="A83" s="39"/>
      <c r="B83" s="649" t="s">
        <v>140</v>
      </c>
      <c r="C83" s="649"/>
      <c r="D83" s="649"/>
      <c r="E83" s="649"/>
      <c r="F83" s="649"/>
      <c r="G83" s="649"/>
      <c r="H83" s="649"/>
      <c r="I83" s="649"/>
      <c r="J83" s="649"/>
      <c r="K83" s="649"/>
      <c r="L83" s="267"/>
      <c r="M83" s="262">
        <f>SUM(M84:M89)</f>
        <v>2412.0841153428764</v>
      </c>
      <c r="N83" s="263"/>
      <c r="O83" s="264">
        <f>SUM(O84:O89)</f>
        <v>7.8863325244856854</v>
      </c>
    </row>
    <row r="84" spans="1:15" ht="15">
      <c r="A84" s="57" t="s">
        <v>893</v>
      </c>
      <c r="B84" s="27" t="s">
        <v>881</v>
      </c>
      <c r="C84" s="13" t="s">
        <v>880</v>
      </c>
      <c r="D84" s="13">
        <v>224</v>
      </c>
      <c r="E84" s="13"/>
      <c r="F84" s="13" t="s">
        <v>353</v>
      </c>
      <c r="G84" s="436">
        <f>600/20</f>
        <v>30</v>
      </c>
      <c r="H84" s="440">
        <v>10</v>
      </c>
      <c r="I84" s="28">
        <v>1</v>
      </c>
      <c r="J84" s="441">
        <f t="shared" si="30" ref="J84:J89">H84/G84*I84</f>
        <v>0.33333333333333331</v>
      </c>
      <c r="K84" s="432">
        <v>1</v>
      </c>
      <c r="L84" s="435">
        <f t="shared" si="31" ref="L84:L89">J84*K84</f>
        <v>0.33333333333333331</v>
      </c>
      <c r="M84" s="266">
        <f t="shared" si="32" ref="M84:M89">L84*N84</f>
        <v>66.666666666666657</v>
      </c>
      <c r="N84" s="433">
        <v>200</v>
      </c>
      <c r="O84" s="435">
        <f t="shared" si="33" ref="O84:O89">J84/I84*K84</f>
        <v>0.33333333333333331</v>
      </c>
    </row>
    <row r="85" spans="1:15" ht="15">
      <c r="A85" s="57" t="s">
        <v>212</v>
      </c>
      <c r="B85" s="56" t="s">
        <v>1194</v>
      </c>
      <c r="C85" s="13" t="s">
        <v>862</v>
      </c>
      <c r="D85" s="13">
        <v>224</v>
      </c>
      <c r="E85" s="13"/>
      <c r="F85" s="17"/>
      <c r="G85" s="28">
        <f>(600-25)/10</f>
        <v>57.50</v>
      </c>
      <c r="H85" s="440">
        <v>10</v>
      </c>
      <c r="I85" s="28">
        <v>2</v>
      </c>
      <c r="J85" s="441">
        <f t="shared" si="30"/>
        <v>0.34782608695652173</v>
      </c>
      <c r="K85" s="28">
        <v>1</v>
      </c>
      <c r="L85" s="267">
        <f t="shared" si="31"/>
        <v>0.34782608695652173</v>
      </c>
      <c r="M85" s="433">
        <f t="shared" si="32"/>
        <v>69.565217391304344</v>
      </c>
      <c r="N85" s="434">
        <v>200</v>
      </c>
      <c r="O85" s="435">
        <f t="shared" si="33"/>
        <v>0.17391304347826086</v>
      </c>
    </row>
    <row r="86" spans="1:15" ht="15">
      <c r="A86" s="57" t="s">
        <v>878</v>
      </c>
      <c r="B86" s="27" t="s">
        <v>882</v>
      </c>
      <c r="C86" s="13" t="s">
        <v>1197</v>
      </c>
      <c r="D86" s="13">
        <v>117</v>
      </c>
      <c r="E86" s="13"/>
      <c r="F86" s="13" t="s">
        <v>353</v>
      </c>
      <c r="G86" s="28">
        <v>40</v>
      </c>
      <c r="H86" s="440">
        <v>10</v>
      </c>
      <c r="I86" s="28">
        <v>1</v>
      </c>
      <c r="J86" s="441">
        <f t="shared" si="30"/>
        <v>0.25</v>
      </c>
      <c r="K86" s="432">
        <v>1</v>
      </c>
      <c r="L86" s="435">
        <f t="shared" si="31"/>
        <v>0.25</v>
      </c>
      <c r="M86" s="266">
        <f t="shared" si="32"/>
        <v>50</v>
      </c>
      <c r="N86" s="433">
        <v>200</v>
      </c>
      <c r="O86" s="435">
        <f t="shared" si="33"/>
        <v>0.25</v>
      </c>
    </row>
    <row r="87" spans="1:15" ht="15">
      <c r="A87" s="57" t="s">
        <v>214</v>
      </c>
      <c r="B87" s="56" t="s">
        <v>883</v>
      </c>
      <c r="C87" s="13" t="s">
        <v>33</v>
      </c>
      <c r="D87" s="13">
        <v>118</v>
      </c>
      <c r="E87" s="13"/>
      <c r="F87" s="13" t="s">
        <v>510</v>
      </c>
      <c r="G87" s="28">
        <v>40</v>
      </c>
      <c r="H87" s="440">
        <v>10</v>
      </c>
      <c r="I87" s="28">
        <v>2</v>
      </c>
      <c r="J87" s="441">
        <f t="shared" si="30"/>
        <v>0.50</v>
      </c>
      <c r="K87" s="432">
        <v>2</v>
      </c>
      <c r="L87" s="267">
        <f t="shared" si="31"/>
        <v>1</v>
      </c>
      <c r="M87" s="433">
        <f t="shared" si="32"/>
        <v>200</v>
      </c>
      <c r="N87" s="434">
        <v>200</v>
      </c>
      <c r="O87" s="435">
        <f t="shared" si="33"/>
        <v>0.50</v>
      </c>
    </row>
    <row r="88" spans="1:15" ht="15">
      <c r="A88" s="13" t="s">
        <v>219</v>
      </c>
      <c r="B88" s="56" t="s">
        <v>91</v>
      </c>
      <c r="C88" s="13" t="s">
        <v>54</v>
      </c>
      <c r="D88" s="13">
        <v>118</v>
      </c>
      <c r="E88" s="13"/>
      <c r="F88" s="4" t="s">
        <v>59</v>
      </c>
      <c r="G88" s="30">
        <v>2.8570000000000002</v>
      </c>
      <c r="H88" s="440">
        <v>10</v>
      </c>
      <c r="I88" s="28">
        <v>2</v>
      </c>
      <c r="J88" s="441">
        <f t="shared" si="30"/>
        <v>7.0003500175008746</v>
      </c>
      <c r="K88" s="432">
        <v>1</v>
      </c>
      <c r="L88" s="267">
        <f t="shared" si="31"/>
        <v>7.0003500175008746</v>
      </c>
      <c r="M88" s="433">
        <f t="shared" si="32"/>
        <v>1400.0700035001748</v>
      </c>
      <c r="N88" s="434">
        <v>200</v>
      </c>
      <c r="O88" s="435">
        <f t="shared" si="33"/>
        <v>3.5001750087504373</v>
      </c>
    </row>
    <row r="89" spans="1:15" ht="15">
      <c r="A89" s="13" t="s">
        <v>220</v>
      </c>
      <c r="B89" s="56" t="s">
        <v>92</v>
      </c>
      <c r="C89" s="13" t="s">
        <v>54</v>
      </c>
      <c r="D89" s="13">
        <v>118</v>
      </c>
      <c r="E89" s="13"/>
      <c r="F89" s="4" t="s">
        <v>59</v>
      </c>
      <c r="G89" s="30">
        <v>3.1960000000000002</v>
      </c>
      <c r="H89" s="440">
        <v>10</v>
      </c>
      <c r="I89" s="28">
        <v>1</v>
      </c>
      <c r="J89" s="441">
        <f t="shared" si="30"/>
        <v>3.1289111389236544</v>
      </c>
      <c r="K89" s="432">
        <v>1</v>
      </c>
      <c r="L89" s="267">
        <f t="shared" si="31"/>
        <v>3.1289111389236544</v>
      </c>
      <c r="M89" s="433">
        <f t="shared" si="32"/>
        <v>625.78222778473082</v>
      </c>
      <c r="N89" s="434">
        <v>200</v>
      </c>
      <c r="O89" s="435">
        <f t="shared" si="33"/>
        <v>3.1289111389236544</v>
      </c>
    </row>
    <row r="90" spans="1:15" ht="15">
      <c r="A90" s="39"/>
      <c r="B90" s="649" t="s">
        <v>135</v>
      </c>
      <c r="C90" s="649"/>
      <c r="D90" s="649"/>
      <c r="E90" s="649"/>
      <c r="F90" s="649"/>
      <c r="G90" s="649"/>
      <c r="H90" s="649"/>
      <c r="I90" s="649"/>
      <c r="J90" s="649"/>
      <c r="K90" s="649"/>
      <c r="L90" s="435"/>
      <c r="M90" s="262">
        <f>SUM(M91:M93)</f>
        <v>542.1416234887738</v>
      </c>
      <c r="N90" s="263"/>
      <c r="O90" s="264">
        <f>SUM(O91:O93)</f>
        <v>1.4607081174438687</v>
      </c>
    </row>
    <row r="91" spans="1:15" ht="15">
      <c r="A91" s="13" t="s">
        <v>136</v>
      </c>
      <c r="B91" s="56" t="s">
        <v>137</v>
      </c>
      <c r="C91" s="13" t="s">
        <v>138</v>
      </c>
      <c r="D91" s="13">
        <v>117</v>
      </c>
      <c r="E91" s="13"/>
      <c r="F91" s="4" t="s">
        <v>139</v>
      </c>
      <c r="G91" s="28">
        <v>10</v>
      </c>
      <c r="H91" s="440">
        <v>10</v>
      </c>
      <c r="I91" s="28">
        <v>2</v>
      </c>
      <c r="J91" s="441">
        <f>H91/G91*I91</f>
        <v>2</v>
      </c>
      <c r="K91" s="28">
        <v>1</v>
      </c>
      <c r="L91" s="435">
        <f t="shared" si="34" ref="L91:L93">J91*K91</f>
        <v>2</v>
      </c>
      <c r="M91" s="266">
        <f>L91*N91</f>
        <v>400</v>
      </c>
      <c r="N91" s="433">
        <v>200</v>
      </c>
      <c r="O91" s="435">
        <f>J91/I91*K91</f>
        <v>1</v>
      </c>
    </row>
    <row r="92" spans="1:15" ht="15">
      <c r="A92" s="13" t="s">
        <v>346</v>
      </c>
      <c r="B92" s="56" t="s">
        <v>347</v>
      </c>
      <c r="C92" s="13" t="s">
        <v>14</v>
      </c>
      <c r="D92" s="13">
        <v>226</v>
      </c>
      <c r="E92" s="13"/>
      <c r="F92" s="13" t="s">
        <v>58</v>
      </c>
      <c r="G92" s="28">
        <v>23.16</v>
      </c>
      <c r="H92" s="440">
        <v>10</v>
      </c>
      <c r="I92" s="28">
        <v>1</v>
      </c>
      <c r="J92" s="441">
        <f>H92/G92*I92</f>
        <v>0.43177892918825561</v>
      </c>
      <c r="K92" s="28">
        <f>0.122*4</f>
        <v>0.48799999999999999</v>
      </c>
      <c r="L92" s="435">
        <f t="shared" si="34"/>
        <v>0.21070811744386872</v>
      </c>
      <c r="M92" s="266">
        <f>L92*N92</f>
        <v>42.141623488773746</v>
      </c>
      <c r="N92" s="433">
        <v>200</v>
      </c>
      <c r="O92" s="435">
        <f>J92/I92*K92</f>
        <v>0.21070811744386872</v>
      </c>
    </row>
    <row r="93" spans="1:15" ht="15">
      <c r="A93" s="13" t="s">
        <v>344</v>
      </c>
      <c r="B93" s="56" t="s">
        <v>345</v>
      </c>
      <c r="C93" s="13" t="s">
        <v>24</v>
      </c>
      <c r="D93" s="13">
        <v>219</v>
      </c>
      <c r="E93" s="13"/>
      <c r="F93" s="4" t="s">
        <v>139</v>
      </c>
      <c r="G93" s="28">
        <v>40</v>
      </c>
      <c r="H93" s="440">
        <v>10</v>
      </c>
      <c r="I93" s="28">
        <v>2</v>
      </c>
      <c r="J93" s="441">
        <f>H93/G93*I93</f>
        <v>0.50</v>
      </c>
      <c r="K93" s="28">
        <v>1</v>
      </c>
      <c r="L93" s="435">
        <f t="shared" si="34"/>
        <v>0.50</v>
      </c>
      <c r="M93" s="266">
        <f>L93*N93</f>
        <v>100</v>
      </c>
      <c r="N93" s="433">
        <v>200</v>
      </c>
      <c r="O93" s="435">
        <f>J93/I93*K93</f>
        <v>0.25</v>
      </c>
    </row>
    <row r="94" spans="1:15" ht="15">
      <c r="A94" s="39"/>
      <c r="B94" s="649" t="s">
        <v>133</v>
      </c>
      <c r="C94" s="649"/>
      <c r="D94" s="649"/>
      <c r="E94" s="649"/>
      <c r="F94" s="649"/>
      <c r="G94" s="649"/>
      <c r="H94" s="649"/>
      <c r="I94" s="649"/>
      <c r="J94" s="649"/>
      <c r="K94" s="649"/>
      <c r="L94" s="267"/>
      <c r="M94" s="262">
        <f>SUM(M95:M141)</f>
        <v>18828.778281379149</v>
      </c>
      <c r="N94" s="263"/>
      <c r="O94" s="264">
        <f>SUM(O95:O141)</f>
        <v>59.46690886227325</v>
      </c>
    </row>
    <row r="95" spans="1:15" ht="15">
      <c r="A95" s="13" t="s">
        <v>221</v>
      </c>
      <c r="B95" s="56" t="s">
        <v>715</v>
      </c>
      <c r="C95" s="13" t="s">
        <v>24</v>
      </c>
      <c r="D95" s="13">
        <v>112</v>
      </c>
      <c r="E95" s="13"/>
      <c r="F95" s="13" t="s">
        <v>11</v>
      </c>
      <c r="G95" s="432">
        <v>7</v>
      </c>
      <c r="H95" s="440">
        <v>10</v>
      </c>
      <c r="I95" s="28">
        <v>2</v>
      </c>
      <c r="J95" s="441">
        <f t="shared" si="35" ref="J95:J141">H95/G95*I95</f>
        <v>2.8571428571428572</v>
      </c>
      <c r="K95" s="28">
        <v>1</v>
      </c>
      <c r="L95" s="267">
        <f t="shared" si="36" ref="L95:L141">J95*K95</f>
        <v>2.8571428571428572</v>
      </c>
      <c r="M95" s="433">
        <f t="shared" si="37" ref="M95:M141">L95*N95</f>
        <v>571.42857142857144</v>
      </c>
      <c r="N95" s="434">
        <v>200</v>
      </c>
      <c r="O95" s="435">
        <f t="shared" si="38" ref="O95:O141">J95/I95*K95</f>
        <v>1.4285714285714286</v>
      </c>
    </row>
    <row r="96" spans="1:15" ht="30">
      <c r="A96" s="13" t="s">
        <v>225</v>
      </c>
      <c r="B96" s="27" t="s">
        <v>230</v>
      </c>
      <c r="C96" s="13" t="s">
        <v>226</v>
      </c>
      <c r="D96" s="13">
        <v>302</v>
      </c>
      <c r="E96" s="13"/>
      <c r="F96" s="13" t="s">
        <v>227</v>
      </c>
      <c r="G96" s="28">
        <f>600/2.5</f>
        <v>240</v>
      </c>
      <c r="H96" s="440">
        <v>10</v>
      </c>
      <c r="I96" s="28">
        <v>2</v>
      </c>
      <c r="J96" s="441">
        <f t="shared" si="35"/>
        <v>0.083333333333333329</v>
      </c>
      <c r="K96" s="28">
        <v>50</v>
      </c>
      <c r="L96" s="435">
        <f t="shared" si="36"/>
        <v>4.1666666666666661</v>
      </c>
      <c r="M96" s="433">
        <f t="shared" si="37"/>
        <v>833.33333333333326</v>
      </c>
      <c r="N96" s="433">
        <v>200</v>
      </c>
      <c r="O96" s="435">
        <f t="shared" si="38"/>
        <v>2.083333333333333</v>
      </c>
    </row>
    <row r="97" spans="1:15" ht="30">
      <c r="A97" s="13" t="s">
        <v>228</v>
      </c>
      <c r="B97" s="27" t="s">
        <v>1282</v>
      </c>
      <c r="C97" s="13" t="s">
        <v>24</v>
      </c>
      <c r="D97" s="13">
        <v>110</v>
      </c>
      <c r="E97" s="13"/>
      <c r="F97" s="13" t="s">
        <v>63</v>
      </c>
      <c r="G97" s="28">
        <f>10*40</f>
        <v>400</v>
      </c>
      <c r="H97" s="440">
        <v>10</v>
      </c>
      <c r="I97" s="28">
        <v>2</v>
      </c>
      <c r="J97" s="441">
        <f t="shared" si="35"/>
        <v>0.05</v>
      </c>
      <c r="K97" s="28">
        <v>50</v>
      </c>
      <c r="L97" s="435">
        <f t="shared" si="36"/>
        <v>2.50</v>
      </c>
      <c r="M97" s="433">
        <f t="shared" si="37"/>
        <v>380</v>
      </c>
      <c r="N97" s="433">
        <v>152</v>
      </c>
      <c r="O97" s="435">
        <f t="shared" si="38"/>
        <v>1.25</v>
      </c>
    </row>
    <row r="98" spans="1:15" ht="15">
      <c r="A98" s="13" t="s">
        <v>232</v>
      </c>
      <c r="B98" s="27" t="s">
        <v>61</v>
      </c>
      <c r="C98" s="13" t="s">
        <v>62</v>
      </c>
      <c r="D98" s="13">
        <v>112</v>
      </c>
      <c r="E98" s="13"/>
      <c r="F98" s="13" t="s">
        <v>63</v>
      </c>
      <c r="G98" s="28">
        <v>200</v>
      </c>
      <c r="H98" s="440">
        <v>10</v>
      </c>
      <c r="I98" s="28">
        <v>2</v>
      </c>
      <c r="J98" s="441">
        <f t="shared" si="35"/>
        <v>0.10000000000000001</v>
      </c>
      <c r="K98" s="28">
        <v>50</v>
      </c>
      <c r="L98" s="267">
        <f t="shared" si="36"/>
        <v>5</v>
      </c>
      <c r="M98" s="433">
        <f t="shared" si="37"/>
        <v>760</v>
      </c>
      <c r="N98" s="434">
        <v>152</v>
      </c>
      <c r="O98" s="435">
        <f t="shared" si="38"/>
        <v>2.50</v>
      </c>
    </row>
    <row r="99" spans="1:15" ht="15">
      <c r="A99" s="13" t="s">
        <v>536</v>
      </c>
      <c r="B99" s="27" t="s">
        <v>537</v>
      </c>
      <c r="C99" s="13" t="s">
        <v>538</v>
      </c>
      <c r="D99" s="13">
        <v>115</v>
      </c>
      <c r="E99" s="13"/>
      <c r="F99" s="13" t="s">
        <v>63</v>
      </c>
      <c r="G99" s="28">
        <v>1200</v>
      </c>
      <c r="H99" s="440">
        <v>10</v>
      </c>
      <c r="I99" s="28">
        <v>1</v>
      </c>
      <c r="J99" s="441">
        <f t="shared" si="35"/>
        <v>0.0083333333333333332</v>
      </c>
      <c r="K99" s="28">
        <v>50</v>
      </c>
      <c r="L99" s="267">
        <f t="shared" si="36"/>
        <v>0.41666666666666669</v>
      </c>
      <c r="M99" s="433">
        <f t="shared" si="37"/>
        <v>83.333333333333343</v>
      </c>
      <c r="N99" s="434">
        <v>200</v>
      </c>
      <c r="O99" s="435">
        <f t="shared" si="38"/>
        <v>0.41666666666666669</v>
      </c>
    </row>
    <row r="100" spans="1:15" ht="30">
      <c r="A100" s="13" t="s">
        <v>233</v>
      </c>
      <c r="B100" s="27" t="s">
        <v>66</v>
      </c>
      <c r="C100" s="13" t="s">
        <v>48</v>
      </c>
      <c r="D100" s="13">
        <v>112</v>
      </c>
      <c r="E100" s="13"/>
      <c r="F100" s="13" t="s">
        <v>67</v>
      </c>
      <c r="G100" s="28">
        <v>80</v>
      </c>
      <c r="H100" s="440">
        <v>10</v>
      </c>
      <c r="I100" s="28">
        <v>2</v>
      </c>
      <c r="J100" s="441">
        <f t="shared" si="35"/>
        <v>0.25</v>
      </c>
      <c r="K100" s="28">
        <v>4</v>
      </c>
      <c r="L100" s="267">
        <f t="shared" si="36"/>
        <v>1</v>
      </c>
      <c r="M100" s="433">
        <f t="shared" si="37"/>
        <v>200</v>
      </c>
      <c r="N100" s="434">
        <v>200</v>
      </c>
      <c r="O100" s="435">
        <f t="shared" si="38"/>
        <v>0.50</v>
      </c>
    </row>
    <row r="101" spans="1:15" ht="15">
      <c r="A101" s="637" t="s">
        <v>234</v>
      </c>
      <c r="B101" s="648" t="s">
        <v>235</v>
      </c>
      <c r="C101" s="13" t="s">
        <v>72</v>
      </c>
      <c r="D101" s="13">
        <v>115</v>
      </c>
      <c r="E101" s="13"/>
      <c r="F101" s="13" t="s">
        <v>236</v>
      </c>
      <c r="G101" s="28">
        <v>20</v>
      </c>
      <c r="H101" s="440">
        <v>10</v>
      </c>
      <c r="I101" s="28">
        <v>2</v>
      </c>
      <c r="J101" s="441">
        <f t="shared" si="35"/>
        <v>1</v>
      </c>
      <c r="K101" s="28">
        <v>5</v>
      </c>
      <c r="L101" s="267">
        <f t="shared" si="36"/>
        <v>5</v>
      </c>
      <c r="M101" s="433">
        <f t="shared" si="37"/>
        <v>1000</v>
      </c>
      <c r="N101" s="434">
        <v>200</v>
      </c>
      <c r="O101" s="435">
        <f t="shared" si="38"/>
        <v>2.50</v>
      </c>
    </row>
    <row r="102" spans="1:15" ht="15">
      <c r="A102" s="637"/>
      <c r="B102" s="648"/>
      <c r="C102" s="13" t="s">
        <v>48</v>
      </c>
      <c r="D102" s="13">
        <v>115</v>
      </c>
      <c r="E102" s="13" t="s">
        <v>73</v>
      </c>
      <c r="F102" s="13" t="s">
        <v>10</v>
      </c>
      <c r="G102" s="28">
        <v>40</v>
      </c>
      <c r="H102" s="440">
        <v>10</v>
      </c>
      <c r="I102" s="28">
        <v>1</v>
      </c>
      <c r="J102" s="441">
        <f t="shared" si="35"/>
        <v>0.25</v>
      </c>
      <c r="K102" s="442">
        <f>(549+1373+2163+404+1342)*2/1000</f>
        <v>11.662000000000001</v>
      </c>
      <c r="L102" s="267">
        <f t="shared" si="36"/>
        <v>2.9155000000000002</v>
      </c>
      <c r="M102" s="433">
        <f t="shared" si="37"/>
        <v>583.10</v>
      </c>
      <c r="N102" s="434">
        <v>200</v>
      </c>
      <c r="O102" s="435">
        <f t="shared" si="38"/>
        <v>2.9155000000000002</v>
      </c>
    </row>
    <row r="103" spans="1:15" ht="15">
      <c r="A103" s="13" t="s">
        <v>237</v>
      </c>
      <c r="B103" s="56" t="s">
        <v>238</v>
      </c>
      <c r="C103" s="13" t="s">
        <v>69</v>
      </c>
      <c r="D103" s="13">
        <v>110</v>
      </c>
      <c r="E103" s="13"/>
      <c r="F103" s="13" t="s">
        <v>34</v>
      </c>
      <c r="G103" s="28">
        <v>10</v>
      </c>
      <c r="H103" s="440">
        <v>10</v>
      </c>
      <c r="I103" s="28">
        <v>2</v>
      </c>
      <c r="J103" s="441">
        <f t="shared" si="35"/>
        <v>2</v>
      </c>
      <c r="K103" s="28">
        <v>1</v>
      </c>
      <c r="L103" s="267">
        <f t="shared" si="36"/>
        <v>2</v>
      </c>
      <c r="M103" s="433">
        <f t="shared" si="37"/>
        <v>400</v>
      </c>
      <c r="N103" s="434">
        <v>200</v>
      </c>
      <c r="O103" s="435">
        <f t="shared" si="38"/>
        <v>1</v>
      </c>
    </row>
    <row r="104" spans="1:15" ht="30">
      <c r="A104" s="13" t="s">
        <v>896</v>
      </c>
      <c r="B104" s="56" t="s">
        <v>894</v>
      </c>
      <c r="C104" s="13" t="s">
        <v>138</v>
      </c>
      <c r="D104" s="13">
        <v>110</v>
      </c>
      <c r="E104" s="13"/>
      <c r="F104" s="13" t="s">
        <v>12</v>
      </c>
      <c r="G104" s="28">
        <v>20</v>
      </c>
      <c r="H104" s="440">
        <v>10</v>
      </c>
      <c r="I104" s="28">
        <v>2</v>
      </c>
      <c r="J104" s="441">
        <f t="shared" si="35"/>
        <v>1</v>
      </c>
      <c r="K104" s="28">
        <v>1</v>
      </c>
      <c r="L104" s="267">
        <f t="shared" si="36"/>
        <v>1</v>
      </c>
      <c r="M104" s="433">
        <f t="shared" si="37"/>
        <v>200</v>
      </c>
      <c r="N104" s="434">
        <v>200</v>
      </c>
      <c r="O104" s="435">
        <f t="shared" si="38"/>
        <v>0.50</v>
      </c>
    </row>
    <row r="105" spans="1:15" ht="30">
      <c r="A105" s="13" t="s">
        <v>243</v>
      </c>
      <c r="B105" s="56" t="s">
        <v>244</v>
      </c>
      <c r="C105" s="13" t="s">
        <v>25</v>
      </c>
      <c r="D105" s="13">
        <v>110</v>
      </c>
      <c r="E105" s="13" t="s">
        <v>53</v>
      </c>
      <c r="F105" s="13" t="s">
        <v>10</v>
      </c>
      <c r="G105" s="28">
        <v>40</v>
      </c>
      <c r="H105" s="440">
        <v>10</v>
      </c>
      <c r="I105" s="28">
        <v>1</v>
      </c>
      <c r="J105" s="441">
        <f t="shared" si="35"/>
        <v>0.25</v>
      </c>
      <c r="K105" s="28">
        <f>3417*2/1000</f>
        <v>6.8339999999999996</v>
      </c>
      <c r="L105" s="267">
        <f t="shared" si="36"/>
        <v>1.7084999999999999</v>
      </c>
      <c r="M105" s="433">
        <f t="shared" si="37"/>
        <v>341.70</v>
      </c>
      <c r="N105" s="434">
        <v>200</v>
      </c>
      <c r="O105" s="435">
        <f t="shared" si="38"/>
        <v>1.7084999999999999</v>
      </c>
    </row>
    <row r="106" spans="1:15" ht="15">
      <c r="A106" s="13" t="s">
        <v>237</v>
      </c>
      <c r="B106" s="56" t="s">
        <v>71</v>
      </c>
      <c r="C106" s="13" t="s">
        <v>68</v>
      </c>
      <c r="D106" s="13">
        <v>110</v>
      </c>
      <c r="E106" s="13"/>
      <c r="F106" s="13" t="s">
        <v>34</v>
      </c>
      <c r="G106" s="28">
        <v>20</v>
      </c>
      <c r="H106" s="440">
        <v>10</v>
      </c>
      <c r="I106" s="28">
        <v>2</v>
      </c>
      <c r="J106" s="441">
        <f t="shared" si="35"/>
        <v>1</v>
      </c>
      <c r="K106" s="28">
        <v>1</v>
      </c>
      <c r="L106" s="267">
        <f t="shared" si="36"/>
        <v>1</v>
      </c>
      <c r="M106" s="433">
        <f t="shared" si="37"/>
        <v>200</v>
      </c>
      <c r="N106" s="434">
        <v>200</v>
      </c>
      <c r="O106" s="435">
        <f t="shared" si="38"/>
        <v>0.50</v>
      </c>
    </row>
    <row r="107" spans="1:15" ht="30">
      <c r="A107" s="13" t="s">
        <v>897</v>
      </c>
      <c r="B107" s="56" t="s">
        <v>895</v>
      </c>
      <c r="C107" s="13" t="s">
        <v>138</v>
      </c>
      <c r="D107" s="13">
        <v>110</v>
      </c>
      <c r="E107" s="13"/>
      <c r="F107" s="13" t="s">
        <v>12</v>
      </c>
      <c r="G107" s="28">
        <v>20</v>
      </c>
      <c r="H107" s="440">
        <v>10</v>
      </c>
      <c r="I107" s="28">
        <v>2</v>
      </c>
      <c r="J107" s="441">
        <f t="shared" si="35"/>
        <v>1</v>
      </c>
      <c r="K107" s="28">
        <v>1</v>
      </c>
      <c r="L107" s="267">
        <f t="shared" si="36"/>
        <v>1</v>
      </c>
      <c r="M107" s="433">
        <f t="shared" si="37"/>
        <v>200</v>
      </c>
      <c r="N107" s="434">
        <v>200</v>
      </c>
      <c r="O107" s="435">
        <f t="shared" si="38"/>
        <v>0.50</v>
      </c>
    </row>
    <row r="108" spans="1:15" ht="30">
      <c r="A108" s="13" t="s">
        <v>249</v>
      </c>
      <c r="B108" s="56" t="s">
        <v>248</v>
      </c>
      <c r="C108" s="13" t="s">
        <v>25</v>
      </c>
      <c r="D108" s="13">
        <v>110</v>
      </c>
      <c r="E108" s="13" t="s">
        <v>53</v>
      </c>
      <c r="F108" s="13" t="s">
        <v>10</v>
      </c>
      <c r="G108" s="28">
        <v>40</v>
      </c>
      <c r="H108" s="440">
        <v>10</v>
      </c>
      <c r="I108" s="28">
        <v>1</v>
      </c>
      <c r="J108" s="441">
        <f t="shared" si="35"/>
        <v>0.25</v>
      </c>
      <c r="K108" s="28">
        <f>3417*2/1000</f>
        <v>6.8339999999999996</v>
      </c>
      <c r="L108" s="267">
        <f t="shared" si="36"/>
        <v>1.7084999999999999</v>
      </c>
      <c r="M108" s="433">
        <f t="shared" si="37"/>
        <v>341.70</v>
      </c>
      <c r="N108" s="434">
        <v>200</v>
      </c>
      <c r="O108" s="435">
        <f t="shared" si="38"/>
        <v>1.7084999999999999</v>
      </c>
    </row>
    <row r="109" spans="1:15" ht="15">
      <c r="A109" s="13" t="s">
        <v>237</v>
      </c>
      <c r="B109" s="56" t="s">
        <v>71</v>
      </c>
      <c r="C109" s="13" t="s">
        <v>68</v>
      </c>
      <c r="D109" s="13">
        <v>110</v>
      </c>
      <c r="E109" s="13"/>
      <c r="F109" s="13" t="s">
        <v>34</v>
      </c>
      <c r="G109" s="28">
        <v>20</v>
      </c>
      <c r="H109" s="440">
        <v>10</v>
      </c>
      <c r="I109" s="28">
        <v>2</v>
      </c>
      <c r="J109" s="441">
        <f t="shared" si="35"/>
        <v>1</v>
      </c>
      <c r="K109" s="28">
        <v>1</v>
      </c>
      <c r="L109" s="267">
        <f t="shared" si="36"/>
        <v>1</v>
      </c>
      <c r="M109" s="433">
        <f t="shared" si="37"/>
        <v>200</v>
      </c>
      <c r="N109" s="434">
        <v>200</v>
      </c>
      <c r="O109" s="435">
        <f t="shared" si="38"/>
        <v>0.50</v>
      </c>
    </row>
    <row r="110" spans="1:15" ht="30">
      <c r="A110" s="13" t="s">
        <v>239</v>
      </c>
      <c r="B110" s="56" t="s">
        <v>240</v>
      </c>
      <c r="C110" s="13" t="s">
        <v>25</v>
      </c>
      <c r="D110" s="13">
        <v>113</v>
      </c>
      <c r="E110" s="13"/>
      <c r="F110" s="13" t="s">
        <v>63</v>
      </c>
      <c r="G110" s="432">
        <v>112</v>
      </c>
      <c r="H110" s="440">
        <v>10</v>
      </c>
      <c r="I110" s="28">
        <v>1</v>
      </c>
      <c r="J110" s="441">
        <f t="shared" si="35"/>
        <v>0.089285714285714288</v>
      </c>
      <c r="K110" s="28">
        <v>50</v>
      </c>
      <c r="L110" s="267">
        <f t="shared" si="36"/>
        <v>4.4642857142857144</v>
      </c>
      <c r="M110" s="433">
        <f t="shared" si="37"/>
        <v>1160.7142857142858</v>
      </c>
      <c r="N110" s="434">
        <v>260</v>
      </c>
      <c r="O110" s="435">
        <f t="shared" si="38"/>
        <v>4.4642857142857144</v>
      </c>
    </row>
    <row r="111" spans="1:15" ht="30">
      <c r="A111" s="13" t="s">
        <v>317</v>
      </c>
      <c r="B111" s="56" t="s">
        <v>316</v>
      </c>
      <c r="C111" s="13" t="s">
        <v>25</v>
      </c>
      <c r="D111" s="13">
        <v>113</v>
      </c>
      <c r="E111" s="13" t="s">
        <v>70</v>
      </c>
      <c r="F111" s="13" t="s">
        <v>10</v>
      </c>
      <c r="G111" s="28">
        <v>40</v>
      </c>
      <c r="H111" s="440">
        <v>10</v>
      </c>
      <c r="I111" s="28">
        <v>1</v>
      </c>
      <c r="J111" s="441">
        <f t="shared" si="35"/>
        <v>0.25</v>
      </c>
      <c r="K111" s="436">
        <f>630/1000*3.1415</f>
        <v>1.9791450000000002</v>
      </c>
      <c r="L111" s="267">
        <f t="shared" si="36"/>
        <v>0.49478625000000004</v>
      </c>
      <c r="M111" s="433">
        <f t="shared" si="37"/>
        <v>98.957250000000002</v>
      </c>
      <c r="N111" s="434">
        <v>200</v>
      </c>
      <c r="O111" s="435">
        <f t="shared" si="38"/>
        <v>0.49478625000000004</v>
      </c>
    </row>
    <row r="112" spans="1:15" ht="30">
      <c r="A112" s="13" t="s">
        <v>245</v>
      </c>
      <c r="B112" s="56" t="s">
        <v>246</v>
      </c>
      <c r="C112" s="13" t="s">
        <v>25</v>
      </c>
      <c r="D112" s="13">
        <v>113</v>
      </c>
      <c r="E112" s="13"/>
      <c r="F112" s="13" t="s">
        <v>63</v>
      </c>
      <c r="G112" s="432">
        <v>112</v>
      </c>
      <c r="H112" s="440">
        <v>10</v>
      </c>
      <c r="I112" s="28">
        <v>1</v>
      </c>
      <c r="J112" s="441">
        <f t="shared" si="35"/>
        <v>0.089285714285714288</v>
      </c>
      <c r="K112" s="28">
        <v>50</v>
      </c>
      <c r="L112" s="267">
        <f t="shared" si="36"/>
        <v>4.4642857142857144</v>
      </c>
      <c r="M112" s="433">
        <f t="shared" si="37"/>
        <v>1160.7142857142858</v>
      </c>
      <c r="N112" s="434">
        <v>260</v>
      </c>
      <c r="O112" s="435">
        <f t="shared" si="38"/>
        <v>4.4642857142857144</v>
      </c>
    </row>
    <row r="113" spans="1:15" ht="15">
      <c r="A113" s="13" t="s">
        <v>741</v>
      </c>
      <c r="B113" s="56" t="s">
        <v>1281</v>
      </c>
      <c r="C113" s="13" t="s">
        <v>33</v>
      </c>
      <c r="D113" s="13">
        <v>115</v>
      </c>
      <c r="E113" s="13"/>
      <c r="F113" s="13"/>
      <c r="G113" s="28">
        <v>10</v>
      </c>
      <c r="H113" s="440">
        <v>10</v>
      </c>
      <c r="I113" s="28">
        <v>1</v>
      </c>
      <c r="J113" s="441">
        <f t="shared" si="35"/>
        <v>1</v>
      </c>
      <c r="K113" s="28">
        <v>1.50</v>
      </c>
      <c r="L113" s="267">
        <f t="shared" si="36"/>
        <v>1.50</v>
      </c>
      <c r="M113" s="433">
        <f t="shared" si="37"/>
        <v>300</v>
      </c>
      <c r="N113" s="434">
        <v>200</v>
      </c>
      <c r="O113" s="435">
        <f t="shared" si="38"/>
        <v>1.50</v>
      </c>
    </row>
    <row r="114" spans="1:15" ht="15">
      <c r="A114" s="637" t="s">
        <v>254</v>
      </c>
      <c r="B114" s="638" t="s">
        <v>884</v>
      </c>
      <c r="C114" s="13" t="s">
        <v>76</v>
      </c>
      <c r="D114" s="13">
        <v>115</v>
      </c>
      <c r="E114" s="13"/>
      <c r="F114" s="13" t="s">
        <v>78</v>
      </c>
      <c r="G114" s="28">
        <v>20</v>
      </c>
      <c r="H114" s="440">
        <v>10</v>
      </c>
      <c r="I114" s="28">
        <v>2</v>
      </c>
      <c r="J114" s="441">
        <f t="shared" si="35"/>
        <v>1</v>
      </c>
      <c r="K114" s="28">
        <v>2</v>
      </c>
      <c r="L114" s="267">
        <f t="shared" si="36"/>
        <v>2</v>
      </c>
      <c r="M114" s="433">
        <f t="shared" si="37"/>
        <v>400</v>
      </c>
      <c r="N114" s="434">
        <v>200</v>
      </c>
      <c r="O114" s="435">
        <f t="shared" si="38"/>
        <v>1</v>
      </c>
    </row>
    <row r="115" spans="1:15" ht="15">
      <c r="A115" s="637"/>
      <c r="B115" s="638"/>
      <c r="C115" s="13" t="s">
        <v>77</v>
      </c>
      <c r="D115" s="13">
        <v>115</v>
      </c>
      <c r="E115" s="13" t="s">
        <v>79</v>
      </c>
      <c r="F115" s="13" t="s">
        <v>10</v>
      </c>
      <c r="G115" s="28">
        <v>40</v>
      </c>
      <c r="H115" s="440">
        <v>10</v>
      </c>
      <c r="I115" s="28">
        <v>1</v>
      </c>
      <c r="J115" s="441">
        <f t="shared" si="35"/>
        <v>0.25</v>
      </c>
      <c r="K115" s="442">
        <f>(116*2*4+130*4)/1000</f>
        <v>1.448</v>
      </c>
      <c r="L115" s="267">
        <f t="shared" si="36"/>
        <v>0.36199999999999999</v>
      </c>
      <c r="M115" s="433">
        <f t="shared" si="37"/>
        <v>72.399999999999991</v>
      </c>
      <c r="N115" s="434">
        <v>200</v>
      </c>
      <c r="O115" s="435">
        <f t="shared" si="38"/>
        <v>0.36199999999999999</v>
      </c>
    </row>
    <row r="116" spans="1:15" ht="15">
      <c r="A116" s="637" t="s">
        <v>257</v>
      </c>
      <c r="B116" s="638" t="s">
        <v>258</v>
      </c>
      <c r="C116" s="13" t="s">
        <v>950</v>
      </c>
      <c r="D116" s="13">
        <v>107</v>
      </c>
      <c r="E116" s="13" t="s">
        <v>260</v>
      </c>
      <c r="F116" s="13" t="s">
        <v>261</v>
      </c>
      <c r="G116" s="442">
        <v>18</v>
      </c>
      <c r="H116" s="468">
        <v>10</v>
      </c>
      <c r="I116" s="432">
        <v>2</v>
      </c>
      <c r="J116" s="468">
        <f t="shared" si="35"/>
        <v>1.1111111111111112</v>
      </c>
      <c r="K116" s="442">
        <v>1</v>
      </c>
      <c r="L116" s="267">
        <f t="shared" si="36"/>
        <v>1.1111111111111112</v>
      </c>
      <c r="M116" s="266">
        <f t="shared" si="37"/>
        <v>222.22222222222223</v>
      </c>
      <c r="N116" s="433">
        <v>200</v>
      </c>
      <c r="O116" s="267">
        <f t="shared" si="38"/>
        <v>0.55555555555555558</v>
      </c>
    </row>
    <row r="117" spans="1:15" ht="15">
      <c r="A117" s="637"/>
      <c r="B117" s="638"/>
      <c r="C117" s="13" t="s">
        <v>1198</v>
      </c>
      <c r="D117" s="13">
        <v>107</v>
      </c>
      <c r="E117" s="13" t="s">
        <v>260</v>
      </c>
      <c r="F117" s="17" t="s">
        <v>261</v>
      </c>
      <c r="G117" s="31">
        <v>40</v>
      </c>
      <c r="H117" s="252">
        <v>10</v>
      </c>
      <c r="I117" s="16">
        <v>2</v>
      </c>
      <c r="J117" s="253">
        <f t="shared" si="35"/>
        <v>0.50</v>
      </c>
      <c r="K117" s="31">
        <v>2</v>
      </c>
      <c r="L117" s="8">
        <f t="shared" si="36"/>
        <v>1</v>
      </c>
      <c r="M117" s="42">
        <f t="shared" si="37"/>
        <v>200</v>
      </c>
      <c r="N117" s="43">
        <v>200</v>
      </c>
      <c r="O117" s="8">
        <f t="shared" si="38"/>
        <v>0.50</v>
      </c>
    </row>
    <row r="118" spans="1:15" ht="15">
      <c r="A118" s="637"/>
      <c r="B118" s="638"/>
      <c r="C118" s="13" t="s">
        <v>1199</v>
      </c>
      <c r="D118" s="13">
        <v>107</v>
      </c>
      <c r="E118" s="13" t="s">
        <v>260</v>
      </c>
      <c r="F118" s="17" t="s">
        <v>261</v>
      </c>
      <c r="G118" s="31">
        <v>100</v>
      </c>
      <c r="H118" s="18">
        <v>10</v>
      </c>
      <c r="I118" s="16">
        <v>2</v>
      </c>
      <c r="J118" s="20">
        <f t="shared" si="35"/>
        <v>0.20</v>
      </c>
      <c r="K118" s="31">
        <v>4</v>
      </c>
      <c r="L118" s="8">
        <f t="shared" si="36"/>
        <v>0.80</v>
      </c>
      <c r="M118" s="42">
        <f t="shared" si="37"/>
        <v>160</v>
      </c>
      <c r="N118" s="43">
        <v>200</v>
      </c>
      <c r="O118" s="8">
        <f t="shared" si="38"/>
        <v>0.40</v>
      </c>
    </row>
    <row r="119" spans="1:15" ht="15">
      <c r="A119" s="637" t="s">
        <v>265</v>
      </c>
      <c r="B119" s="638" t="s">
        <v>266</v>
      </c>
      <c r="C119" s="13" t="s">
        <v>76</v>
      </c>
      <c r="D119" s="13">
        <v>116</v>
      </c>
      <c r="E119" s="13"/>
      <c r="F119" s="13" t="s">
        <v>82</v>
      </c>
      <c r="G119" s="28">
        <v>7</v>
      </c>
      <c r="H119" s="440">
        <v>10</v>
      </c>
      <c r="I119" s="28">
        <v>2</v>
      </c>
      <c r="J119" s="441">
        <f t="shared" si="35"/>
        <v>2.8571428571428572</v>
      </c>
      <c r="K119" s="28">
        <v>1</v>
      </c>
      <c r="L119" s="267">
        <f t="shared" si="36"/>
        <v>2.8571428571428572</v>
      </c>
      <c r="M119" s="433">
        <f t="shared" si="37"/>
        <v>571.42857142857144</v>
      </c>
      <c r="N119" s="434">
        <v>200</v>
      </c>
      <c r="O119" s="435">
        <f t="shared" si="38"/>
        <v>1.4285714285714286</v>
      </c>
    </row>
    <row r="120" spans="1:15" ht="15">
      <c r="A120" s="637"/>
      <c r="B120" s="638"/>
      <c r="C120" s="13" t="s">
        <v>77</v>
      </c>
      <c r="D120" s="13">
        <v>116</v>
      </c>
      <c r="E120" s="13" t="s">
        <v>264</v>
      </c>
      <c r="F120" s="13" t="s">
        <v>10</v>
      </c>
      <c r="G120" s="28">
        <v>40</v>
      </c>
      <c r="H120" s="440">
        <v>10</v>
      </c>
      <c r="I120" s="28">
        <v>1</v>
      </c>
      <c r="J120" s="441">
        <f t="shared" si="35"/>
        <v>0.25</v>
      </c>
      <c r="K120" s="442">
        <f>(108*3.1415*3)*2/1000</f>
        <v>2.0356920000000001</v>
      </c>
      <c r="L120" s="267">
        <f t="shared" si="36"/>
        <v>0.50892300000000001</v>
      </c>
      <c r="M120" s="433">
        <f t="shared" si="37"/>
        <v>101.7846</v>
      </c>
      <c r="N120" s="434">
        <v>200</v>
      </c>
      <c r="O120" s="435">
        <f t="shared" si="38"/>
        <v>0.50892300000000001</v>
      </c>
    </row>
    <row r="121" spans="1:15" ht="30">
      <c r="A121" s="13" t="s">
        <v>267</v>
      </c>
      <c r="B121" s="27" t="s">
        <v>519</v>
      </c>
      <c r="C121" s="13" t="s">
        <v>77</v>
      </c>
      <c r="D121" s="13">
        <v>116</v>
      </c>
      <c r="E121" s="13"/>
      <c r="F121" s="13" t="s">
        <v>67</v>
      </c>
      <c r="G121" s="28">
        <v>10</v>
      </c>
      <c r="H121" s="440">
        <v>10</v>
      </c>
      <c r="I121" s="28">
        <v>2</v>
      </c>
      <c r="J121" s="441">
        <f t="shared" si="35"/>
        <v>2</v>
      </c>
      <c r="K121" s="28">
        <v>1</v>
      </c>
      <c r="L121" s="267">
        <f t="shared" si="36"/>
        <v>2</v>
      </c>
      <c r="M121" s="433">
        <f t="shared" si="37"/>
        <v>400</v>
      </c>
      <c r="N121" s="434">
        <v>200</v>
      </c>
      <c r="O121" s="435">
        <f t="shared" si="38"/>
        <v>1</v>
      </c>
    </row>
    <row r="122" spans="1:15" ht="15">
      <c r="A122" s="13" t="s">
        <v>268</v>
      </c>
      <c r="B122" s="27" t="s">
        <v>334</v>
      </c>
      <c r="C122" s="13" t="s">
        <v>83</v>
      </c>
      <c r="D122" s="13">
        <v>116</v>
      </c>
      <c r="E122" s="13"/>
      <c r="F122" s="4" t="s">
        <v>84</v>
      </c>
      <c r="G122" s="16">
        <v>11.50</v>
      </c>
      <c r="H122" s="440">
        <v>10</v>
      </c>
      <c r="I122" s="28">
        <v>2</v>
      </c>
      <c r="J122" s="441">
        <f t="shared" si="35"/>
        <v>1.7391304347826086</v>
      </c>
      <c r="K122" s="28">
        <v>1</v>
      </c>
      <c r="L122" s="267">
        <f t="shared" si="36"/>
        <v>1.7391304347826086</v>
      </c>
      <c r="M122" s="433">
        <f t="shared" si="37"/>
        <v>347.82608695652175</v>
      </c>
      <c r="N122" s="434">
        <v>200</v>
      </c>
      <c r="O122" s="435">
        <f t="shared" si="38"/>
        <v>0.86956521739130432</v>
      </c>
    </row>
    <row r="123" spans="1:15" ht="15">
      <c r="A123" s="13" t="s">
        <v>335</v>
      </c>
      <c r="B123" s="27" t="s">
        <v>336</v>
      </c>
      <c r="C123" s="13" t="s">
        <v>83</v>
      </c>
      <c r="D123" s="13">
        <v>116</v>
      </c>
      <c r="E123" s="13"/>
      <c r="F123" s="4" t="s">
        <v>84</v>
      </c>
      <c r="G123" s="16">
        <v>5.50</v>
      </c>
      <c r="H123" s="440">
        <v>10</v>
      </c>
      <c r="I123" s="28">
        <v>2</v>
      </c>
      <c r="J123" s="441">
        <f t="shared" si="35"/>
        <v>3.6363636363636362</v>
      </c>
      <c r="K123" s="28">
        <v>1</v>
      </c>
      <c r="L123" s="267">
        <f t="shared" si="36"/>
        <v>3.6363636363636362</v>
      </c>
      <c r="M123" s="433">
        <f t="shared" si="37"/>
        <v>727.27272727272725</v>
      </c>
      <c r="N123" s="434">
        <v>200</v>
      </c>
      <c r="O123" s="435">
        <f t="shared" si="38"/>
        <v>1.8181818181818181</v>
      </c>
    </row>
    <row r="124" spans="1:15" ht="15">
      <c r="A124" s="13" t="s">
        <v>526</v>
      </c>
      <c r="B124" s="56" t="s">
        <v>524</v>
      </c>
      <c r="C124" s="13" t="s">
        <v>523</v>
      </c>
      <c r="D124" s="13">
        <v>224</v>
      </c>
      <c r="E124" s="13"/>
      <c r="F124" s="4" t="s">
        <v>525</v>
      </c>
      <c r="G124" s="28">
        <v>600</v>
      </c>
      <c r="H124" s="431">
        <v>10</v>
      </c>
      <c r="I124" s="28">
        <v>1</v>
      </c>
      <c r="J124" s="441">
        <f t="shared" si="35"/>
        <v>0.016666666666666666</v>
      </c>
      <c r="K124" s="28">
        <v>4</v>
      </c>
      <c r="L124" s="267">
        <f t="shared" si="36"/>
        <v>0.066666666666666666</v>
      </c>
      <c r="M124" s="433">
        <f t="shared" si="37"/>
        <v>11.733333333333333</v>
      </c>
      <c r="N124" s="434">
        <v>176</v>
      </c>
      <c r="O124" s="435">
        <f t="shared" si="38"/>
        <v>0.066666666666666666</v>
      </c>
    </row>
    <row r="125" spans="1:15" ht="15">
      <c r="A125" s="13" t="s">
        <v>269</v>
      </c>
      <c r="B125" s="56" t="s">
        <v>270</v>
      </c>
      <c r="C125" s="13" t="s">
        <v>523</v>
      </c>
      <c r="D125" s="13">
        <v>224</v>
      </c>
      <c r="E125" s="13"/>
      <c r="F125" s="4" t="s">
        <v>88</v>
      </c>
      <c r="G125" s="28">
        <v>300</v>
      </c>
      <c r="H125" s="431">
        <v>10</v>
      </c>
      <c r="I125" s="28">
        <v>1</v>
      </c>
      <c r="J125" s="441">
        <f t="shared" si="35"/>
        <v>0.033333333333333333</v>
      </c>
      <c r="K125" s="28">
        <v>2</v>
      </c>
      <c r="L125" s="267">
        <f t="shared" si="36"/>
        <v>0.066666666666666666</v>
      </c>
      <c r="M125" s="433">
        <f t="shared" si="37"/>
        <v>11.733333333333333</v>
      </c>
      <c r="N125" s="434">
        <v>176</v>
      </c>
      <c r="O125" s="435">
        <f t="shared" si="38"/>
        <v>0.066666666666666666</v>
      </c>
    </row>
    <row r="126" spans="1:15" ht="15">
      <c r="A126" s="13" t="s">
        <v>918</v>
      </c>
      <c r="B126" s="56" t="s">
        <v>898</v>
      </c>
      <c r="C126" s="13" t="s">
        <v>523</v>
      </c>
      <c r="D126" s="13">
        <v>224</v>
      </c>
      <c r="E126" s="13"/>
      <c r="F126" s="4" t="s">
        <v>88</v>
      </c>
      <c r="G126" s="28">
        <v>600</v>
      </c>
      <c r="H126" s="431">
        <v>10</v>
      </c>
      <c r="I126" s="28">
        <v>1</v>
      </c>
      <c r="J126" s="441">
        <f t="shared" si="35"/>
        <v>0.016666666666666666</v>
      </c>
      <c r="K126" s="28">
        <v>1</v>
      </c>
      <c r="L126" s="267">
        <f t="shared" si="36"/>
        <v>0.016666666666666666</v>
      </c>
      <c r="M126" s="433">
        <f t="shared" si="37"/>
        <v>2.9333333333333331</v>
      </c>
      <c r="N126" s="434">
        <v>176</v>
      </c>
      <c r="O126" s="435">
        <f t="shared" si="38"/>
        <v>0.016666666666666666</v>
      </c>
    </row>
    <row r="127" spans="1:15" ht="30">
      <c r="A127" s="13" t="s">
        <v>271</v>
      </c>
      <c r="B127" s="56" t="s">
        <v>85</v>
      </c>
      <c r="C127" s="13" t="s">
        <v>83</v>
      </c>
      <c r="D127" s="13">
        <v>116</v>
      </c>
      <c r="E127" s="13"/>
      <c r="F127" s="13" t="s">
        <v>12</v>
      </c>
      <c r="G127" s="28">
        <v>2.2999999999999998</v>
      </c>
      <c r="H127" s="440">
        <v>10</v>
      </c>
      <c r="I127" s="28">
        <v>2</v>
      </c>
      <c r="J127" s="441">
        <f t="shared" si="35"/>
        <v>8.6956521739130448</v>
      </c>
      <c r="K127" s="28">
        <v>1</v>
      </c>
      <c r="L127" s="267">
        <f t="shared" si="36"/>
        <v>8.6956521739130448</v>
      </c>
      <c r="M127" s="433">
        <f t="shared" si="37"/>
        <v>1739.130434782609</v>
      </c>
      <c r="N127" s="434">
        <v>200</v>
      </c>
      <c r="O127" s="435">
        <f t="shared" si="38"/>
        <v>4.3478260869565224</v>
      </c>
    </row>
    <row r="128" spans="1:15" ht="15">
      <c r="A128" s="13" t="s">
        <v>272</v>
      </c>
      <c r="B128" s="27" t="s">
        <v>337</v>
      </c>
      <c r="C128" s="13" t="s">
        <v>83</v>
      </c>
      <c r="D128" s="13">
        <v>116</v>
      </c>
      <c r="E128" s="13"/>
      <c r="F128" s="4" t="s">
        <v>89</v>
      </c>
      <c r="G128" s="28">
        <v>10.199999999999999</v>
      </c>
      <c r="H128" s="440">
        <v>10</v>
      </c>
      <c r="I128" s="28">
        <v>2</v>
      </c>
      <c r="J128" s="441">
        <f t="shared" si="35"/>
        <v>1.9607843137254903</v>
      </c>
      <c r="K128" s="28">
        <v>1</v>
      </c>
      <c r="L128" s="267">
        <f t="shared" si="36"/>
        <v>1.9607843137254903</v>
      </c>
      <c r="M128" s="433">
        <f t="shared" si="37"/>
        <v>392.15686274509807</v>
      </c>
      <c r="N128" s="434">
        <v>200</v>
      </c>
      <c r="O128" s="435">
        <f t="shared" si="38"/>
        <v>0.98039215686274517</v>
      </c>
    </row>
    <row r="129" spans="1:15" ht="30">
      <c r="A129" s="13" t="s">
        <v>339</v>
      </c>
      <c r="B129" s="27" t="s">
        <v>338</v>
      </c>
      <c r="C129" s="13" t="s">
        <v>83</v>
      </c>
      <c r="D129" s="13">
        <v>116</v>
      </c>
      <c r="E129" s="13"/>
      <c r="F129" s="4" t="s">
        <v>89</v>
      </c>
      <c r="G129" s="28">
        <v>5.50</v>
      </c>
      <c r="H129" s="440">
        <v>10</v>
      </c>
      <c r="I129" s="28">
        <v>2</v>
      </c>
      <c r="J129" s="441">
        <f t="shared" si="35"/>
        <v>3.6363636363636362</v>
      </c>
      <c r="K129" s="28">
        <v>1</v>
      </c>
      <c r="L129" s="267">
        <f t="shared" si="36"/>
        <v>3.6363636363636362</v>
      </c>
      <c r="M129" s="433">
        <f t="shared" si="37"/>
        <v>727.27272727272725</v>
      </c>
      <c r="N129" s="434">
        <v>200</v>
      </c>
      <c r="O129" s="435">
        <f t="shared" si="38"/>
        <v>1.8181818181818181</v>
      </c>
    </row>
    <row r="130" spans="1:15" ht="30">
      <c r="A130" s="13" t="s">
        <v>273</v>
      </c>
      <c r="B130" s="27" t="s">
        <v>125</v>
      </c>
      <c r="C130" s="13" t="s">
        <v>54</v>
      </c>
      <c r="D130" s="13">
        <v>116</v>
      </c>
      <c r="E130" s="13"/>
      <c r="F130" s="4" t="s">
        <v>88</v>
      </c>
      <c r="G130" s="28">
        <v>15</v>
      </c>
      <c r="H130" s="440">
        <v>10</v>
      </c>
      <c r="I130" s="28">
        <v>2</v>
      </c>
      <c r="J130" s="441">
        <f t="shared" si="35"/>
        <v>1.3333333333333333</v>
      </c>
      <c r="K130" s="28">
        <v>2</v>
      </c>
      <c r="L130" s="267">
        <f t="shared" si="36"/>
        <v>2.6666666666666665</v>
      </c>
      <c r="M130" s="433">
        <f t="shared" si="37"/>
        <v>533.33333333333326</v>
      </c>
      <c r="N130" s="434">
        <v>200</v>
      </c>
      <c r="O130" s="435">
        <f t="shared" si="38"/>
        <v>1.3333333333333333</v>
      </c>
    </row>
    <row r="131" spans="1:15" ht="30">
      <c r="A131" s="523" t="s">
        <v>1668</v>
      </c>
      <c r="B131" s="522" t="s">
        <v>1670</v>
      </c>
      <c r="C131" s="523" t="s">
        <v>33</v>
      </c>
      <c r="D131" s="523">
        <v>116</v>
      </c>
      <c r="E131" s="523"/>
      <c r="F131" s="523" t="s">
        <v>1666</v>
      </c>
      <c r="G131" s="527">
        <v>12.94</v>
      </c>
      <c r="H131" s="530">
        <v>10</v>
      </c>
      <c r="I131" s="527">
        <v>2</v>
      </c>
      <c r="J131" s="531">
        <f t="shared" si="35"/>
        <v>1.545595054095827</v>
      </c>
      <c r="K131" s="527">
        <v>1</v>
      </c>
      <c r="L131" s="267">
        <f t="shared" si="36"/>
        <v>1.545595054095827</v>
      </c>
      <c r="M131" s="433">
        <f t="shared" si="37"/>
        <v>309.1190108191654</v>
      </c>
      <c r="N131" s="434">
        <v>200</v>
      </c>
      <c r="O131" s="435">
        <f t="shared" si="38"/>
        <v>0.77279752704791349</v>
      </c>
    </row>
    <row r="132" spans="1:15" ht="30">
      <c r="A132" s="523" t="s">
        <v>1669</v>
      </c>
      <c r="B132" s="522" t="s">
        <v>1671</v>
      </c>
      <c r="C132" s="523" t="s">
        <v>33</v>
      </c>
      <c r="D132" s="523">
        <v>116</v>
      </c>
      <c r="E132" s="523"/>
      <c r="F132" s="523" t="s">
        <v>10</v>
      </c>
      <c r="G132" s="527">
        <v>40</v>
      </c>
      <c r="H132" s="530">
        <v>10</v>
      </c>
      <c r="I132" s="527">
        <v>1</v>
      </c>
      <c r="J132" s="531">
        <f t="shared" si="35"/>
        <v>0.25</v>
      </c>
      <c r="K132" s="525">
        <f>3431/1000</f>
        <v>3.431</v>
      </c>
      <c r="L132" s="267">
        <f t="shared" si="36"/>
        <v>0.85775000000000001</v>
      </c>
      <c r="M132" s="433">
        <f t="shared" si="37"/>
        <v>171.55</v>
      </c>
      <c r="N132" s="434">
        <v>200</v>
      </c>
      <c r="O132" s="435">
        <f t="shared" si="38"/>
        <v>0.85775000000000001</v>
      </c>
    </row>
    <row r="133" spans="1:15" ht="15">
      <c r="A133" s="13" t="s">
        <v>274</v>
      </c>
      <c r="B133" s="27" t="s">
        <v>275</v>
      </c>
      <c r="C133" s="13" t="s">
        <v>83</v>
      </c>
      <c r="D133" s="13">
        <v>116</v>
      </c>
      <c r="E133" s="13"/>
      <c r="F133" s="4" t="s">
        <v>276</v>
      </c>
      <c r="G133" s="28">
        <v>20</v>
      </c>
      <c r="H133" s="440">
        <v>10</v>
      </c>
      <c r="I133" s="28">
        <v>2</v>
      </c>
      <c r="J133" s="441">
        <f t="shared" si="35"/>
        <v>1</v>
      </c>
      <c r="K133" s="28">
        <v>1</v>
      </c>
      <c r="L133" s="267">
        <f t="shared" si="36"/>
        <v>1</v>
      </c>
      <c r="M133" s="433">
        <f t="shared" si="37"/>
        <v>200</v>
      </c>
      <c r="N133" s="434">
        <v>200</v>
      </c>
      <c r="O133" s="435">
        <f t="shared" si="38"/>
        <v>0.50</v>
      </c>
    </row>
    <row r="134" spans="1:15" ht="15">
      <c r="A134" s="13" t="s">
        <v>277</v>
      </c>
      <c r="B134" s="27" t="s">
        <v>278</v>
      </c>
      <c r="C134" s="13" t="s">
        <v>83</v>
      </c>
      <c r="D134" s="13">
        <v>116</v>
      </c>
      <c r="E134" s="13"/>
      <c r="F134" s="4" t="s">
        <v>90</v>
      </c>
      <c r="G134" s="28">
        <v>13.50</v>
      </c>
      <c r="H134" s="440">
        <v>10</v>
      </c>
      <c r="I134" s="28">
        <v>2</v>
      </c>
      <c r="J134" s="441">
        <f t="shared" si="35"/>
        <v>1.4814814814814814</v>
      </c>
      <c r="K134" s="28">
        <v>1</v>
      </c>
      <c r="L134" s="267">
        <f t="shared" si="36"/>
        <v>1.4814814814814814</v>
      </c>
      <c r="M134" s="433">
        <f t="shared" si="37"/>
        <v>296.2962962962963</v>
      </c>
      <c r="N134" s="434">
        <v>200</v>
      </c>
      <c r="O134" s="435">
        <f t="shared" si="38"/>
        <v>0.7407407407407407</v>
      </c>
    </row>
    <row r="135" spans="1:15" ht="15">
      <c r="A135" s="13" t="s">
        <v>279</v>
      </c>
      <c r="B135" s="27" t="s">
        <v>280</v>
      </c>
      <c r="C135" s="13" t="s">
        <v>29</v>
      </c>
      <c r="D135" s="13">
        <v>120</v>
      </c>
      <c r="E135" s="13"/>
      <c r="F135" s="13" t="s">
        <v>12</v>
      </c>
      <c r="G135" s="28">
        <v>10</v>
      </c>
      <c r="H135" s="440">
        <v>10</v>
      </c>
      <c r="I135" s="28">
        <v>1</v>
      </c>
      <c r="J135" s="441">
        <f t="shared" si="35"/>
        <v>1</v>
      </c>
      <c r="K135" s="28">
        <v>1</v>
      </c>
      <c r="L135" s="435">
        <f t="shared" si="36"/>
        <v>1</v>
      </c>
      <c r="M135" s="266">
        <f t="shared" si="37"/>
        <v>176</v>
      </c>
      <c r="N135" s="433">
        <v>176</v>
      </c>
      <c r="O135" s="435">
        <f t="shared" si="38"/>
        <v>1</v>
      </c>
    </row>
    <row r="136" spans="1:15" ht="15">
      <c r="A136" s="13" t="s">
        <v>281</v>
      </c>
      <c r="B136" s="56" t="s">
        <v>30</v>
      </c>
      <c r="C136" s="13" t="s">
        <v>29</v>
      </c>
      <c r="D136" s="13">
        <v>120</v>
      </c>
      <c r="E136" s="13"/>
      <c r="F136" s="13" t="s">
        <v>12</v>
      </c>
      <c r="G136" s="436">
        <v>5.66</v>
      </c>
      <c r="H136" s="440">
        <v>10</v>
      </c>
      <c r="I136" s="28">
        <v>1</v>
      </c>
      <c r="J136" s="441">
        <f t="shared" si="35"/>
        <v>1.7667844522968197</v>
      </c>
      <c r="K136" s="28">
        <v>1</v>
      </c>
      <c r="L136" s="267">
        <f t="shared" si="36"/>
        <v>1.7667844522968197</v>
      </c>
      <c r="M136" s="433">
        <f t="shared" si="37"/>
        <v>310.95406360424028</v>
      </c>
      <c r="N136" s="434">
        <v>176</v>
      </c>
      <c r="O136" s="435">
        <f t="shared" si="38"/>
        <v>1.7667844522968197</v>
      </c>
    </row>
    <row r="137" spans="1:15" ht="30">
      <c r="A137" s="13" t="s">
        <v>282</v>
      </c>
      <c r="B137" s="56" t="s">
        <v>283</v>
      </c>
      <c r="C137" s="13" t="s">
        <v>29</v>
      </c>
      <c r="D137" s="13">
        <v>120</v>
      </c>
      <c r="E137" s="13"/>
      <c r="F137" s="13" t="s">
        <v>12</v>
      </c>
      <c r="G137" s="436">
        <v>6.43</v>
      </c>
      <c r="H137" s="440">
        <v>10</v>
      </c>
      <c r="I137" s="28">
        <v>1</v>
      </c>
      <c r="J137" s="441">
        <f t="shared" si="35"/>
        <v>1.5552099533437014</v>
      </c>
      <c r="K137" s="28">
        <v>1</v>
      </c>
      <c r="L137" s="267">
        <f t="shared" si="36"/>
        <v>1.5552099533437014</v>
      </c>
      <c r="M137" s="433">
        <f t="shared" si="37"/>
        <v>273.71695178849143</v>
      </c>
      <c r="N137" s="434">
        <v>176</v>
      </c>
      <c r="O137" s="435">
        <f t="shared" si="38"/>
        <v>1.5552099533437014</v>
      </c>
    </row>
    <row r="138" spans="1:15" ht="15">
      <c r="A138" s="13" t="s">
        <v>902</v>
      </c>
      <c r="B138" s="56" t="s">
        <v>1200</v>
      </c>
      <c r="C138" s="13" t="s">
        <v>523</v>
      </c>
      <c r="D138" s="13">
        <v>224</v>
      </c>
      <c r="E138" s="13"/>
      <c r="F138" s="4" t="s">
        <v>900</v>
      </c>
      <c r="G138" s="28">
        <v>600</v>
      </c>
      <c r="H138" s="431">
        <v>10</v>
      </c>
      <c r="I138" s="28">
        <v>1</v>
      </c>
      <c r="J138" s="441">
        <f t="shared" si="35"/>
        <v>0.016666666666666666</v>
      </c>
      <c r="K138" s="28">
        <v>1</v>
      </c>
      <c r="L138" s="267">
        <f t="shared" si="36"/>
        <v>0.016666666666666666</v>
      </c>
      <c r="M138" s="433">
        <f t="shared" si="37"/>
        <v>2.9333333333333331</v>
      </c>
      <c r="N138" s="434">
        <v>176</v>
      </c>
      <c r="O138" s="435">
        <f t="shared" si="38"/>
        <v>0.016666666666666666</v>
      </c>
    </row>
    <row r="139" spans="1:15" ht="15">
      <c r="A139" s="523" t="s">
        <v>284</v>
      </c>
      <c r="B139" s="522" t="s">
        <v>126</v>
      </c>
      <c r="C139" s="523" t="s">
        <v>83</v>
      </c>
      <c r="D139" s="523">
        <v>116</v>
      </c>
      <c r="E139" s="523"/>
      <c r="F139" s="523" t="s">
        <v>127</v>
      </c>
      <c r="G139" s="527">
        <v>5</v>
      </c>
      <c r="H139" s="526">
        <v>10</v>
      </c>
      <c r="I139" s="527">
        <v>2</v>
      </c>
      <c r="J139" s="528">
        <f t="shared" si="35"/>
        <v>4</v>
      </c>
      <c r="K139" s="527">
        <v>1</v>
      </c>
      <c r="L139" s="267">
        <f t="shared" si="36"/>
        <v>4</v>
      </c>
      <c r="M139" s="433">
        <f t="shared" si="37"/>
        <v>800</v>
      </c>
      <c r="N139" s="478">
        <v>200</v>
      </c>
      <c r="O139" s="435">
        <f t="shared" si="38"/>
        <v>2</v>
      </c>
    </row>
    <row r="140" spans="1:15" ht="15">
      <c r="A140" s="13" t="s">
        <v>285</v>
      </c>
      <c r="B140" s="56" t="s">
        <v>901</v>
      </c>
      <c r="C140" s="13" t="s">
        <v>83</v>
      </c>
      <c r="D140" s="13">
        <v>116</v>
      </c>
      <c r="E140" s="13"/>
      <c r="F140" s="13" t="s">
        <v>12</v>
      </c>
      <c r="G140" s="28">
        <v>8</v>
      </c>
      <c r="H140" s="440">
        <v>10</v>
      </c>
      <c r="I140" s="28">
        <v>2</v>
      </c>
      <c r="J140" s="441">
        <f t="shared" si="35"/>
        <v>2.50</v>
      </c>
      <c r="K140" s="28">
        <v>1</v>
      </c>
      <c r="L140" s="267">
        <f t="shared" si="36"/>
        <v>2.50</v>
      </c>
      <c r="M140" s="433">
        <f t="shared" si="37"/>
        <v>500</v>
      </c>
      <c r="N140" s="434">
        <v>200</v>
      </c>
      <c r="O140" s="435">
        <f t="shared" si="38"/>
        <v>1.25</v>
      </c>
    </row>
    <row r="141" spans="1:15" ht="15">
      <c r="A141" s="13" t="s">
        <v>286</v>
      </c>
      <c r="B141" s="27" t="s">
        <v>288</v>
      </c>
      <c r="C141" s="13" t="s">
        <v>287</v>
      </c>
      <c r="D141" s="13">
        <v>116</v>
      </c>
      <c r="E141" s="13"/>
      <c r="F141" s="13" t="s">
        <v>67</v>
      </c>
      <c r="G141" s="28">
        <v>40</v>
      </c>
      <c r="H141" s="440">
        <v>10</v>
      </c>
      <c r="I141" s="28">
        <v>1</v>
      </c>
      <c r="J141" s="441">
        <f t="shared" si="35"/>
        <v>0.25</v>
      </c>
      <c r="K141" s="28">
        <v>4</v>
      </c>
      <c r="L141" s="267">
        <f t="shared" si="36"/>
        <v>1</v>
      </c>
      <c r="M141" s="433">
        <f t="shared" si="37"/>
        <v>152</v>
      </c>
      <c r="N141" s="434">
        <v>152</v>
      </c>
      <c r="O141" s="435">
        <f t="shared" si="38"/>
        <v>1</v>
      </c>
    </row>
    <row r="142" spans="1:15" ht="15">
      <c r="A142" s="39"/>
      <c r="B142" s="649" t="s">
        <v>134</v>
      </c>
      <c r="C142" s="649"/>
      <c r="D142" s="649"/>
      <c r="E142" s="649"/>
      <c r="F142" s="649"/>
      <c r="G142" s="649"/>
      <c r="H142" s="649"/>
      <c r="I142" s="649"/>
      <c r="J142" s="649"/>
      <c r="K142" s="649"/>
      <c r="L142" s="267"/>
      <c r="M142" s="262">
        <f>SUM(M143:M163)</f>
        <v>7709.0063013150329</v>
      </c>
      <c r="N142" s="263"/>
      <c r="O142" s="264">
        <f>SUM(O143:O163)</f>
        <v>28.581877557926905</v>
      </c>
    </row>
    <row r="143" spans="1:16" ht="30">
      <c r="A143" s="13" t="s">
        <v>297</v>
      </c>
      <c r="B143" s="56" t="s">
        <v>298</v>
      </c>
      <c r="C143" s="13" t="s">
        <v>33</v>
      </c>
      <c r="D143" s="13">
        <v>116</v>
      </c>
      <c r="E143" s="13"/>
      <c r="F143" s="13" t="s">
        <v>96</v>
      </c>
      <c r="G143" s="432">
        <v>10</v>
      </c>
      <c r="H143" s="440">
        <v>10</v>
      </c>
      <c r="I143" s="28">
        <v>2</v>
      </c>
      <c r="J143" s="441">
        <f t="shared" si="39" ref="J143:J163">H143/G143*I143</f>
        <v>2</v>
      </c>
      <c r="K143" s="28">
        <v>1</v>
      </c>
      <c r="L143" s="267">
        <f t="shared" si="40" ref="L143:L163">J143*K143</f>
        <v>2</v>
      </c>
      <c r="M143" s="433">
        <f t="shared" si="41" ref="M143:M163">L143*N143</f>
        <v>400</v>
      </c>
      <c r="N143" s="434">
        <v>200</v>
      </c>
      <c r="O143" s="435">
        <f t="shared" si="42" ref="O143:O163">J143/I143*K143</f>
        <v>1</v>
      </c>
      <c r="P143" s="22"/>
    </row>
    <row r="144" spans="1:16" ht="30">
      <c r="A144" s="523" t="s">
        <v>1663</v>
      </c>
      <c r="B144" s="522" t="s">
        <v>1665</v>
      </c>
      <c r="C144" s="523" t="s">
        <v>33</v>
      </c>
      <c r="D144" s="523">
        <v>116</v>
      </c>
      <c r="E144" s="523"/>
      <c r="F144" s="523" t="s">
        <v>1666</v>
      </c>
      <c r="G144" s="527">
        <v>12.47</v>
      </c>
      <c r="H144" s="530">
        <v>10</v>
      </c>
      <c r="I144" s="527">
        <v>2</v>
      </c>
      <c r="J144" s="531">
        <f t="shared" si="39"/>
        <v>1.6038492381716118</v>
      </c>
      <c r="K144" s="527">
        <v>1</v>
      </c>
      <c r="L144" s="267">
        <f t="shared" si="40"/>
        <v>1.6038492381716118</v>
      </c>
      <c r="M144" s="433">
        <f t="shared" si="41"/>
        <v>320.76984763432239</v>
      </c>
      <c r="N144" s="434">
        <v>200</v>
      </c>
      <c r="O144" s="435">
        <f t="shared" si="42"/>
        <v>0.80192461908580592</v>
      </c>
      <c r="P144" s="22"/>
    </row>
    <row r="145" spans="1:16" ht="30">
      <c r="A145" s="523" t="s">
        <v>1664</v>
      </c>
      <c r="B145" s="522" t="s">
        <v>1667</v>
      </c>
      <c r="C145" s="523" t="s">
        <v>33</v>
      </c>
      <c r="D145" s="523">
        <v>116</v>
      </c>
      <c r="E145" s="523"/>
      <c r="F145" s="523" t="s">
        <v>10</v>
      </c>
      <c r="G145" s="527">
        <v>40</v>
      </c>
      <c r="H145" s="530">
        <v>10</v>
      </c>
      <c r="I145" s="527">
        <v>1</v>
      </c>
      <c r="J145" s="531">
        <f t="shared" si="39"/>
        <v>0.25</v>
      </c>
      <c r="K145" s="525">
        <f>3446/1000</f>
        <v>3.4460000000000002</v>
      </c>
      <c r="L145" s="267">
        <f t="shared" si="40"/>
        <v>0.86150000000000004</v>
      </c>
      <c r="M145" s="433">
        <f t="shared" si="41"/>
        <v>172.30</v>
      </c>
      <c r="N145" s="434">
        <v>200</v>
      </c>
      <c r="O145" s="435">
        <f t="shared" si="42"/>
        <v>0.86150000000000004</v>
      </c>
      <c r="P145" s="22"/>
    </row>
    <row r="146" spans="1:16" ht="30">
      <c r="A146" s="13" t="s">
        <v>299</v>
      </c>
      <c r="B146" s="56" t="s">
        <v>300</v>
      </c>
      <c r="C146" s="13" t="s">
        <v>33</v>
      </c>
      <c r="D146" s="13">
        <v>119</v>
      </c>
      <c r="E146" s="13"/>
      <c r="F146" s="13" t="s">
        <v>96</v>
      </c>
      <c r="G146" s="442">
        <v>7.08</v>
      </c>
      <c r="H146" s="440">
        <v>10</v>
      </c>
      <c r="I146" s="28">
        <v>2</v>
      </c>
      <c r="J146" s="441">
        <f t="shared" si="39"/>
        <v>2.8248587570621471</v>
      </c>
      <c r="K146" s="28">
        <v>1</v>
      </c>
      <c r="L146" s="267">
        <f t="shared" si="40"/>
        <v>2.8248587570621471</v>
      </c>
      <c r="M146" s="433">
        <f t="shared" si="41"/>
        <v>564.9717514124294</v>
      </c>
      <c r="N146" s="434">
        <v>200</v>
      </c>
      <c r="O146" s="435">
        <f t="shared" si="42"/>
        <v>1.4124293785310735</v>
      </c>
      <c r="P146" s="22"/>
    </row>
    <row r="147" spans="1:16" ht="30">
      <c r="A147" s="13" t="s">
        <v>301</v>
      </c>
      <c r="B147" s="27" t="s">
        <v>97</v>
      </c>
      <c r="C147" s="13" t="s">
        <v>83</v>
      </c>
      <c r="D147" s="13">
        <v>119</v>
      </c>
      <c r="E147" s="13"/>
      <c r="F147" s="13" t="s">
        <v>12</v>
      </c>
      <c r="G147" s="442">
        <v>3.59</v>
      </c>
      <c r="H147" s="440">
        <v>10</v>
      </c>
      <c r="I147" s="28">
        <v>2</v>
      </c>
      <c r="J147" s="441">
        <f t="shared" si="39"/>
        <v>5.5710306406685239</v>
      </c>
      <c r="K147" s="28">
        <v>1</v>
      </c>
      <c r="L147" s="267">
        <f t="shared" si="40"/>
        <v>5.5710306406685239</v>
      </c>
      <c r="M147" s="433">
        <f t="shared" si="41"/>
        <v>1114.2061281337049</v>
      </c>
      <c r="N147" s="434">
        <v>200</v>
      </c>
      <c r="O147" s="435">
        <f t="shared" si="42"/>
        <v>2.785515320334262</v>
      </c>
      <c r="P147" s="22"/>
    </row>
    <row r="148" spans="1:15" ht="15">
      <c r="A148" s="57" t="s">
        <v>530</v>
      </c>
      <c r="B148" s="269" t="s">
        <v>531</v>
      </c>
      <c r="C148" s="13" t="s">
        <v>33</v>
      </c>
      <c r="D148" s="13">
        <v>226</v>
      </c>
      <c r="E148" s="13"/>
      <c r="F148" s="13" t="s">
        <v>12</v>
      </c>
      <c r="G148" s="28">
        <v>10</v>
      </c>
      <c r="H148" s="440">
        <v>10</v>
      </c>
      <c r="I148" s="28">
        <v>1</v>
      </c>
      <c r="J148" s="441">
        <f t="shared" si="39"/>
        <v>1</v>
      </c>
      <c r="K148" s="442">
        <v>1</v>
      </c>
      <c r="L148" s="267">
        <f t="shared" si="40"/>
        <v>1</v>
      </c>
      <c r="M148" s="266">
        <f t="shared" si="41"/>
        <v>200</v>
      </c>
      <c r="N148" s="433">
        <v>200</v>
      </c>
      <c r="O148" s="435">
        <f t="shared" si="42"/>
        <v>1</v>
      </c>
    </row>
    <row r="149" spans="1:16" ht="15">
      <c r="A149" s="13" t="s">
        <v>290</v>
      </c>
      <c r="B149" s="27" t="s">
        <v>31</v>
      </c>
      <c r="C149" s="13" t="s">
        <v>14</v>
      </c>
      <c r="D149" s="13">
        <v>226</v>
      </c>
      <c r="E149" s="13"/>
      <c r="F149" s="13" t="s">
        <v>58</v>
      </c>
      <c r="G149" s="28">
        <v>61</v>
      </c>
      <c r="H149" s="440">
        <v>10</v>
      </c>
      <c r="I149" s="28">
        <v>1</v>
      </c>
      <c r="J149" s="441">
        <f t="shared" si="39"/>
        <v>0.16393442622950818</v>
      </c>
      <c r="K149" s="28">
        <v>11.30</v>
      </c>
      <c r="L149" s="267">
        <f t="shared" si="40"/>
        <v>1.8524590163934427</v>
      </c>
      <c r="M149" s="433">
        <f t="shared" si="41"/>
        <v>370.49180327868851</v>
      </c>
      <c r="N149" s="434">
        <v>200</v>
      </c>
      <c r="O149" s="435">
        <f t="shared" si="42"/>
        <v>1.8524590163934427</v>
      </c>
      <c r="P149" s="22"/>
    </row>
    <row r="150" spans="1:16" ht="15">
      <c r="A150" s="13" t="s">
        <v>302</v>
      </c>
      <c r="B150" s="27" t="s">
        <v>903</v>
      </c>
      <c r="C150" s="13" t="s">
        <v>523</v>
      </c>
      <c r="D150" s="13">
        <v>224</v>
      </c>
      <c r="E150" s="13"/>
      <c r="F150" s="13" t="s">
        <v>400</v>
      </c>
      <c r="G150" s="442">
        <v>50</v>
      </c>
      <c r="H150" s="440">
        <v>10</v>
      </c>
      <c r="I150" s="28">
        <v>2</v>
      </c>
      <c r="J150" s="441">
        <f t="shared" si="39"/>
        <v>0.40</v>
      </c>
      <c r="K150" s="28">
        <v>2</v>
      </c>
      <c r="L150" s="267">
        <f t="shared" si="40"/>
        <v>0.80</v>
      </c>
      <c r="M150" s="433">
        <f t="shared" si="41"/>
        <v>140.80000000000001</v>
      </c>
      <c r="N150" s="434">
        <v>176</v>
      </c>
      <c r="O150" s="435">
        <f t="shared" si="42"/>
        <v>0.40</v>
      </c>
      <c r="P150" s="22"/>
    </row>
    <row r="151" spans="1:16" ht="15">
      <c r="A151" s="13" t="s">
        <v>292</v>
      </c>
      <c r="B151" s="27" t="s">
        <v>21</v>
      </c>
      <c r="C151" s="13" t="s">
        <v>33</v>
      </c>
      <c r="D151" s="13">
        <v>219</v>
      </c>
      <c r="E151" s="13"/>
      <c r="F151" s="13" t="s">
        <v>12</v>
      </c>
      <c r="G151" s="569">
        <f>2.486*2</f>
        <v>4.9719999999999995</v>
      </c>
      <c r="H151" s="440">
        <v>10</v>
      </c>
      <c r="I151" s="28">
        <v>2</v>
      </c>
      <c r="J151" s="441">
        <f t="shared" si="39"/>
        <v>4.0225261464199518</v>
      </c>
      <c r="K151" s="28">
        <v>1</v>
      </c>
      <c r="L151" s="267">
        <f t="shared" si="40"/>
        <v>4.0225261464199518</v>
      </c>
      <c r="M151" s="433">
        <f t="shared" si="41"/>
        <v>667.73934030571195</v>
      </c>
      <c r="N151" s="434">
        <v>166</v>
      </c>
      <c r="O151" s="435">
        <f t="shared" si="42"/>
        <v>2.0112630732099759</v>
      </c>
      <c r="P151" s="22"/>
    </row>
    <row r="152" spans="1:16" ht="30">
      <c r="A152" s="13" t="s">
        <v>406</v>
      </c>
      <c r="B152" s="27" t="s">
        <v>407</v>
      </c>
      <c r="C152" s="13" t="s">
        <v>14</v>
      </c>
      <c r="D152" s="13">
        <v>226</v>
      </c>
      <c r="E152" s="13"/>
      <c r="F152" s="13" t="s">
        <v>12</v>
      </c>
      <c r="G152" s="442">
        <v>61</v>
      </c>
      <c r="H152" s="440">
        <v>10</v>
      </c>
      <c r="I152" s="28">
        <v>1</v>
      </c>
      <c r="J152" s="441">
        <f t="shared" si="39"/>
        <v>0.16393442622950818</v>
      </c>
      <c r="K152" s="28">
        <v>1.54</v>
      </c>
      <c r="L152" s="435">
        <f t="shared" si="40"/>
        <v>0.25245901639344259</v>
      </c>
      <c r="M152" s="266">
        <f t="shared" si="41"/>
        <v>50.491803278688522</v>
      </c>
      <c r="N152" s="433">
        <v>200</v>
      </c>
      <c r="O152" s="435">
        <f t="shared" si="42"/>
        <v>0.25245901639344259</v>
      </c>
      <c r="P152" s="22"/>
    </row>
    <row r="153" spans="1:16" ht="15">
      <c r="A153" s="13" t="s">
        <v>291</v>
      </c>
      <c r="B153" s="27" t="s">
        <v>101</v>
      </c>
      <c r="C153" s="13" t="s">
        <v>33</v>
      </c>
      <c r="D153" s="13">
        <v>219</v>
      </c>
      <c r="E153" s="13"/>
      <c r="F153" s="13" t="s">
        <v>12</v>
      </c>
      <c r="G153" s="442">
        <v>6.40</v>
      </c>
      <c r="H153" s="440">
        <v>10</v>
      </c>
      <c r="I153" s="28">
        <v>2</v>
      </c>
      <c r="J153" s="441">
        <f t="shared" si="39"/>
        <v>3.125</v>
      </c>
      <c r="K153" s="28">
        <v>1</v>
      </c>
      <c r="L153" s="267">
        <f t="shared" si="40"/>
        <v>3.125</v>
      </c>
      <c r="M153" s="433">
        <f t="shared" si="41"/>
        <v>625</v>
      </c>
      <c r="N153" s="434">
        <v>200</v>
      </c>
      <c r="O153" s="435">
        <f t="shared" si="42"/>
        <v>1.5625</v>
      </c>
      <c r="P153" s="22"/>
    </row>
    <row r="154" spans="1:16" ht="15">
      <c r="A154" s="13" t="s">
        <v>303</v>
      </c>
      <c r="B154" s="27" t="s">
        <v>304</v>
      </c>
      <c r="C154" s="13" t="s">
        <v>226</v>
      </c>
      <c r="D154" s="13">
        <v>302</v>
      </c>
      <c r="E154" s="13"/>
      <c r="F154" s="13" t="s">
        <v>103</v>
      </c>
      <c r="G154" s="432">
        <v>105</v>
      </c>
      <c r="H154" s="440">
        <v>10</v>
      </c>
      <c r="I154" s="28">
        <v>1</v>
      </c>
      <c r="J154" s="441">
        <f t="shared" si="39"/>
        <v>0.095238095238095233</v>
      </c>
      <c r="K154" s="28">
        <v>50</v>
      </c>
      <c r="L154" s="267">
        <f t="shared" si="40"/>
        <v>4.7619047619047619</v>
      </c>
      <c r="M154" s="433">
        <f t="shared" si="41"/>
        <v>838.09523809523807</v>
      </c>
      <c r="N154" s="434">
        <v>176</v>
      </c>
      <c r="O154" s="435">
        <f t="shared" si="42"/>
        <v>4.7619047619047619</v>
      </c>
      <c r="P154" s="22"/>
    </row>
    <row r="155" spans="1:16" ht="15">
      <c r="A155" s="13" t="s">
        <v>293</v>
      </c>
      <c r="B155" s="27" t="s">
        <v>102</v>
      </c>
      <c r="C155" s="13" t="s">
        <v>33</v>
      </c>
      <c r="D155" s="13">
        <v>219</v>
      </c>
      <c r="E155" s="13"/>
      <c r="F155" s="13" t="s">
        <v>103</v>
      </c>
      <c r="G155" s="28">
        <f>10*60/1</f>
        <v>600</v>
      </c>
      <c r="H155" s="440">
        <v>10</v>
      </c>
      <c r="I155" s="28">
        <v>1</v>
      </c>
      <c r="J155" s="441">
        <f t="shared" si="39"/>
        <v>0.016666666666666666</v>
      </c>
      <c r="K155" s="28">
        <v>50</v>
      </c>
      <c r="L155" s="267">
        <f t="shared" si="40"/>
        <v>0.83333333333333337</v>
      </c>
      <c r="M155" s="433">
        <f t="shared" si="41"/>
        <v>126.66666666666667</v>
      </c>
      <c r="N155" s="434">
        <v>152</v>
      </c>
      <c r="O155" s="435">
        <f t="shared" si="42"/>
        <v>0.83333333333333337</v>
      </c>
      <c r="P155" s="22"/>
    </row>
    <row r="156" spans="1:16" ht="15">
      <c r="A156" s="13" t="s">
        <v>305</v>
      </c>
      <c r="B156" s="27" t="s">
        <v>343</v>
      </c>
      <c r="C156" s="13" t="s">
        <v>14</v>
      </c>
      <c r="D156" s="13">
        <v>226</v>
      </c>
      <c r="E156" s="13"/>
      <c r="F156" s="13" t="s">
        <v>58</v>
      </c>
      <c r="G156" s="28">
        <v>55.20</v>
      </c>
      <c r="H156" s="440">
        <v>10</v>
      </c>
      <c r="I156" s="28">
        <v>1</v>
      </c>
      <c r="J156" s="441">
        <f t="shared" si="39"/>
        <v>0.18115942028985507</v>
      </c>
      <c r="K156" s="28">
        <v>1.50</v>
      </c>
      <c r="L156" s="435">
        <f t="shared" si="40"/>
        <v>0.27173913043478259</v>
      </c>
      <c r="M156" s="266">
        <f t="shared" si="41"/>
        <v>54.347826086956516</v>
      </c>
      <c r="N156" s="433">
        <v>200</v>
      </c>
      <c r="O156" s="435">
        <f t="shared" si="42"/>
        <v>0.27173913043478259</v>
      </c>
      <c r="P156" s="22"/>
    </row>
    <row r="157" spans="1:16" ht="30">
      <c r="A157" s="13" t="s">
        <v>306</v>
      </c>
      <c r="B157" s="27" t="s">
        <v>307</v>
      </c>
      <c r="C157" s="13" t="s">
        <v>14</v>
      </c>
      <c r="D157" s="13">
        <v>226</v>
      </c>
      <c r="E157" s="13"/>
      <c r="F157" s="13" t="s">
        <v>12</v>
      </c>
      <c r="G157" s="28">
        <v>6.10</v>
      </c>
      <c r="H157" s="440">
        <v>10</v>
      </c>
      <c r="I157" s="28">
        <v>1</v>
      </c>
      <c r="J157" s="441">
        <f t="shared" si="39"/>
        <v>1.639344262295082</v>
      </c>
      <c r="K157" s="28">
        <v>1</v>
      </c>
      <c r="L157" s="435">
        <f t="shared" si="40"/>
        <v>1.639344262295082</v>
      </c>
      <c r="M157" s="266">
        <f t="shared" si="41"/>
        <v>327.86885245901641</v>
      </c>
      <c r="N157" s="433">
        <v>200</v>
      </c>
      <c r="O157" s="435">
        <f t="shared" si="42"/>
        <v>1.639344262295082</v>
      </c>
      <c r="P157" s="22"/>
    </row>
    <row r="158" spans="1:16" ht="15">
      <c r="A158" s="13" t="s">
        <v>296</v>
      </c>
      <c r="B158" s="56" t="s">
        <v>105</v>
      </c>
      <c r="C158" s="13" t="s">
        <v>33</v>
      </c>
      <c r="D158" s="13">
        <v>219</v>
      </c>
      <c r="E158" s="13"/>
      <c r="F158" s="13" t="s">
        <v>96</v>
      </c>
      <c r="G158" s="28">
        <v>10.80</v>
      </c>
      <c r="H158" s="440">
        <v>10</v>
      </c>
      <c r="I158" s="28">
        <v>2</v>
      </c>
      <c r="J158" s="441">
        <f t="shared" si="39"/>
        <v>1.8518518518518516</v>
      </c>
      <c r="K158" s="28">
        <v>1</v>
      </c>
      <c r="L158" s="267">
        <f t="shared" si="40"/>
        <v>1.8518518518518516</v>
      </c>
      <c r="M158" s="433">
        <f t="shared" si="41"/>
        <v>370.37037037037032</v>
      </c>
      <c r="N158" s="434">
        <v>200</v>
      </c>
      <c r="O158" s="435">
        <f t="shared" si="42"/>
        <v>0.92592592592592582</v>
      </c>
      <c r="P158" s="22"/>
    </row>
    <row r="159" spans="1:16" ht="15">
      <c r="A159" s="523" t="s">
        <v>1695</v>
      </c>
      <c r="B159" s="522" t="s">
        <v>1696</v>
      </c>
      <c r="C159" s="523" t="s">
        <v>33</v>
      </c>
      <c r="D159" s="523">
        <v>226</v>
      </c>
      <c r="E159" s="523"/>
      <c r="F159" s="523" t="s">
        <v>12</v>
      </c>
      <c r="G159" s="527">
        <v>20</v>
      </c>
      <c r="H159" s="530">
        <v>10</v>
      </c>
      <c r="I159" s="527">
        <v>1</v>
      </c>
      <c r="J159" s="531">
        <f t="shared" si="43" ref="J159">H159/G159*I159</f>
        <v>0.50</v>
      </c>
      <c r="K159" s="527">
        <v>1</v>
      </c>
      <c r="L159" s="267">
        <f t="shared" si="44" ref="L159">J159*K159</f>
        <v>0.50</v>
      </c>
      <c r="M159" s="433">
        <f t="shared" si="45" ref="M159">L159*N159</f>
        <v>100</v>
      </c>
      <c r="N159" s="434">
        <v>200</v>
      </c>
      <c r="O159" s="435">
        <f t="shared" si="46" ref="O159">J159/I159*K159</f>
        <v>0.50</v>
      </c>
      <c r="P159" s="22"/>
    </row>
    <row r="160" spans="1:16" ht="15">
      <c r="A160" s="13" t="s">
        <v>308</v>
      </c>
      <c r="B160" s="27" t="s">
        <v>309</v>
      </c>
      <c r="C160" s="13" t="s">
        <v>14</v>
      </c>
      <c r="D160" s="13">
        <v>226</v>
      </c>
      <c r="E160" s="13"/>
      <c r="F160" s="13" t="s">
        <v>58</v>
      </c>
      <c r="G160" s="442">
        <v>55</v>
      </c>
      <c r="H160" s="440">
        <v>10</v>
      </c>
      <c r="I160" s="28">
        <v>1</v>
      </c>
      <c r="J160" s="441">
        <f t="shared" si="39"/>
        <v>0.18181818181818182</v>
      </c>
      <c r="K160" s="28">
        <v>5.50</v>
      </c>
      <c r="L160" s="435">
        <f t="shared" si="40"/>
        <v>1</v>
      </c>
      <c r="M160" s="266">
        <f t="shared" si="41"/>
        <v>152</v>
      </c>
      <c r="N160" s="433">
        <v>152</v>
      </c>
      <c r="O160" s="435">
        <f t="shared" si="42"/>
        <v>1</v>
      </c>
      <c r="P160" s="22"/>
    </row>
    <row r="161" spans="1:16" ht="15">
      <c r="A161" s="13" t="s">
        <v>294</v>
      </c>
      <c r="B161" s="27" t="s">
        <v>521</v>
      </c>
      <c r="C161" s="13" t="s">
        <v>14</v>
      </c>
      <c r="D161" s="13">
        <v>226</v>
      </c>
      <c r="E161" s="13"/>
      <c r="F161" s="13" t="s">
        <v>58</v>
      </c>
      <c r="G161" s="28">
        <v>23.16</v>
      </c>
      <c r="H161" s="440">
        <v>10</v>
      </c>
      <c r="I161" s="28">
        <v>1</v>
      </c>
      <c r="J161" s="441">
        <f t="shared" si="39"/>
        <v>0.43177892918825561</v>
      </c>
      <c r="K161" s="28">
        <v>7.10</v>
      </c>
      <c r="L161" s="267">
        <f t="shared" si="40"/>
        <v>3.0656303972366148</v>
      </c>
      <c r="M161" s="433">
        <f t="shared" si="41"/>
        <v>613.12607944732292</v>
      </c>
      <c r="N161" s="434">
        <v>200</v>
      </c>
      <c r="O161" s="435">
        <f t="shared" si="42"/>
        <v>3.0656303972366148</v>
      </c>
      <c r="P161" s="22"/>
    </row>
    <row r="162" spans="1:16" ht="15">
      <c r="A162" s="13" t="s">
        <v>1639</v>
      </c>
      <c r="B162" s="27" t="s">
        <v>1640</v>
      </c>
      <c r="C162" s="13" t="s">
        <v>33</v>
      </c>
      <c r="D162" s="13" t="s">
        <v>1333</v>
      </c>
      <c r="E162" s="13"/>
      <c r="F162" s="13" t="s">
        <v>12</v>
      </c>
      <c r="G162" s="442">
        <v>30</v>
      </c>
      <c r="H162" s="440">
        <v>10</v>
      </c>
      <c r="I162" s="28">
        <v>2</v>
      </c>
      <c r="J162" s="441">
        <f t="shared" si="39"/>
        <v>0.66666666666666663</v>
      </c>
      <c r="K162" s="28">
        <v>1</v>
      </c>
      <c r="L162" s="267">
        <f t="shared" si="40"/>
        <v>0.66666666666666663</v>
      </c>
      <c r="M162" s="433">
        <f t="shared" si="41"/>
        <v>101.33333333333333</v>
      </c>
      <c r="N162" s="434">
        <v>152</v>
      </c>
      <c r="O162" s="435">
        <f t="shared" si="42"/>
        <v>0.33333333333333331</v>
      </c>
      <c r="P162" s="21"/>
    </row>
    <row r="163" spans="1:16" ht="15">
      <c r="A163" s="13" t="s">
        <v>295</v>
      </c>
      <c r="B163" s="27" t="s">
        <v>104</v>
      </c>
      <c r="C163" s="13" t="s">
        <v>33</v>
      </c>
      <c r="D163" s="13" t="s">
        <v>1333</v>
      </c>
      <c r="E163" s="13"/>
      <c r="F163" s="13" t="s">
        <v>12</v>
      </c>
      <c r="G163" s="28">
        <v>7.63</v>
      </c>
      <c r="H163" s="440">
        <v>10</v>
      </c>
      <c r="I163" s="28">
        <v>2</v>
      </c>
      <c r="J163" s="441">
        <f t="shared" si="39"/>
        <v>2.6212319790301444</v>
      </c>
      <c r="K163" s="28">
        <v>1</v>
      </c>
      <c r="L163" s="267">
        <f t="shared" si="40"/>
        <v>2.6212319790301444</v>
      </c>
      <c r="M163" s="433">
        <f t="shared" si="41"/>
        <v>398.42726081258195</v>
      </c>
      <c r="N163" s="434">
        <v>152</v>
      </c>
      <c r="O163" s="435">
        <f t="shared" si="42"/>
        <v>1.3106159895150722</v>
      </c>
      <c r="P163" s="21"/>
    </row>
    <row r="164" spans="1:15" s="22" customFormat="1" ht="15">
      <c r="A164" s="443"/>
      <c r="B164" s="495" t="s">
        <v>15</v>
      </c>
      <c r="C164" s="443"/>
      <c r="D164" s="443"/>
      <c r="E164" s="443"/>
      <c r="F164" s="444"/>
      <c r="G164" s="443"/>
      <c r="H164" s="445"/>
      <c r="I164" s="443"/>
      <c r="J164" s="446"/>
      <c r="K164" s="443"/>
      <c r="L164" s="447">
        <f>SUM(L6:L163)</f>
        <v>225.34553422442809</v>
      </c>
      <c r="M164" s="455">
        <f>M18+M48+M70+M83+M94+M142+M90+M5</f>
        <v>44363.063632319063</v>
      </c>
      <c r="N164" s="110"/>
      <c r="O164" s="454">
        <f>O18+O48+O70+O83+O94+O142+O90+O5</f>
        <v>157.13803268266707</v>
      </c>
    </row>
    <row r="165" spans="12:15" ht="15">
      <c r="L165" s="448" t="s">
        <v>16</v>
      </c>
      <c r="O165" s="448" t="s">
        <v>17</v>
      </c>
    </row>
    <row r="166" spans="6:15" ht="15">
      <c r="F166" s="107"/>
      <c r="J166" s="450"/>
      <c r="K166" s="451" t="s">
        <v>18</v>
      </c>
      <c r="L166" s="452">
        <f>L164/G2</f>
        <v>130.5594056920209</v>
      </c>
      <c r="M166" s="450" t="s">
        <v>19</v>
      </c>
      <c r="N166" s="450"/>
      <c r="O166" s="450"/>
    </row>
    <row r="167" spans="6:6" ht="15">
      <c r="F167" s="107"/>
    </row>
    <row r="168" spans="2:8" ht="15">
      <c r="B168" s="493" t="s">
        <v>858</v>
      </c>
      <c r="C168" s="449"/>
      <c r="F168" s="107"/>
      <c r="H168" s="268"/>
    </row>
    <row r="169" spans="6:6" ht="15">
      <c r="F169" s="107"/>
    </row>
    <row r="170" spans="2:3" ht="15">
      <c r="B170" s="493" t="s">
        <v>848</v>
      </c>
      <c r="C170" s="449"/>
    </row>
    <row r="172" spans="2:3" ht="15">
      <c r="B172" s="493" t="s">
        <v>849</v>
      </c>
      <c r="C172" s="449"/>
    </row>
    <row r="176" spans="1:8" ht="15" hidden="1">
      <c r="A176" s="481" t="s">
        <v>328</v>
      </c>
      <c r="B176" s="496" t="s">
        <v>329</v>
      </c>
      <c r="C176" s="481" t="s">
        <v>330</v>
      </c>
      <c r="D176" s="481" t="s">
        <v>331</v>
      </c>
      <c r="E176" s="481" t="s">
        <v>332</v>
      </c>
      <c r="F176" s="481" t="s">
        <v>333</v>
      </c>
      <c r="G176" s="427"/>
      <c r="H176" s="268"/>
    </row>
    <row r="177" spans="1:8" ht="75" hidden="1">
      <c r="A177" s="482">
        <v>1</v>
      </c>
      <c r="B177" s="483" t="s">
        <v>1283</v>
      </c>
      <c r="C177" s="482">
        <v>600</v>
      </c>
      <c r="D177" s="482">
        <v>400</v>
      </c>
      <c r="E177" s="482" t="s">
        <v>954</v>
      </c>
      <c r="F177" s="484">
        <v>44602</v>
      </c>
      <c r="G177" s="427"/>
      <c r="H177" s="268"/>
    </row>
    <row r="178" spans="1:8" ht="30.75" hidden="1" thickBot="1">
      <c r="A178" s="482">
        <v>2</v>
      </c>
      <c r="B178" s="483" t="s">
        <v>1284</v>
      </c>
      <c r="C178" s="485"/>
      <c r="D178" s="485"/>
      <c r="E178" s="482" t="s">
        <v>954</v>
      </c>
      <c r="F178" s="484">
        <v>44602</v>
      </c>
      <c r="G178" s="427"/>
      <c r="H178" s="268"/>
    </row>
    <row r="179" spans="1:8" ht="15.75" hidden="1" thickBot="1">
      <c r="A179" s="670" t="s">
        <v>1646</v>
      </c>
      <c r="B179" s="671"/>
      <c r="C179" s="671"/>
      <c r="D179" s="671"/>
      <c r="E179" s="671"/>
      <c r="F179" s="672"/>
      <c r="G179" s="427"/>
      <c r="H179" s="268"/>
    </row>
    <row r="180" spans="1:15" ht="15" hidden="1">
      <c r="A180" s="500" t="s">
        <v>328</v>
      </c>
      <c r="B180" s="631" t="s">
        <v>1593</v>
      </c>
      <c r="C180" s="632"/>
      <c r="D180" s="633"/>
      <c r="E180" s="501" t="s">
        <v>332</v>
      </c>
      <c r="F180" s="502" t="s">
        <v>333</v>
      </c>
      <c r="G180" s="427"/>
      <c r="H180" s="268"/>
      <c r="O180" s="503"/>
    </row>
    <row r="181" spans="1:15" ht="15.75" hidden="1" thickBot="1">
      <c r="A181" s="504">
        <v>1</v>
      </c>
      <c r="B181" s="634" t="s">
        <v>1594</v>
      </c>
      <c r="C181" s="635"/>
      <c r="D181" s="636"/>
      <c r="E181" s="505" t="s">
        <v>1334</v>
      </c>
      <c r="F181" s="506">
        <v>44677</v>
      </c>
      <c r="G181" s="427"/>
      <c r="H181" s="268"/>
      <c r="O181" s="503"/>
    </row>
    <row r="182" spans="1:15" ht="15" hidden="1">
      <c r="A182" s="54" t="s">
        <v>656</v>
      </c>
      <c r="B182" s="55" t="s">
        <v>1195</v>
      </c>
      <c r="C182" s="13" t="s">
        <v>862</v>
      </c>
      <c r="D182" s="13">
        <v>224</v>
      </c>
      <c r="E182" s="13"/>
      <c r="F182" s="17"/>
      <c r="G182" s="432">
        <f>(600-20)/3</f>
        <v>193.33333333333334</v>
      </c>
      <c r="H182" s="440">
        <v>10</v>
      </c>
      <c r="I182" s="28">
        <v>2</v>
      </c>
      <c r="J182" s="441">
        <f>H182/G182*I182</f>
        <v>0.10344827586206896</v>
      </c>
      <c r="K182" s="28">
        <v>3</v>
      </c>
      <c r="L182" s="267">
        <f>J182*K182</f>
        <v>0.31034482758620691</v>
      </c>
      <c r="M182" s="433">
        <f>L182*N182</f>
        <v>62.068965517241381</v>
      </c>
      <c r="N182" s="434">
        <v>200</v>
      </c>
      <c r="O182" s="435">
        <f>J182/I182*K182</f>
        <v>0.15517241379310345</v>
      </c>
    </row>
    <row r="183" spans="1:15" ht="15" hidden="1">
      <c r="A183" s="645" t="s">
        <v>198</v>
      </c>
      <c r="B183" s="639" t="s">
        <v>889</v>
      </c>
      <c r="C183" s="13" t="s">
        <v>28</v>
      </c>
      <c r="D183" s="13">
        <v>112</v>
      </c>
      <c r="E183" s="13"/>
      <c r="F183" s="4" t="s">
        <v>868</v>
      </c>
      <c r="G183" s="28">
        <v>15</v>
      </c>
      <c r="H183" s="437">
        <v>10</v>
      </c>
      <c r="I183" s="28">
        <v>2</v>
      </c>
      <c r="J183" s="438">
        <f>H183/G183*I183</f>
        <v>1.3333333333333333</v>
      </c>
      <c r="K183" s="28">
        <v>1</v>
      </c>
      <c r="L183" s="267">
        <f>J183*K183</f>
        <v>1.3333333333333333</v>
      </c>
      <c r="M183" s="433">
        <f>L183*N183</f>
        <v>266.66666666666663</v>
      </c>
      <c r="N183" s="434">
        <v>200</v>
      </c>
      <c r="O183" s="435">
        <f>J183/I183*K183</f>
        <v>0.66666666666666663</v>
      </c>
    </row>
    <row r="184" spans="1:15" ht="15.75" hidden="1" thickBot="1">
      <c r="A184" s="647"/>
      <c r="B184" s="641"/>
      <c r="C184" s="13" t="s">
        <v>49</v>
      </c>
      <c r="D184" s="13">
        <v>112</v>
      </c>
      <c r="E184" s="13" t="s">
        <v>869</v>
      </c>
      <c r="F184" s="13" t="s">
        <v>10</v>
      </c>
      <c r="G184" s="28">
        <v>40</v>
      </c>
      <c r="H184" s="437">
        <v>10</v>
      </c>
      <c r="I184" s="28">
        <v>1</v>
      </c>
      <c r="J184" s="438">
        <f>H184/G184*I184</f>
        <v>0.25</v>
      </c>
      <c r="K184" s="436">
        <f>(1440+920+980+200*2)*2/1000</f>
        <v>7.48</v>
      </c>
      <c r="L184" s="267">
        <f>J184*K184</f>
        <v>1.87</v>
      </c>
      <c r="M184" s="433">
        <f>L184*N184</f>
        <v>374</v>
      </c>
      <c r="N184" s="434">
        <v>200</v>
      </c>
      <c r="O184" s="435">
        <f>J184/I184*K184</f>
        <v>1.87</v>
      </c>
    </row>
    <row r="185" spans="1:15" ht="15" hidden="1">
      <c r="A185" s="500" t="s">
        <v>328</v>
      </c>
      <c r="B185" s="631" t="s">
        <v>1593</v>
      </c>
      <c r="C185" s="632"/>
      <c r="D185" s="633"/>
      <c r="E185" s="501" t="s">
        <v>332</v>
      </c>
      <c r="F185" s="502" t="s">
        <v>333</v>
      </c>
      <c r="G185" s="427"/>
      <c r="H185" s="268"/>
      <c r="O185" s="503"/>
    </row>
    <row r="186" spans="1:15" ht="15.75" hidden="1" thickBot="1">
      <c r="A186" s="504">
        <v>2</v>
      </c>
      <c r="B186" s="634" t="s">
        <v>1605</v>
      </c>
      <c r="C186" s="635"/>
      <c r="D186" s="636"/>
      <c r="E186" s="505" t="s">
        <v>1334</v>
      </c>
      <c r="F186" s="506">
        <v>44677</v>
      </c>
      <c r="G186" s="427"/>
      <c r="H186" s="268"/>
      <c r="O186" s="503"/>
    </row>
    <row r="187" spans="1:15" ht="15" hidden="1">
      <c r="A187" s="57" t="s">
        <v>1285</v>
      </c>
      <c r="B187" s="56" t="s">
        <v>1619</v>
      </c>
      <c r="C187" s="13" t="s">
        <v>1627</v>
      </c>
      <c r="D187" s="13">
        <v>105</v>
      </c>
      <c r="E187" s="13"/>
      <c r="F187" s="13" t="s">
        <v>353</v>
      </c>
      <c r="G187" s="442">
        <v>24.90</v>
      </c>
      <c r="H187" s="440">
        <v>10</v>
      </c>
      <c r="I187" s="28">
        <v>1</v>
      </c>
      <c r="J187" s="441">
        <f t="shared" si="47" ref="J187:J194">H187/G187*I187</f>
        <v>0.40160642570281124</v>
      </c>
      <c r="K187" s="432">
        <v>1</v>
      </c>
      <c r="L187" s="435">
        <f t="shared" si="48" ref="L187:L194">J187*K187</f>
        <v>0.40160642570281124</v>
      </c>
      <c r="M187" s="266">
        <f t="shared" si="49" ref="M187:M194">L187*N187</f>
        <v>80.321285140562253</v>
      </c>
      <c r="N187" s="433">
        <v>200</v>
      </c>
      <c r="O187" s="435">
        <f t="shared" si="50" ref="O187:O194">J187/I187*K187</f>
        <v>0.40160642570281124</v>
      </c>
    </row>
    <row r="188" spans="1:15" ht="15" hidden="1">
      <c r="A188" s="57" t="s">
        <v>648</v>
      </c>
      <c r="B188" s="508" t="s">
        <v>1620</v>
      </c>
      <c r="C188" s="13" t="s">
        <v>1628</v>
      </c>
      <c r="D188" s="13">
        <v>108</v>
      </c>
      <c r="E188" s="13"/>
      <c r="F188" s="13" t="s">
        <v>10</v>
      </c>
      <c r="G188" s="28">
        <v>40</v>
      </c>
      <c r="H188" s="440">
        <v>10</v>
      </c>
      <c r="I188" s="28">
        <v>1</v>
      </c>
      <c r="J188" s="453">
        <f t="shared" si="47"/>
        <v>0.25</v>
      </c>
      <c r="K188" s="436">
        <f>191*2/1000</f>
        <v>0.38200000000000001</v>
      </c>
      <c r="L188" s="267">
        <f t="shared" si="48"/>
        <v>0.095500000000000002</v>
      </c>
      <c r="M188" s="433">
        <f t="shared" si="49"/>
        <v>19.10</v>
      </c>
      <c r="N188" s="434">
        <v>200</v>
      </c>
      <c r="O188" s="435">
        <f t="shared" si="50"/>
        <v>0.095500000000000002</v>
      </c>
    </row>
    <row r="189" spans="1:15" ht="15" hidden="1">
      <c r="A189" s="57" t="s">
        <v>1288</v>
      </c>
      <c r="B189" s="56" t="s">
        <v>1621</v>
      </c>
      <c r="C189" s="13" t="s">
        <v>1627</v>
      </c>
      <c r="D189" s="13">
        <v>105</v>
      </c>
      <c r="E189" s="13"/>
      <c r="F189" s="13" t="s">
        <v>353</v>
      </c>
      <c r="G189" s="442">
        <f>24.9/0.65</f>
        <v>38.307692307692307</v>
      </c>
      <c r="H189" s="440">
        <v>10</v>
      </c>
      <c r="I189" s="28">
        <v>1</v>
      </c>
      <c r="J189" s="441">
        <f t="shared" si="47"/>
        <v>0.26104417670682734</v>
      </c>
      <c r="K189" s="432">
        <v>1</v>
      </c>
      <c r="L189" s="435">
        <f t="shared" si="48"/>
        <v>0.26104417670682734</v>
      </c>
      <c r="M189" s="266">
        <f t="shared" si="49"/>
        <v>52.208835341365464</v>
      </c>
      <c r="N189" s="433">
        <v>200</v>
      </c>
      <c r="O189" s="435">
        <f t="shared" si="50"/>
        <v>0.26104417670682734</v>
      </c>
    </row>
    <row r="190" spans="1:15" ht="15" hidden="1">
      <c r="A190" s="57" t="s">
        <v>176</v>
      </c>
      <c r="B190" s="56" t="s">
        <v>1622</v>
      </c>
      <c r="C190" s="13" t="s">
        <v>154</v>
      </c>
      <c r="D190" s="13">
        <v>124</v>
      </c>
      <c r="E190" s="13"/>
      <c r="F190" s="13" t="s">
        <v>354</v>
      </c>
      <c r="G190" s="442">
        <v>15.50</v>
      </c>
      <c r="H190" s="440">
        <v>10</v>
      </c>
      <c r="I190" s="28">
        <v>1</v>
      </c>
      <c r="J190" s="441">
        <f t="shared" si="47"/>
        <v>0.64516129032258063</v>
      </c>
      <c r="K190" s="432">
        <v>1</v>
      </c>
      <c r="L190" s="267">
        <f t="shared" si="48"/>
        <v>0.64516129032258063</v>
      </c>
      <c r="M190" s="433">
        <f t="shared" si="49"/>
        <v>129.03225806451613</v>
      </c>
      <c r="N190" s="434">
        <v>200</v>
      </c>
      <c r="O190" s="435">
        <f t="shared" si="50"/>
        <v>0.64516129032258063</v>
      </c>
    </row>
    <row r="191" spans="1:15" ht="30" hidden="1">
      <c r="A191" s="57" t="s">
        <v>1289</v>
      </c>
      <c r="B191" s="56" t="s">
        <v>1623</v>
      </c>
      <c r="C191" s="13" t="s">
        <v>24</v>
      </c>
      <c r="D191" s="13">
        <v>117</v>
      </c>
      <c r="E191" s="13"/>
      <c r="F191" s="4" t="s">
        <v>38</v>
      </c>
      <c r="G191" s="442">
        <v>20</v>
      </c>
      <c r="H191" s="440">
        <v>10</v>
      </c>
      <c r="I191" s="28">
        <v>2</v>
      </c>
      <c r="J191" s="441">
        <f t="shared" si="47"/>
        <v>1</v>
      </c>
      <c r="K191" s="28">
        <v>1</v>
      </c>
      <c r="L191" s="267">
        <f t="shared" si="48"/>
        <v>1</v>
      </c>
      <c r="M191" s="433">
        <f t="shared" si="49"/>
        <v>200</v>
      </c>
      <c r="N191" s="434">
        <v>200</v>
      </c>
      <c r="O191" s="435">
        <f t="shared" si="50"/>
        <v>0.50</v>
      </c>
    </row>
    <row r="192" spans="1:15" ht="30" hidden="1">
      <c r="A192" s="13" t="s">
        <v>1290</v>
      </c>
      <c r="B192" s="56" t="s">
        <v>1626</v>
      </c>
      <c r="C192" s="13" t="s">
        <v>160</v>
      </c>
      <c r="D192" s="13">
        <v>117</v>
      </c>
      <c r="E192" s="13" t="s">
        <v>869</v>
      </c>
      <c r="F192" s="13" t="s">
        <v>10</v>
      </c>
      <c r="G192" s="28">
        <v>40</v>
      </c>
      <c r="H192" s="440">
        <v>10</v>
      </c>
      <c r="I192" s="28">
        <v>1</v>
      </c>
      <c r="J192" s="441">
        <f t="shared" si="47"/>
        <v>0.25</v>
      </c>
      <c r="K192" s="436">
        <f>540*3.1415*2/1000</f>
        <v>3.3928199999999999</v>
      </c>
      <c r="L192" s="267">
        <f t="shared" si="48"/>
        <v>0.84820499999999999</v>
      </c>
      <c r="M192" s="433">
        <f t="shared" si="49"/>
        <v>169.64099999999999</v>
      </c>
      <c r="N192" s="434">
        <v>200</v>
      </c>
      <c r="O192" s="435">
        <f t="shared" si="50"/>
        <v>0.84820499999999999</v>
      </c>
    </row>
    <row r="193" spans="1:15" ht="30" hidden="1">
      <c r="A193" s="57" t="s">
        <v>1291</v>
      </c>
      <c r="B193" s="56" t="s">
        <v>1624</v>
      </c>
      <c r="C193" s="13" t="s">
        <v>24</v>
      </c>
      <c r="D193" s="13">
        <v>110</v>
      </c>
      <c r="E193" s="13"/>
      <c r="F193" s="4" t="s">
        <v>38</v>
      </c>
      <c r="G193" s="442">
        <v>20</v>
      </c>
      <c r="H193" s="440">
        <v>10</v>
      </c>
      <c r="I193" s="28">
        <v>2</v>
      </c>
      <c r="J193" s="441">
        <f t="shared" si="47"/>
        <v>1</v>
      </c>
      <c r="K193" s="28">
        <v>1</v>
      </c>
      <c r="L193" s="267">
        <f t="shared" si="48"/>
        <v>1</v>
      </c>
      <c r="M193" s="433">
        <f t="shared" si="49"/>
        <v>200</v>
      </c>
      <c r="N193" s="434">
        <v>200</v>
      </c>
      <c r="O193" s="435">
        <f t="shared" si="50"/>
        <v>0.50</v>
      </c>
    </row>
    <row r="194" spans="1:15" ht="30.75" hidden="1" thickBot="1">
      <c r="A194" s="13" t="s">
        <v>177</v>
      </c>
      <c r="B194" s="56" t="s">
        <v>1625</v>
      </c>
      <c r="C194" s="13" t="s">
        <v>160</v>
      </c>
      <c r="D194" s="13">
        <v>110</v>
      </c>
      <c r="E194" s="13" t="s">
        <v>1292</v>
      </c>
      <c r="F194" s="13" t="s">
        <v>10</v>
      </c>
      <c r="G194" s="28">
        <v>40</v>
      </c>
      <c r="H194" s="440">
        <v>10</v>
      </c>
      <c r="I194" s="28">
        <v>1</v>
      </c>
      <c r="J194" s="441">
        <f t="shared" si="47"/>
        <v>0.25</v>
      </c>
      <c r="K194" s="436">
        <f>556*3.1415*2/1000</f>
        <v>3.4933480000000006</v>
      </c>
      <c r="L194" s="267">
        <f t="shared" si="48"/>
        <v>0.87333700000000014</v>
      </c>
      <c r="M194" s="433">
        <f t="shared" si="49"/>
        <v>174.66740000000001</v>
      </c>
      <c r="N194" s="434">
        <v>200</v>
      </c>
      <c r="O194" s="435">
        <f t="shared" si="50"/>
        <v>0.87333700000000014</v>
      </c>
    </row>
    <row r="195" spans="1:15" ht="15" hidden="1">
      <c r="A195" s="500" t="s">
        <v>328</v>
      </c>
      <c r="B195" s="631" t="s">
        <v>1593</v>
      </c>
      <c r="C195" s="632"/>
      <c r="D195" s="633"/>
      <c r="E195" s="501" t="s">
        <v>332</v>
      </c>
      <c r="F195" s="502" t="s">
        <v>333</v>
      </c>
      <c r="G195" s="427"/>
      <c r="H195" s="268"/>
      <c r="O195" s="503"/>
    </row>
    <row r="196" spans="1:15" ht="15.75" hidden="1" thickBot="1">
      <c r="A196" s="504">
        <v>3</v>
      </c>
      <c r="B196" s="634" t="s">
        <v>1606</v>
      </c>
      <c r="C196" s="635"/>
      <c r="D196" s="636"/>
      <c r="E196" s="505" t="s">
        <v>1334</v>
      </c>
      <c r="F196" s="506">
        <v>44677</v>
      </c>
      <c r="G196" s="427"/>
      <c r="H196" s="268"/>
      <c r="O196" s="503"/>
    </row>
    <row r="197" spans="1:15" ht="15" hidden="1">
      <c r="A197" s="645" t="s">
        <v>177</v>
      </c>
      <c r="B197" s="639" t="s">
        <v>178</v>
      </c>
      <c r="C197" s="13" t="s">
        <v>39</v>
      </c>
      <c r="D197" s="13">
        <v>110</v>
      </c>
      <c r="E197" s="13"/>
      <c r="F197" s="4" t="s">
        <v>179</v>
      </c>
      <c r="G197" s="28">
        <v>22</v>
      </c>
      <c r="H197" s="440">
        <v>10</v>
      </c>
      <c r="I197" s="28">
        <v>2</v>
      </c>
      <c r="J197" s="441">
        <f t="shared" si="51" ref="J197:J199">H197/G197*I197</f>
        <v>0.90909090909090906</v>
      </c>
      <c r="K197" s="28">
        <v>1</v>
      </c>
      <c r="L197" s="435">
        <f t="shared" si="52" ref="L197:L199">J197*K197</f>
        <v>0.90909090909090906</v>
      </c>
      <c r="M197" s="266">
        <f t="shared" si="53" ref="M197:M199">L197*N197</f>
        <v>181.81818181818181</v>
      </c>
      <c r="N197" s="433">
        <v>200</v>
      </c>
      <c r="O197" s="435">
        <f t="shared" si="54" ref="O197:O199">J197/I197*K197</f>
        <v>0.45454545454545453</v>
      </c>
    </row>
    <row r="198" spans="1:15" ht="15" hidden="1">
      <c r="A198" s="647"/>
      <c r="B198" s="641"/>
      <c r="C198" s="13" t="s">
        <v>180</v>
      </c>
      <c r="D198" s="13">
        <v>110</v>
      </c>
      <c r="E198" s="13" t="s">
        <v>181</v>
      </c>
      <c r="F198" s="13" t="s">
        <v>10</v>
      </c>
      <c r="G198" s="28">
        <v>40</v>
      </c>
      <c r="H198" s="440">
        <v>10</v>
      </c>
      <c r="I198" s="28">
        <v>1</v>
      </c>
      <c r="J198" s="441">
        <f t="shared" si="51"/>
        <v>0.25</v>
      </c>
      <c r="K198" s="436">
        <f>202*2*2/1000</f>
        <v>0.80800000000000005</v>
      </c>
      <c r="L198" s="435">
        <f t="shared" si="52"/>
        <v>0.20200000000000001</v>
      </c>
      <c r="M198" s="266">
        <f t="shared" si="53"/>
        <v>40.400000000000006</v>
      </c>
      <c r="N198" s="433">
        <v>200</v>
      </c>
      <c r="O198" s="435">
        <f t="shared" si="54"/>
        <v>0.20200000000000001</v>
      </c>
    </row>
    <row r="199" spans="1:15" ht="30.75" hidden="1" thickBot="1">
      <c r="A199" s="13" t="s">
        <v>177</v>
      </c>
      <c r="B199" s="56" t="s">
        <v>1625</v>
      </c>
      <c r="C199" s="13" t="s">
        <v>160</v>
      </c>
      <c r="D199" s="13">
        <v>110</v>
      </c>
      <c r="E199" s="13" t="s">
        <v>869</v>
      </c>
      <c r="F199" s="13" t="s">
        <v>10</v>
      </c>
      <c r="G199" s="28">
        <v>40</v>
      </c>
      <c r="H199" s="440">
        <v>10</v>
      </c>
      <c r="I199" s="28">
        <v>1</v>
      </c>
      <c r="J199" s="441">
        <f t="shared" si="51"/>
        <v>0.25</v>
      </c>
      <c r="K199" s="436">
        <f>556*3.1415*2/1000</f>
        <v>3.4933480000000006</v>
      </c>
      <c r="L199" s="267">
        <f t="shared" si="52"/>
        <v>0.87333700000000014</v>
      </c>
      <c r="M199" s="433">
        <f t="shared" si="53"/>
        <v>174.66740000000001</v>
      </c>
      <c r="N199" s="434">
        <v>200</v>
      </c>
      <c r="O199" s="435">
        <f t="shared" si="54"/>
        <v>0.87333700000000014</v>
      </c>
    </row>
    <row r="200" spans="1:15" ht="15" hidden="1">
      <c r="A200" s="500" t="s">
        <v>328</v>
      </c>
      <c r="B200" s="631" t="s">
        <v>1593</v>
      </c>
      <c r="C200" s="632"/>
      <c r="D200" s="633"/>
      <c r="E200" s="501" t="s">
        <v>332</v>
      </c>
      <c r="F200" s="502" t="s">
        <v>333</v>
      </c>
      <c r="G200" s="427"/>
      <c r="H200" s="268"/>
      <c r="O200" s="503"/>
    </row>
    <row r="201" spans="1:15" ht="15.75" hidden="1" thickBot="1">
      <c r="A201" s="504">
        <v>4</v>
      </c>
      <c r="B201" s="634" t="s">
        <v>1605</v>
      </c>
      <c r="C201" s="635"/>
      <c r="D201" s="636"/>
      <c r="E201" s="505" t="s">
        <v>1334</v>
      </c>
      <c r="F201" s="506">
        <v>44677</v>
      </c>
      <c r="G201" s="427"/>
      <c r="H201" s="268"/>
      <c r="O201" s="503"/>
    </row>
    <row r="202" spans="1:16" ht="15" hidden="1">
      <c r="A202" s="13" t="s">
        <v>1639</v>
      </c>
      <c r="B202" s="27" t="s">
        <v>1640</v>
      </c>
      <c r="C202" s="13" t="s">
        <v>33</v>
      </c>
      <c r="D202" s="13" t="s">
        <v>1333</v>
      </c>
      <c r="E202" s="13"/>
      <c r="F202" s="13" t="s">
        <v>12</v>
      </c>
      <c r="G202" s="442">
        <v>30</v>
      </c>
      <c r="H202" s="440">
        <v>10</v>
      </c>
      <c r="I202" s="28">
        <v>2</v>
      </c>
      <c r="J202" s="441">
        <f t="shared" si="55" ref="J202">H202/G202*I202</f>
        <v>0.66666666666666663</v>
      </c>
      <c r="K202" s="28">
        <v>1</v>
      </c>
      <c r="L202" s="267">
        <f t="shared" si="56" ref="L202">J202*K202</f>
        <v>0.66666666666666663</v>
      </c>
      <c r="M202" s="433">
        <f t="shared" si="57" ref="M202">L202*N202</f>
        <v>101.33333333333333</v>
      </c>
      <c r="N202" s="434">
        <v>152</v>
      </c>
      <c r="O202" s="435">
        <f t="shared" si="58" ref="O202">J202/I202*K202</f>
        <v>0.33333333333333331</v>
      </c>
      <c r="P202" s="21"/>
    </row>
    <row r="203" ht="15.75" thickBot="1"/>
    <row r="204" spans="1:7" ht="15">
      <c r="A204" s="500" t="s">
        <v>328</v>
      </c>
      <c r="B204" s="631" t="s">
        <v>1593</v>
      </c>
      <c r="C204" s="632"/>
      <c r="D204" s="633"/>
      <c r="E204" s="501" t="s">
        <v>332</v>
      </c>
      <c r="F204" s="502" t="s">
        <v>333</v>
      </c>
      <c r="G204" s="68"/>
    </row>
    <row r="205" spans="1:7" ht="15.75" thickBot="1">
      <c r="A205" s="504">
        <v>5</v>
      </c>
      <c r="B205" s="634" t="s">
        <v>1605</v>
      </c>
      <c r="C205" s="635"/>
      <c r="D205" s="636"/>
      <c r="E205" s="505" t="s">
        <v>1682</v>
      </c>
      <c r="F205" s="506">
        <v>44987</v>
      </c>
      <c r="G205" s="68"/>
    </row>
    <row r="206" spans="1:15" ht="30">
      <c r="A206" s="529" t="s">
        <v>1662</v>
      </c>
      <c r="B206" s="522" t="s">
        <v>1661</v>
      </c>
      <c r="C206" s="523" t="s">
        <v>9</v>
      </c>
      <c r="D206" s="523">
        <v>109</v>
      </c>
      <c r="E206" s="523"/>
      <c r="F206" s="524" t="s">
        <v>10</v>
      </c>
      <c r="G206" s="525">
        <v>33</v>
      </c>
      <c r="H206" s="526">
        <v>10</v>
      </c>
      <c r="I206" s="527">
        <v>1</v>
      </c>
      <c r="J206" s="528">
        <f t="shared" si="59" ref="J206:J210">H206/G206*I206</f>
        <v>0.30303030303030304</v>
      </c>
      <c r="K206" s="525">
        <f>(350*2)/1000</f>
        <v>0.70</v>
      </c>
      <c r="L206" s="267">
        <f t="shared" si="60" ref="L206:L210">J206*K206</f>
        <v>0.21212121212121213</v>
      </c>
      <c r="M206" s="266">
        <f t="shared" si="61" ref="M206:M210">L206*N206</f>
        <v>32.242424242424242</v>
      </c>
      <c r="N206" s="433">
        <v>152</v>
      </c>
      <c r="O206" s="267">
        <f t="shared" si="62" ref="O206:O210">J206/I206*K206</f>
        <v>0.21212121212121213</v>
      </c>
    </row>
    <row r="207" spans="1:15" ht="30">
      <c r="A207" s="523" t="s">
        <v>1668</v>
      </c>
      <c r="B207" s="522" t="s">
        <v>1670</v>
      </c>
      <c r="C207" s="523" t="s">
        <v>33</v>
      </c>
      <c r="D207" s="523">
        <v>116</v>
      </c>
      <c r="E207" s="523"/>
      <c r="F207" s="523" t="s">
        <v>1666</v>
      </c>
      <c r="G207" s="527">
        <v>12.94</v>
      </c>
      <c r="H207" s="530">
        <v>10</v>
      </c>
      <c r="I207" s="527">
        <v>2</v>
      </c>
      <c r="J207" s="531">
        <f t="shared" si="59"/>
        <v>1.545595054095827</v>
      </c>
      <c r="K207" s="527">
        <v>1</v>
      </c>
      <c r="L207" s="267">
        <f t="shared" si="60"/>
        <v>1.545595054095827</v>
      </c>
      <c r="M207" s="433">
        <f t="shared" si="61"/>
        <v>309.1190108191654</v>
      </c>
      <c r="N207" s="434">
        <v>200</v>
      </c>
      <c r="O207" s="435">
        <f t="shared" si="62"/>
        <v>0.77279752704791349</v>
      </c>
    </row>
    <row r="208" spans="1:15" ht="30">
      <c r="A208" s="523" t="s">
        <v>1669</v>
      </c>
      <c r="B208" s="522" t="s">
        <v>1671</v>
      </c>
      <c r="C208" s="523" t="s">
        <v>33</v>
      </c>
      <c r="D208" s="523">
        <v>116</v>
      </c>
      <c r="E208" s="523"/>
      <c r="F208" s="523" t="s">
        <v>10</v>
      </c>
      <c r="G208" s="527">
        <v>40</v>
      </c>
      <c r="H208" s="530">
        <v>10</v>
      </c>
      <c r="I208" s="527">
        <v>1</v>
      </c>
      <c r="J208" s="531">
        <f t="shared" si="59"/>
        <v>0.25</v>
      </c>
      <c r="K208" s="525">
        <f>3431/1000</f>
        <v>3.431</v>
      </c>
      <c r="L208" s="267">
        <f t="shared" si="60"/>
        <v>0.85775000000000001</v>
      </c>
      <c r="M208" s="433">
        <f t="shared" si="61"/>
        <v>171.55</v>
      </c>
      <c r="N208" s="434">
        <v>200</v>
      </c>
      <c r="O208" s="435">
        <f t="shared" si="62"/>
        <v>0.85775000000000001</v>
      </c>
    </row>
    <row r="209" spans="1:15" ht="30">
      <c r="A209" s="523" t="s">
        <v>1663</v>
      </c>
      <c r="B209" s="522" t="s">
        <v>1665</v>
      </c>
      <c r="C209" s="523" t="s">
        <v>33</v>
      </c>
      <c r="D209" s="523">
        <v>116</v>
      </c>
      <c r="E209" s="523"/>
      <c r="F209" s="523" t="s">
        <v>1666</v>
      </c>
      <c r="G209" s="527">
        <v>12.47</v>
      </c>
      <c r="H209" s="530">
        <v>10</v>
      </c>
      <c r="I209" s="527">
        <v>2</v>
      </c>
      <c r="J209" s="531">
        <f t="shared" si="59"/>
        <v>1.6038492381716118</v>
      </c>
      <c r="K209" s="527">
        <v>1</v>
      </c>
      <c r="L209" s="267">
        <f t="shared" si="60"/>
        <v>1.6038492381716118</v>
      </c>
      <c r="M209" s="433">
        <f t="shared" si="61"/>
        <v>320.76984763432239</v>
      </c>
      <c r="N209" s="434">
        <v>200</v>
      </c>
      <c r="O209" s="435">
        <f t="shared" si="62"/>
        <v>0.80192461908580592</v>
      </c>
    </row>
    <row r="210" spans="1:15" ht="30">
      <c r="A210" s="523" t="s">
        <v>1664</v>
      </c>
      <c r="B210" s="522" t="s">
        <v>1667</v>
      </c>
      <c r="C210" s="523" t="s">
        <v>33</v>
      </c>
      <c r="D210" s="523">
        <v>116</v>
      </c>
      <c r="E210" s="523"/>
      <c r="F210" s="523" t="s">
        <v>10</v>
      </c>
      <c r="G210" s="527">
        <v>40</v>
      </c>
      <c r="H210" s="530">
        <v>10</v>
      </c>
      <c r="I210" s="527">
        <v>1</v>
      </c>
      <c r="J210" s="531">
        <f t="shared" si="59"/>
        <v>0.25</v>
      </c>
      <c r="K210" s="525">
        <f>3446/1000</f>
        <v>3.4460000000000002</v>
      </c>
      <c r="L210" s="267">
        <f t="shared" si="60"/>
        <v>0.86150000000000004</v>
      </c>
      <c r="M210" s="433">
        <f t="shared" si="61"/>
        <v>172.30</v>
      </c>
      <c r="N210" s="434">
        <v>200</v>
      </c>
      <c r="O210" s="435">
        <f t="shared" si="62"/>
        <v>0.86150000000000004</v>
      </c>
    </row>
    <row r="211" ht="15.75" thickBot="1"/>
    <row r="212" spans="1:6" ht="15">
      <c r="A212" s="500" t="s">
        <v>328</v>
      </c>
      <c r="B212" s="631" t="s">
        <v>1593</v>
      </c>
      <c r="C212" s="632"/>
      <c r="D212" s="633"/>
      <c r="E212" s="501" t="s">
        <v>332</v>
      </c>
      <c r="F212" s="502" t="s">
        <v>333</v>
      </c>
    </row>
    <row r="213" spans="1:6" ht="15.75" thickBot="1">
      <c r="A213" s="504">
        <v>6</v>
      </c>
      <c r="B213" s="634" t="s">
        <v>1605</v>
      </c>
      <c r="C213" s="635"/>
      <c r="D213" s="636"/>
      <c r="E213" s="505" t="s">
        <v>1682</v>
      </c>
      <c r="F213" s="506">
        <v>45016</v>
      </c>
    </row>
    <row r="214" spans="1:15" ht="15">
      <c r="A214" s="523" t="s">
        <v>284</v>
      </c>
      <c r="B214" s="522" t="s">
        <v>126</v>
      </c>
      <c r="C214" s="523" t="s">
        <v>83</v>
      </c>
      <c r="D214" s="523">
        <v>116</v>
      </c>
      <c r="E214" s="523"/>
      <c r="F214" s="523" t="s">
        <v>127</v>
      </c>
      <c r="G214" s="527">
        <v>5</v>
      </c>
      <c r="H214" s="526">
        <v>10</v>
      </c>
      <c r="I214" s="527">
        <v>2</v>
      </c>
      <c r="J214" s="528">
        <f t="shared" si="63" ref="J214">H214/G214*I214</f>
        <v>4</v>
      </c>
      <c r="K214" s="527">
        <v>1</v>
      </c>
      <c r="L214" s="267">
        <f t="shared" si="64" ref="L214">J214*K214</f>
        <v>4</v>
      </c>
      <c r="M214" s="433">
        <f t="shared" si="65" ref="M214">L214*N214</f>
        <v>800</v>
      </c>
      <c r="N214" s="478">
        <v>200</v>
      </c>
      <c r="O214" s="435">
        <f t="shared" si="66" ref="O214">J214/I214*K214</f>
        <v>2</v>
      </c>
    </row>
    <row r="215" ht="15.75" thickBot="1"/>
    <row r="216" spans="1:6" ht="15">
      <c r="A216" s="500" t="s">
        <v>328</v>
      </c>
      <c r="B216" s="631" t="s">
        <v>1593</v>
      </c>
      <c r="C216" s="632"/>
      <c r="D216" s="633"/>
      <c r="E216" s="501" t="s">
        <v>332</v>
      </c>
      <c r="F216" s="502" t="s">
        <v>333</v>
      </c>
    </row>
    <row r="217" spans="1:6" ht="15.75" thickBot="1">
      <c r="A217" s="504">
        <v>7</v>
      </c>
      <c r="B217" s="634" t="s">
        <v>1683</v>
      </c>
      <c r="C217" s="635"/>
      <c r="D217" s="636"/>
      <c r="E217" s="505" t="s">
        <v>1682</v>
      </c>
      <c r="F217" s="506">
        <v>45055</v>
      </c>
    </row>
    <row r="218" spans="1:15" ht="15">
      <c r="A218" s="659" t="s">
        <v>141</v>
      </c>
      <c r="B218" s="660" t="s">
        <v>311</v>
      </c>
      <c r="C218" s="13" t="s">
        <v>1052</v>
      </c>
      <c r="D218" s="13">
        <v>106</v>
      </c>
      <c r="E218" s="13"/>
      <c r="F218" s="13" t="s">
        <v>1053</v>
      </c>
      <c r="G218" s="442">
        <v>20</v>
      </c>
      <c r="H218" s="437">
        <v>10</v>
      </c>
      <c r="I218" s="28">
        <v>2</v>
      </c>
      <c r="J218" s="468">
        <f t="shared" si="67" ref="J218:J225">H218/G218*I218</f>
        <v>1</v>
      </c>
      <c r="K218" s="442">
        <v>1</v>
      </c>
      <c r="L218" s="267">
        <f t="shared" si="68" ref="L218:L250">J218*K218</f>
        <v>1</v>
      </c>
      <c r="M218" s="474">
        <f t="shared" si="69" ref="M218:M225">L218*N218</f>
        <v>200</v>
      </c>
      <c r="N218" s="475">
        <v>200</v>
      </c>
      <c r="O218" s="267">
        <f t="shared" si="70" ref="O218:O225">J218/I218*K218</f>
        <v>0.50</v>
      </c>
    </row>
    <row r="219" spans="1:15" ht="15">
      <c r="A219" s="646"/>
      <c r="B219" s="661"/>
      <c r="C219" s="13" t="s">
        <v>1179</v>
      </c>
      <c r="D219" s="13">
        <v>106</v>
      </c>
      <c r="E219" s="13"/>
      <c r="F219" s="13" t="s">
        <v>10</v>
      </c>
      <c r="G219" s="442">
        <v>40</v>
      </c>
      <c r="H219" s="437">
        <v>10</v>
      </c>
      <c r="I219" s="28">
        <v>1</v>
      </c>
      <c r="J219" s="468">
        <f t="shared" si="67"/>
        <v>0.25</v>
      </c>
      <c r="K219" s="442">
        <f>(1800)/1000</f>
        <v>1.80</v>
      </c>
      <c r="L219" s="267">
        <f t="shared" si="68"/>
        <v>0.45</v>
      </c>
      <c r="M219" s="266">
        <f t="shared" si="69"/>
        <v>90</v>
      </c>
      <c r="N219" s="433">
        <v>200</v>
      </c>
      <c r="O219" s="267">
        <f t="shared" si="70"/>
        <v>0.45</v>
      </c>
    </row>
    <row r="220" spans="1:15" ht="15">
      <c r="A220" s="647"/>
      <c r="B220" s="662"/>
      <c r="C220" s="13" t="s">
        <v>1180</v>
      </c>
      <c r="D220" s="13">
        <v>106</v>
      </c>
      <c r="E220" s="13" t="s">
        <v>44</v>
      </c>
      <c r="F220" s="13" t="s">
        <v>10</v>
      </c>
      <c r="G220" s="442">
        <v>27</v>
      </c>
      <c r="H220" s="437">
        <v>10</v>
      </c>
      <c r="I220" s="28">
        <v>1</v>
      </c>
      <c r="J220" s="468">
        <f t="shared" si="67"/>
        <v>0.37037037037037035</v>
      </c>
      <c r="K220" s="442">
        <f>(1800)/1000+0.2</f>
        <v>2</v>
      </c>
      <c r="L220" s="267">
        <f t="shared" si="68"/>
        <v>0.7407407407407407</v>
      </c>
      <c r="M220" s="266">
        <f t="shared" si="69"/>
        <v>148.14814814814815</v>
      </c>
      <c r="N220" s="433">
        <v>200</v>
      </c>
      <c r="O220" s="267">
        <f t="shared" si="70"/>
        <v>0.7407407407407407</v>
      </c>
    </row>
    <row r="221" spans="1:15" ht="15">
      <c r="A221" s="650" t="s">
        <v>148</v>
      </c>
      <c r="B221" s="638" t="s">
        <v>412</v>
      </c>
      <c r="C221" s="13" t="s">
        <v>1184</v>
      </c>
      <c r="D221" s="13">
        <v>107</v>
      </c>
      <c r="E221" s="637" t="s">
        <v>43</v>
      </c>
      <c r="F221" s="17" t="s">
        <v>10</v>
      </c>
      <c r="G221" s="16">
        <v>40</v>
      </c>
      <c r="H221" s="252">
        <v>10</v>
      </c>
      <c r="I221" s="16">
        <v>1</v>
      </c>
      <c r="J221" s="253">
        <f t="shared" si="67"/>
        <v>0.25</v>
      </c>
      <c r="K221" s="30">
        <f>1800/1000+0.1</f>
        <v>1.90</v>
      </c>
      <c r="L221" s="26">
        <f t="shared" si="68"/>
        <v>0.475</v>
      </c>
      <c r="M221" s="37">
        <f t="shared" si="69"/>
        <v>95</v>
      </c>
      <c r="N221" s="85">
        <v>200</v>
      </c>
      <c r="O221" s="8">
        <f t="shared" si="70"/>
        <v>0.475</v>
      </c>
    </row>
    <row r="222" spans="1:15" ht="15">
      <c r="A222" s="650"/>
      <c r="B222" s="638"/>
      <c r="C222" s="13" t="s">
        <v>1185</v>
      </c>
      <c r="D222" s="13">
        <v>107</v>
      </c>
      <c r="E222" s="637"/>
      <c r="F222" s="17" t="s">
        <v>10</v>
      </c>
      <c r="G222" s="16">
        <v>25</v>
      </c>
      <c r="H222" s="252">
        <v>10</v>
      </c>
      <c r="I222" s="16">
        <v>1</v>
      </c>
      <c r="J222" s="253">
        <f t="shared" si="67"/>
        <v>0.40</v>
      </c>
      <c r="K222" s="30">
        <f>1800/1000</f>
        <v>1.80</v>
      </c>
      <c r="L222" s="26">
        <f t="shared" si="68"/>
        <v>0.72000000000000008</v>
      </c>
      <c r="M222" s="37">
        <f t="shared" si="69"/>
        <v>126.72000000000001</v>
      </c>
      <c r="N222" s="85">
        <v>176</v>
      </c>
      <c r="O222" s="8">
        <f t="shared" si="70"/>
        <v>0.72000000000000008</v>
      </c>
    </row>
    <row r="223" spans="1:15" ht="15">
      <c r="A223" s="650"/>
      <c r="B223" s="638"/>
      <c r="C223" s="13" t="s">
        <v>1186</v>
      </c>
      <c r="D223" s="13">
        <v>107</v>
      </c>
      <c r="E223" s="637"/>
      <c r="F223" s="17" t="s">
        <v>10</v>
      </c>
      <c r="G223" s="16">
        <v>28.50</v>
      </c>
      <c r="H223" s="252">
        <v>10</v>
      </c>
      <c r="I223" s="16">
        <v>1</v>
      </c>
      <c r="J223" s="253">
        <f t="shared" si="67"/>
        <v>0.35087719298245612</v>
      </c>
      <c r="K223" s="30">
        <f>1800/1000+0.1</f>
        <v>1.90</v>
      </c>
      <c r="L223" s="26">
        <f t="shared" si="68"/>
        <v>0.66666666666666663</v>
      </c>
      <c r="M223" s="37">
        <f t="shared" si="69"/>
        <v>133.33333333333331</v>
      </c>
      <c r="N223" s="85">
        <v>200</v>
      </c>
      <c r="O223" s="8">
        <f t="shared" si="70"/>
        <v>0.66666666666666663</v>
      </c>
    </row>
    <row r="224" spans="1:15" ht="15">
      <c r="A224" s="650" t="s">
        <v>430</v>
      </c>
      <c r="B224" s="638" t="s">
        <v>431</v>
      </c>
      <c r="C224" s="13" t="s">
        <v>511</v>
      </c>
      <c r="D224" s="13">
        <v>107</v>
      </c>
      <c r="E224" s="637" t="s">
        <v>43</v>
      </c>
      <c r="F224" s="13" t="s">
        <v>10</v>
      </c>
      <c r="G224" s="28">
        <v>25</v>
      </c>
      <c r="H224" s="440">
        <v>10</v>
      </c>
      <c r="I224" s="28">
        <v>1</v>
      </c>
      <c r="J224" s="453">
        <f t="shared" si="67"/>
        <v>0.40</v>
      </c>
      <c r="K224" s="436">
        <f>630*3.1415/1000</f>
        <v>1.9791450000000002</v>
      </c>
      <c r="L224" s="267">
        <f t="shared" si="68"/>
        <v>0.79165800000000008</v>
      </c>
      <c r="M224" s="433">
        <f t="shared" si="69"/>
        <v>139.33180800000002</v>
      </c>
      <c r="N224" s="434">
        <v>176</v>
      </c>
      <c r="O224" s="435">
        <f t="shared" si="70"/>
        <v>0.79165800000000008</v>
      </c>
    </row>
    <row r="225" spans="1:15" ht="15">
      <c r="A225" s="650"/>
      <c r="B225" s="638"/>
      <c r="C225" s="13" t="s">
        <v>313</v>
      </c>
      <c r="D225" s="13">
        <v>107</v>
      </c>
      <c r="E225" s="637"/>
      <c r="F225" s="13" t="s">
        <v>10</v>
      </c>
      <c r="G225" s="28">
        <v>28.50</v>
      </c>
      <c r="H225" s="440">
        <v>10</v>
      </c>
      <c r="I225" s="28">
        <v>1</v>
      </c>
      <c r="J225" s="453">
        <f t="shared" si="67"/>
        <v>0.35087719298245612</v>
      </c>
      <c r="K225" s="436">
        <f>630*3.1415/1000</f>
        <v>1.9791450000000002</v>
      </c>
      <c r="L225" s="267">
        <f t="shared" si="68"/>
        <v>0.69443684210526313</v>
      </c>
      <c r="M225" s="433">
        <f t="shared" si="69"/>
        <v>138.88736842105263</v>
      </c>
      <c r="N225" s="434">
        <v>200</v>
      </c>
      <c r="O225" s="435">
        <f t="shared" si="70"/>
        <v>0.69443684210526313</v>
      </c>
    </row>
    <row r="226" spans="1:15" ht="15.75" thickBot="1">
      <c r="A226" s="68"/>
      <c r="B226" s="552"/>
      <c r="C226" s="68"/>
      <c r="D226" s="68"/>
      <c r="E226" s="68"/>
      <c r="G226" s="553"/>
      <c r="J226" s="554"/>
      <c r="K226" s="553"/>
      <c r="L226" s="555"/>
      <c r="M226" s="556"/>
      <c r="N226" s="557"/>
      <c r="O226" s="555"/>
    </row>
    <row r="227" spans="1:15" ht="15">
      <c r="A227" s="500" t="s">
        <v>328</v>
      </c>
      <c r="B227" s="631" t="s">
        <v>1593</v>
      </c>
      <c r="C227" s="632"/>
      <c r="D227" s="633"/>
      <c r="E227" s="501" t="s">
        <v>332</v>
      </c>
      <c r="F227" s="502" t="s">
        <v>333</v>
      </c>
      <c r="G227" s="553"/>
      <c r="J227" s="554"/>
      <c r="K227" s="553"/>
      <c r="L227" s="555"/>
      <c r="M227" s="556"/>
      <c r="N227" s="557"/>
      <c r="O227" s="555"/>
    </row>
    <row r="228" spans="1:15" ht="15.75" thickBot="1">
      <c r="A228" s="504">
        <v>8</v>
      </c>
      <c r="B228" s="634" t="s">
        <v>1606</v>
      </c>
      <c r="C228" s="635"/>
      <c r="D228" s="636"/>
      <c r="E228" s="505" t="s">
        <v>1682</v>
      </c>
      <c r="F228" s="506">
        <v>45055</v>
      </c>
      <c r="G228" s="553"/>
      <c r="J228" s="554"/>
      <c r="K228" s="553"/>
      <c r="L228" s="555"/>
      <c r="M228" s="556"/>
      <c r="N228" s="557"/>
      <c r="O228" s="555"/>
    </row>
    <row r="229" spans="1:15" ht="15">
      <c r="A229" s="57" t="s">
        <v>143</v>
      </c>
      <c r="B229" s="56" t="s">
        <v>144</v>
      </c>
      <c r="C229" s="13" t="s">
        <v>1181</v>
      </c>
      <c r="D229" s="13">
        <v>105</v>
      </c>
      <c r="E229" s="13"/>
      <c r="F229" s="17" t="s">
        <v>353</v>
      </c>
      <c r="G229" s="469">
        <v>18.20</v>
      </c>
      <c r="H229" s="252">
        <v>10</v>
      </c>
      <c r="I229" s="16">
        <v>1</v>
      </c>
      <c r="J229" s="253">
        <f>H229/G229*I229</f>
        <v>0.5494505494505495</v>
      </c>
      <c r="K229" s="52">
        <v>1</v>
      </c>
      <c r="L229" s="26">
        <f t="shared" si="68"/>
        <v>0.5494505494505495</v>
      </c>
      <c r="M229" s="43">
        <f>L229*N229</f>
        <v>109.8901098901099</v>
      </c>
      <c r="N229" s="85">
        <v>200</v>
      </c>
      <c r="O229" s="8">
        <f>J229/I229*K229</f>
        <v>0.5494505494505495</v>
      </c>
    </row>
    <row r="230" spans="1:15" ht="15">
      <c r="A230" s="642" t="s">
        <v>143</v>
      </c>
      <c r="B230" s="639" t="s">
        <v>144</v>
      </c>
      <c r="C230" s="523" t="s">
        <v>1684</v>
      </c>
      <c r="D230" s="523">
        <v>105</v>
      </c>
      <c r="E230" s="523"/>
      <c r="F230" s="558" t="s">
        <v>353</v>
      </c>
      <c r="G230" s="559">
        <v>18.20</v>
      </c>
      <c r="H230" s="560">
        <v>10</v>
      </c>
      <c r="I230" s="561">
        <v>1</v>
      </c>
      <c r="J230" s="562">
        <f>H230/G230*I230</f>
        <v>0.5494505494505495</v>
      </c>
      <c r="K230" s="563">
        <v>1</v>
      </c>
      <c r="L230" s="26">
        <f t="shared" si="68"/>
        <v>0.5494505494505495</v>
      </c>
      <c r="M230" s="37">
        <f>L230*N230</f>
        <v>109.8901098901099</v>
      </c>
      <c r="N230" s="85">
        <v>200</v>
      </c>
      <c r="O230" s="8">
        <f>J230/I230*K230</f>
        <v>0.5494505494505495</v>
      </c>
    </row>
    <row r="231" spans="1:15" ht="15">
      <c r="A231" s="644"/>
      <c r="B231" s="641"/>
      <c r="C231" s="523" t="s">
        <v>1689</v>
      </c>
      <c r="D231" s="523">
        <v>105</v>
      </c>
      <c r="E231" s="523"/>
      <c r="F231" s="558" t="s">
        <v>353</v>
      </c>
      <c r="G231" s="559">
        <v>18.20</v>
      </c>
      <c r="H231" s="560">
        <v>10</v>
      </c>
      <c r="I231" s="561">
        <v>1</v>
      </c>
      <c r="J231" s="562">
        <f>H231/G231*I231</f>
        <v>0.5494505494505495</v>
      </c>
      <c r="K231" s="563">
        <v>1</v>
      </c>
      <c r="L231" s="26">
        <f t="shared" si="68"/>
        <v>0.5494505494505495</v>
      </c>
      <c r="M231" s="37">
        <f>L231*N231</f>
        <v>109.8901098901099</v>
      </c>
      <c r="N231" s="85">
        <v>200</v>
      </c>
      <c r="O231" s="8">
        <f>J231/I231*K231</f>
        <v>0.5494505494505495</v>
      </c>
    </row>
    <row r="232" spans="1:15" ht="15">
      <c r="A232" s="642" t="s">
        <v>146</v>
      </c>
      <c r="B232" s="639" t="s">
        <v>411</v>
      </c>
      <c r="C232" s="13" t="s">
        <v>1182</v>
      </c>
      <c r="D232" s="54">
        <v>109</v>
      </c>
      <c r="E232" s="645" t="s">
        <v>911</v>
      </c>
      <c r="F232" s="17" t="s">
        <v>10</v>
      </c>
      <c r="G232" s="16">
        <v>40</v>
      </c>
      <c r="H232" s="252">
        <v>10</v>
      </c>
      <c r="I232" s="16">
        <v>1</v>
      </c>
      <c r="J232" s="253">
        <f t="shared" si="71" ref="J232:J250">H232/G232*I232</f>
        <v>0.25</v>
      </c>
      <c r="K232" s="260">
        <f>1800/1000+0.1</f>
        <v>1.90</v>
      </c>
      <c r="L232" s="26">
        <f t="shared" si="68"/>
        <v>0.475</v>
      </c>
      <c r="M232" s="43">
        <f t="shared" si="72" ref="M232:M250">L232*N232</f>
        <v>95</v>
      </c>
      <c r="N232" s="85">
        <v>200</v>
      </c>
      <c r="O232" s="8">
        <f t="shared" si="73" ref="O232:O250">J232/I232*K232</f>
        <v>0.475</v>
      </c>
    </row>
    <row r="233" spans="1:15" ht="15">
      <c r="A233" s="647"/>
      <c r="B233" s="641"/>
      <c r="C233" s="13" t="s">
        <v>1183</v>
      </c>
      <c r="D233" s="90">
        <v>109</v>
      </c>
      <c r="E233" s="647"/>
      <c r="F233" s="17" t="s">
        <v>10</v>
      </c>
      <c r="G233" s="16">
        <v>27</v>
      </c>
      <c r="H233" s="252">
        <v>10</v>
      </c>
      <c r="I233" s="16">
        <v>1</v>
      </c>
      <c r="J233" s="253">
        <f t="shared" si="71"/>
        <v>0.37037037037037035</v>
      </c>
      <c r="K233" s="260">
        <f>1800/1000+0.1</f>
        <v>1.90</v>
      </c>
      <c r="L233" s="26">
        <f t="shared" si="68"/>
        <v>0.70370370370370372</v>
      </c>
      <c r="M233" s="43">
        <f t="shared" si="72"/>
        <v>140.74074074074073</v>
      </c>
      <c r="N233" s="85">
        <v>200</v>
      </c>
      <c r="O233" s="8">
        <f t="shared" si="73"/>
        <v>0.70370370370370372</v>
      </c>
    </row>
    <row r="234" spans="1:15" ht="15" customHeight="1">
      <c r="A234" s="642" t="s">
        <v>146</v>
      </c>
      <c r="B234" s="667" t="s">
        <v>1690</v>
      </c>
      <c r="C234" s="523" t="s">
        <v>1685</v>
      </c>
      <c r="D234" s="523">
        <v>109</v>
      </c>
      <c r="E234" s="666" t="s">
        <v>911</v>
      </c>
      <c r="F234" s="558" t="s">
        <v>10</v>
      </c>
      <c r="G234" s="561">
        <v>40</v>
      </c>
      <c r="H234" s="560">
        <v>10</v>
      </c>
      <c r="I234" s="561">
        <v>1</v>
      </c>
      <c r="J234" s="562">
        <f t="shared" si="71"/>
        <v>0.25</v>
      </c>
      <c r="K234" s="564">
        <f>1480/1000</f>
        <v>1.48</v>
      </c>
      <c r="L234" s="26">
        <f t="shared" si="68"/>
        <v>0.37</v>
      </c>
      <c r="M234" s="43">
        <f t="shared" si="72"/>
        <v>74</v>
      </c>
      <c r="N234" s="85">
        <v>200</v>
      </c>
      <c r="O234" s="8">
        <f t="shared" si="73"/>
        <v>0.37</v>
      </c>
    </row>
    <row r="235" spans="1:15" ht="15">
      <c r="A235" s="643"/>
      <c r="B235" s="668"/>
      <c r="C235" s="523" t="s">
        <v>1686</v>
      </c>
      <c r="D235" s="523">
        <v>109</v>
      </c>
      <c r="E235" s="666"/>
      <c r="F235" s="558" t="s">
        <v>10</v>
      </c>
      <c r="G235" s="561">
        <v>27</v>
      </c>
      <c r="H235" s="560">
        <v>10</v>
      </c>
      <c r="I235" s="561">
        <v>1</v>
      </c>
      <c r="J235" s="562">
        <f t="shared" si="71"/>
        <v>0.37037037037037035</v>
      </c>
      <c r="K235" s="564">
        <f>1480/1000+0.1</f>
        <v>1.58</v>
      </c>
      <c r="L235" s="26">
        <f t="shared" si="68"/>
        <v>0.58518518518518514</v>
      </c>
      <c r="M235" s="43">
        <f t="shared" si="72"/>
        <v>117.03703703703702</v>
      </c>
      <c r="N235" s="85">
        <v>200</v>
      </c>
      <c r="O235" s="8">
        <f t="shared" si="73"/>
        <v>0.58518518518518514</v>
      </c>
    </row>
    <row r="236" spans="1:15" ht="15">
      <c r="A236" s="643"/>
      <c r="B236" s="668"/>
      <c r="C236" s="523" t="s">
        <v>1687</v>
      </c>
      <c r="D236" s="523">
        <v>109</v>
      </c>
      <c r="E236" s="666" t="s">
        <v>911</v>
      </c>
      <c r="F236" s="558" t="s">
        <v>10</v>
      </c>
      <c r="G236" s="561">
        <v>40</v>
      </c>
      <c r="H236" s="560">
        <v>10</v>
      </c>
      <c r="I236" s="561">
        <v>1</v>
      </c>
      <c r="J236" s="562">
        <f t="shared" si="71"/>
        <v>0.25</v>
      </c>
      <c r="K236" s="564">
        <f>320/1000</f>
        <v>0.32</v>
      </c>
      <c r="L236" s="26">
        <f t="shared" si="68"/>
        <v>0.08</v>
      </c>
      <c r="M236" s="43">
        <f t="shared" si="72"/>
        <v>16</v>
      </c>
      <c r="N236" s="85">
        <v>200</v>
      </c>
      <c r="O236" s="8">
        <f t="shared" si="73"/>
        <v>0.08</v>
      </c>
    </row>
    <row r="237" spans="1:15" ht="15">
      <c r="A237" s="644"/>
      <c r="B237" s="669"/>
      <c r="C237" s="523" t="s">
        <v>1688</v>
      </c>
      <c r="D237" s="523">
        <v>109</v>
      </c>
      <c r="E237" s="666"/>
      <c r="F237" s="558" t="s">
        <v>10</v>
      </c>
      <c r="G237" s="561">
        <v>27</v>
      </c>
      <c r="H237" s="560">
        <v>10</v>
      </c>
      <c r="I237" s="561">
        <v>1</v>
      </c>
      <c r="J237" s="562">
        <f t="shared" si="71"/>
        <v>0.37037037037037035</v>
      </c>
      <c r="K237" s="564">
        <f>320/1000+0.1</f>
        <v>0.42000000000000004</v>
      </c>
      <c r="L237" s="26">
        <f t="shared" si="68"/>
        <v>0.15555555555555556</v>
      </c>
      <c r="M237" s="43">
        <f t="shared" si="72"/>
        <v>31.111111111111111</v>
      </c>
      <c r="N237" s="85">
        <v>200</v>
      </c>
      <c r="O237" s="8">
        <f t="shared" si="73"/>
        <v>0.15555555555555556</v>
      </c>
    </row>
    <row r="238" spans="1:15" ht="30">
      <c r="A238" s="57" t="s">
        <v>421</v>
      </c>
      <c r="B238" s="91" t="s">
        <v>149</v>
      </c>
      <c r="C238" s="13" t="s">
        <v>1181</v>
      </c>
      <c r="D238" s="13">
        <v>105</v>
      </c>
      <c r="E238" s="13"/>
      <c r="F238" s="17" t="s">
        <v>353</v>
      </c>
      <c r="G238" s="469">
        <f>18.2/0.65</f>
        <v>27.999999999999996</v>
      </c>
      <c r="H238" s="252">
        <v>10</v>
      </c>
      <c r="I238" s="16">
        <v>1</v>
      </c>
      <c r="J238" s="253">
        <f t="shared" si="71"/>
        <v>0.35714285714285721</v>
      </c>
      <c r="K238" s="52">
        <v>1</v>
      </c>
      <c r="L238" s="26">
        <f t="shared" si="68"/>
        <v>0.35714285714285721</v>
      </c>
      <c r="M238" s="37">
        <f t="shared" si="72"/>
        <v>71.428571428571445</v>
      </c>
      <c r="N238" s="43">
        <v>200</v>
      </c>
      <c r="O238" s="8">
        <f t="shared" si="73"/>
        <v>0.35714285714285721</v>
      </c>
    </row>
    <row r="239" spans="1:15" ht="15" customHeight="1">
      <c r="A239" s="642" t="s">
        <v>421</v>
      </c>
      <c r="B239" s="639" t="s">
        <v>149</v>
      </c>
      <c r="C239" s="523" t="s">
        <v>1684</v>
      </c>
      <c r="D239" s="523">
        <v>105</v>
      </c>
      <c r="E239" s="523"/>
      <c r="F239" s="558" t="s">
        <v>353</v>
      </c>
      <c r="G239" s="559">
        <f>18.2/0.65</f>
        <v>27.999999999999996</v>
      </c>
      <c r="H239" s="560">
        <v>10</v>
      </c>
      <c r="I239" s="561">
        <v>1</v>
      </c>
      <c r="J239" s="562">
        <f t="shared" si="71"/>
        <v>0.35714285714285721</v>
      </c>
      <c r="K239" s="563">
        <v>1</v>
      </c>
      <c r="L239" s="26">
        <f t="shared" si="68"/>
        <v>0.35714285714285721</v>
      </c>
      <c r="M239" s="37">
        <f t="shared" si="72"/>
        <v>71.428571428571445</v>
      </c>
      <c r="N239" s="43">
        <v>200</v>
      </c>
      <c r="O239" s="8">
        <f t="shared" si="73"/>
        <v>0.35714285714285721</v>
      </c>
    </row>
    <row r="240" spans="1:15" ht="15">
      <c r="A240" s="644"/>
      <c r="B240" s="641"/>
      <c r="C240" s="523" t="s">
        <v>1689</v>
      </c>
      <c r="D240" s="523">
        <v>105</v>
      </c>
      <c r="E240" s="523"/>
      <c r="F240" s="558" t="s">
        <v>353</v>
      </c>
      <c r="G240" s="559">
        <f>18.2/0.65</f>
        <v>27.999999999999996</v>
      </c>
      <c r="H240" s="560">
        <v>10</v>
      </c>
      <c r="I240" s="561">
        <v>1</v>
      </c>
      <c r="J240" s="562">
        <f t="shared" si="71"/>
        <v>0.35714285714285721</v>
      </c>
      <c r="K240" s="563">
        <v>1</v>
      </c>
      <c r="L240" s="26">
        <f t="shared" si="68"/>
        <v>0.35714285714285721</v>
      </c>
      <c r="M240" s="37">
        <f t="shared" si="72"/>
        <v>71.428571428571445</v>
      </c>
      <c r="N240" s="43">
        <v>200</v>
      </c>
      <c r="O240" s="8">
        <f t="shared" si="73"/>
        <v>0.35714285714285721</v>
      </c>
    </row>
    <row r="241" spans="1:15" ht="30">
      <c r="A241" s="57" t="s">
        <v>158</v>
      </c>
      <c r="B241" s="56" t="s">
        <v>159</v>
      </c>
      <c r="C241" s="13" t="s">
        <v>160</v>
      </c>
      <c r="D241" s="13" t="s">
        <v>1331</v>
      </c>
      <c r="E241" s="13" t="s">
        <v>161</v>
      </c>
      <c r="F241" s="13" t="s">
        <v>10</v>
      </c>
      <c r="G241" s="439">
        <v>15.40</v>
      </c>
      <c r="H241" s="440">
        <v>10</v>
      </c>
      <c r="I241" s="28">
        <v>1</v>
      </c>
      <c r="J241" s="441">
        <f t="shared" si="71"/>
        <v>0.64935064935064934</v>
      </c>
      <c r="K241" s="436">
        <f>(61/1000)*3.1415*4</f>
        <v>0.76652600000000004</v>
      </c>
      <c r="L241" s="435">
        <f t="shared" si="68"/>
        <v>0.49774415584415588</v>
      </c>
      <c r="M241" s="266">
        <f t="shared" si="72"/>
        <v>99.548831168831171</v>
      </c>
      <c r="N241" s="433">
        <v>200</v>
      </c>
      <c r="O241" s="435">
        <f t="shared" si="73"/>
        <v>0.49774415584415588</v>
      </c>
    </row>
    <row r="242" spans="1:15" ht="30">
      <c r="A242" s="57" t="s">
        <v>158</v>
      </c>
      <c r="B242" s="522" t="s">
        <v>1692</v>
      </c>
      <c r="C242" s="13" t="s">
        <v>160</v>
      </c>
      <c r="D242" s="13" t="s">
        <v>1331</v>
      </c>
      <c r="E242" s="13" t="s">
        <v>161</v>
      </c>
      <c r="F242" s="13" t="s">
        <v>10</v>
      </c>
      <c r="G242" s="439">
        <v>15.40</v>
      </c>
      <c r="H242" s="440">
        <v>10</v>
      </c>
      <c r="I242" s="28">
        <v>1</v>
      </c>
      <c r="J242" s="441">
        <f t="shared" si="71"/>
        <v>0.64935064935064934</v>
      </c>
      <c r="K242" s="436">
        <f>(61/1000)*3.1415*4</f>
        <v>0.76652600000000004</v>
      </c>
      <c r="L242" s="435">
        <f t="shared" si="68"/>
        <v>0.49774415584415588</v>
      </c>
      <c r="M242" s="266">
        <f t="shared" si="72"/>
        <v>99.548831168831171</v>
      </c>
      <c r="N242" s="433">
        <v>200</v>
      </c>
      <c r="O242" s="435">
        <f t="shared" si="73"/>
        <v>0.49774415584415588</v>
      </c>
    </row>
    <row r="243" spans="1:15" ht="15">
      <c r="A243" s="637" t="s">
        <v>162</v>
      </c>
      <c r="B243" s="638" t="s">
        <v>429</v>
      </c>
      <c r="C243" s="13" t="s">
        <v>160</v>
      </c>
      <c r="D243" s="13">
        <v>109</v>
      </c>
      <c r="E243" s="637" t="s">
        <v>44</v>
      </c>
      <c r="F243" s="13" t="s">
        <v>10</v>
      </c>
      <c r="G243" s="28">
        <v>40</v>
      </c>
      <c r="H243" s="440">
        <v>10</v>
      </c>
      <c r="I243" s="28">
        <v>1</v>
      </c>
      <c r="J243" s="441">
        <f t="shared" si="71"/>
        <v>0.25</v>
      </c>
      <c r="K243" s="436">
        <f>630/1000*3.1415</f>
        <v>1.9791450000000002</v>
      </c>
      <c r="L243" s="267">
        <f t="shared" si="68"/>
        <v>0.49478625000000004</v>
      </c>
      <c r="M243" s="433">
        <f t="shared" si="72"/>
        <v>98.957250000000002</v>
      </c>
      <c r="N243" s="434">
        <v>200</v>
      </c>
      <c r="O243" s="435">
        <f t="shared" si="73"/>
        <v>0.49478625000000004</v>
      </c>
    </row>
    <row r="244" spans="1:15" ht="15">
      <c r="A244" s="637"/>
      <c r="B244" s="638"/>
      <c r="C244" s="13" t="s">
        <v>9</v>
      </c>
      <c r="D244" s="13">
        <v>109</v>
      </c>
      <c r="E244" s="637"/>
      <c r="F244" s="13" t="s">
        <v>10</v>
      </c>
      <c r="G244" s="28">
        <v>27</v>
      </c>
      <c r="H244" s="440">
        <v>10</v>
      </c>
      <c r="I244" s="28">
        <v>1</v>
      </c>
      <c r="J244" s="441">
        <f t="shared" si="71"/>
        <v>0.37037037037037035</v>
      </c>
      <c r="K244" s="436">
        <f>630/1000*3.1415</f>
        <v>1.9791450000000002</v>
      </c>
      <c r="L244" s="267">
        <f t="shared" si="68"/>
        <v>0.73301666666666665</v>
      </c>
      <c r="M244" s="433">
        <f t="shared" si="72"/>
        <v>146.60333333333332</v>
      </c>
      <c r="N244" s="434">
        <v>200</v>
      </c>
      <c r="O244" s="435">
        <f t="shared" si="73"/>
        <v>0.73301666666666665</v>
      </c>
    </row>
    <row r="245" spans="1:15" ht="15" customHeight="1">
      <c r="A245" s="637" t="s">
        <v>162</v>
      </c>
      <c r="B245" s="664" t="s">
        <v>1693</v>
      </c>
      <c r="C245" s="13" t="s">
        <v>160</v>
      </c>
      <c r="D245" s="13">
        <v>109</v>
      </c>
      <c r="E245" s="637" t="s">
        <v>44</v>
      </c>
      <c r="F245" s="13" t="s">
        <v>10</v>
      </c>
      <c r="G245" s="28">
        <v>40</v>
      </c>
      <c r="H245" s="440">
        <v>10</v>
      </c>
      <c r="I245" s="28">
        <v>1</v>
      </c>
      <c r="J245" s="441">
        <f t="shared" si="71"/>
        <v>0.25</v>
      </c>
      <c r="K245" s="436">
        <f>630/1000*3.1415</f>
        <v>1.9791450000000002</v>
      </c>
      <c r="L245" s="267">
        <f t="shared" si="68"/>
        <v>0.49478625000000004</v>
      </c>
      <c r="M245" s="433">
        <f t="shared" si="72"/>
        <v>98.957250000000002</v>
      </c>
      <c r="N245" s="434">
        <v>200</v>
      </c>
      <c r="O245" s="435">
        <f t="shared" si="73"/>
        <v>0.49478625000000004</v>
      </c>
    </row>
    <row r="246" spans="1:15" ht="15">
      <c r="A246" s="637"/>
      <c r="B246" s="664"/>
      <c r="C246" s="13" t="s">
        <v>9</v>
      </c>
      <c r="D246" s="13">
        <v>109</v>
      </c>
      <c r="E246" s="637"/>
      <c r="F246" s="13" t="s">
        <v>10</v>
      </c>
      <c r="G246" s="28">
        <v>27</v>
      </c>
      <c r="H246" s="440">
        <v>10</v>
      </c>
      <c r="I246" s="28">
        <v>1</v>
      </c>
      <c r="J246" s="441">
        <f t="shared" si="71"/>
        <v>0.37037037037037035</v>
      </c>
      <c r="K246" s="436">
        <f>630/1000*3.1415</f>
        <v>1.9791450000000002</v>
      </c>
      <c r="L246" s="267">
        <f t="shared" si="68"/>
        <v>0.73301666666666665</v>
      </c>
      <c r="M246" s="433">
        <f t="shared" si="72"/>
        <v>146.60333333333332</v>
      </c>
      <c r="N246" s="434">
        <v>200</v>
      </c>
      <c r="O246" s="435">
        <f t="shared" si="73"/>
        <v>0.73301666666666665</v>
      </c>
    </row>
    <row r="247" spans="1:15" ht="15">
      <c r="A247" s="637" t="s">
        <v>314</v>
      </c>
      <c r="B247" s="638" t="s">
        <v>107</v>
      </c>
      <c r="C247" s="13" t="s">
        <v>24</v>
      </c>
      <c r="D247" s="13">
        <v>110</v>
      </c>
      <c r="E247" s="13"/>
      <c r="F247" s="4" t="s">
        <v>40</v>
      </c>
      <c r="G247" s="442">
        <v>20</v>
      </c>
      <c r="H247" s="440">
        <v>10</v>
      </c>
      <c r="I247" s="28">
        <v>2</v>
      </c>
      <c r="J247" s="441">
        <f t="shared" si="71"/>
        <v>1</v>
      </c>
      <c r="K247" s="28">
        <v>1</v>
      </c>
      <c r="L247" s="267">
        <f t="shared" si="68"/>
        <v>1</v>
      </c>
      <c r="M247" s="433">
        <f t="shared" si="72"/>
        <v>200</v>
      </c>
      <c r="N247" s="434">
        <v>200</v>
      </c>
      <c r="O247" s="435">
        <f t="shared" si="73"/>
        <v>0.50</v>
      </c>
    </row>
    <row r="248" spans="1:15" ht="15">
      <c r="A248" s="637"/>
      <c r="B248" s="638"/>
      <c r="C248" s="13" t="s">
        <v>25</v>
      </c>
      <c r="D248" s="13">
        <v>110</v>
      </c>
      <c r="E248" s="13" t="s">
        <v>41</v>
      </c>
      <c r="F248" s="13" t="s">
        <v>10</v>
      </c>
      <c r="G248" s="28">
        <v>40</v>
      </c>
      <c r="H248" s="440">
        <v>10</v>
      </c>
      <c r="I248" s="28">
        <v>1</v>
      </c>
      <c r="J248" s="441">
        <f t="shared" si="71"/>
        <v>0.25</v>
      </c>
      <c r="K248" s="436">
        <f>630/1000*3.1415*2</f>
        <v>3.9582900000000003</v>
      </c>
      <c r="L248" s="267">
        <f t="shared" si="68"/>
        <v>0.98957250000000008</v>
      </c>
      <c r="M248" s="433">
        <f t="shared" si="72"/>
        <v>197.9145</v>
      </c>
      <c r="N248" s="434">
        <v>200</v>
      </c>
      <c r="O248" s="435">
        <f t="shared" si="73"/>
        <v>0.98957250000000008</v>
      </c>
    </row>
    <row r="249" spans="1:15" ht="15">
      <c r="A249" s="637" t="s">
        <v>314</v>
      </c>
      <c r="B249" s="664" t="s">
        <v>1694</v>
      </c>
      <c r="C249" s="13" t="s">
        <v>24</v>
      </c>
      <c r="D249" s="13">
        <v>110</v>
      </c>
      <c r="E249" s="13"/>
      <c r="F249" s="4" t="s">
        <v>40</v>
      </c>
      <c r="G249" s="442">
        <v>20</v>
      </c>
      <c r="H249" s="440">
        <v>10</v>
      </c>
      <c r="I249" s="28">
        <v>2</v>
      </c>
      <c r="J249" s="441">
        <f t="shared" si="71"/>
        <v>1</v>
      </c>
      <c r="K249" s="28">
        <v>1</v>
      </c>
      <c r="L249" s="267">
        <f t="shared" si="68"/>
        <v>1</v>
      </c>
      <c r="M249" s="433">
        <f t="shared" si="72"/>
        <v>200</v>
      </c>
      <c r="N249" s="434">
        <v>200</v>
      </c>
      <c r="O249" s="435">
        <f t="shared" si="73"/>
        <v>0.50</v>
      </c>
    </row>
    <row r="250" spans="1:15" ht="15">
      <c r="A250" s="637"/>
      <c r="B250" s="664"/>
      <c r="C250" s="13" t="s">
        <v>25</v>
      </c>
      <c r="D250" s="13">
        <v>110</v>
      </c>
      <c r="E250" s="13" t="s">
        <v>41</v>
      </c>
      <c r="F250" s="13" t="s">
        <v>10</v>
      </c>
      <c r="G250" s="28">
        <v>40</v>
      </c>
      <c r="H250" s="440">
        <v>10</v>
      </c>
      <c r="I250" s="28">
        <v>1</v>
      </c>
      <c r="J250" s="441">
        <f t="shared" si="71"/>
        <v>0.25</v>
      </c>
      <c r="K250" s="436">
        <f>630/1000*3.1415*2</f>
        <v>3.9582900000000003</v>
      </c>
      <c r="L250" s="267">
        <f t="shared" si="68"/>
        <v>0.98957250000000008</v>
      </c>
      <c r="M250" s="433">
        <f t="shared" si="72"/>
        <v>197.9145</v>
      </c>
      <c r="N250" s="434">
        <v>200</v>
      </c>
      <c r="O250" s="435">
        <f t="shared" si="73"/>
        <v>0.98957250000000008</v>
      </c>
    </row>
    <row r="251" ht="15.75" thickBot="1"/>
    <row r="252" spans="1:6" ht="15">
      <c r="A252" s="500" t="s">
        <v>328</v>
      </c>
      <c r="B252" s="631" t="s">
        <v>1593</v>
      </c>
      <c r="C252" s="632"/>
      <c r="D252" s="633"/>
      <c r="E252" s="501" t="s">
        <v>332</v>
      </c>
      <c r="F252" s="502" t="s">
        <v>333</v>
      </c>
    </row>
    <row r="253" spans="1:6" ht="15.75" thickBot="1">
      <c r="A253" s="504">
        <v>9</v>
      </c>
      <c r="B253" s="634" t="s">
        <v>1605</v>
      </c>
      <c r="C253" s="635"/>
      <c r="D253" s="636"/>
      <c r="E253" s="505" t="s">
        <v>1682</v>
      </c>
      <c r="F253" s="506">
        <v>45055</v>
      </c>
    </row>
    <row r="254" spans="1:15" ht="15">
      <c r="A254" s="565" t="s">
        <v>422</v>
      </c>
      <c r="B254" s="522" t="s">
        <v>423</v>
      </c>
      <c r="C254" s="523" t="s">
        <v>24</v>
      </c>
      <c r="D254" s="523">
        <v>108</v>
      </c>
      <c r="E254" s="523"/>
      <c r="F254" s="566" t="s">
        <v>45</v>
      </c>
      <c r="G254" s="561">
        <v>13.08</v>
      </c>
      <c r="H254" s="560">
        <v>10</v>
      </c>
      <c r="I254" s="561">
        <v>2</v>
      </c>
      <c r="J254" s="562">
        <f t="shared" si="74" ref="J254:J257">H254/G254*I254</f>
        <v>1.5290519877675841</v>
      </c>
      <c r="K254" s="561">
        <v>1</v>
      </c>
      <c r="L254" s="26">
        <f t="shared" si="75" ref="L254:L257">J254*K254</f>
        <v>1.5290519877675841</v>
      </c>
      <c r="M254" s="43">
        <f t="shared" si="76" ref="M254:M257">L254*N254</f>
        <v>305.81039755351685</v>
      </c>
      <c r="N254" s="85">
        <v>200</v>
      </c>
      <c r="O254" s="8">
        <f t="shared" si="77" ref="O254:O257">J254/I254*K254</f>
        <v>0.76452599388379205</v>
      </c>
    </row>
    <row r="255" spans="1:15" ht="15">
      <c r="A255" s="665" t="s">
        <v>150</v>
      </c>
      <c r="B255" s="664" t="s">
        <v>1691</v>
      </c>
      <c r="C255" s="523" t="s">
        <v>970</v>
      </c>
      <c r="D255" s="523">
        <v>109</v>
      </c>
      <c r="E255" s="666" t="s">
        <v>911</v>
      </c>
      <c r="F255" s="558" t="s">
        <v>10</v>
      </c>
      <c r="G255" s="561">
        <v>40</v>
      </c>
      <c r="H255" s="560">
        <v>10</v>
      </c>
      <c r="I255" s="561">
        <v>1</v>
      </c>
      <c r="J255" s="562">
        <f t="shared" si="74"/>
        <v>0.25</v>
      </c>
      <c r="K255" s="564">
        <f>630*3.1415/1000</f>
        <v>1.9791450000000002</v>
      </c>
      <c r="L255" s="26">
        <f t="shared" si="75"/>
        <v>0.49478625000000004</v>
      </c>
      <c r="M255" s="43">
        <f t="shared" si="76"/>
        <v>98.957250000000002</v>
      </c>
      <c r="N255" s="85">
        <v>200</v>
      </c>
      <c r="O255" s="8">
        <f t="shared" si="77"/>
        <v>0.49478625000000004</v>
      </c>
    </row>
    <row r="256" spans="1:15" ht="15">
      <c r="A256" s="665"/>
      <c r="B256" s="664"/>
      <c r="C256" s="523" t="s">
        <v>151</v>
      </c>
      <c r="D256" s="523">
        <v>109</v>
      </c>
      <c r="E256" s="666"/>
      <c r="F256" s="558" t="s">
        <v>10</v>
      </c>
      <c r="G256" s="561">
        <v>27</v>
      </c>
      <c r="H256" s="560">
        <v>10</v>
      </c>
      <c r="I256" s="561">
        <v>1</v>
      </c>
      <c r="J256" s="562">
        <f t="shared" si="74"/>
        <v>0.37037037037037035</v>
      </c>
      <c r="K256" s="564">
        <f>(630*3.1415)/1000</f>
        <v>1.9791450000000002</v>
      </c>
      <c r="L256" s="26">
        <f t="shared" si="75"/>
        <v>0.73301666666666665</v>
      </c>
      <c r="M256" s="43">
        <f t="shared" si="76"/>
        <v>146.60333333333332</v>
      </c>
      <c r="N256" s="85">
        <v>200</v>
      </c>
      <c r="O256" s="8">
        <f t="shared" si="77"/>
        <v>0.73301666666666665</v>
      </c>
    </row>
    <row r="257" spans="1:15" ht="15">
      <c r="A257" s="523" t="s">
        <v>1695</v>
      </c>
      <c r="B257" s="522" t="s">
        <v>1696</v>
      </c>
      <c r="C257" s="523" t="s">
        <v>33</v>
      </c>
      <c r="D257" s="523">
        <v>226</v>
      </c>
      <c r="E257" s="523"/>
      <c r="F257" s="523" t="s">
        <v>12</v>
      </c>
      <c r="G257" s="527">
        <v>20</v>
      </c>
      <c r="H257" s="530">
        <v>10</v>
      </c>
      <c r="I257" s="527">
        <v>1</v>
      </c>
      <c r="J257" s="531">
        <f t="shared" si="74"/>
        <v>0.50</v>
      </c>
      <c r="K257" s="527">
        <v>1</v>
      </c>
      <c r="L257" s="267">
        <f t="shared" si="75"/>
        <v>0.50</v>
      </c>
      <c r="M257" s="433">
        <f t="shared" si="76"/>
        <v>100</v>
      </c>
      <c r="N257" s="434">
        <v>200</v>
      </c>
      <c r="O257" s="435">
        <f t="shared" si="77"/>
        <v>0.50</v>
      </c>
    </row>
    <row r="258" ht="15.75" thickBot="1"/>
    <row r="259" spans="1:6" ht="15">
      <c r="A259" s="500" t="s">
        <v>328</v>
      </c>
      <c r="B259" s="631" t="s">
        <v>1593</v>
      </c>
      <c r="C259" s="632"/>
      <c r="D259" s="633"/>
      <c r="E259" s="501" t="s">
        <v>332</v>
      </c>
      <c r="F259" s="502" t="s">
        <v>333</v>
      </c>
    </row>
    <row r="260" spans="1:6" ht="15.75" thickBot="1">
      <c r="A260" s="504">
        <v>10</v>
      </c>
      <c r="B260" s="634" t="s">
        <v>1657</v>
      </c>
      <c r="C260" s="635"/>
      <c r="D260" s="636"/>
      <c r="E260" s="505" t="s">
        <v>1697</v>
      </c>
      <c r="F260" s="506">
        <v>45142</v>
      </c>
    </row>
    <row r="261" spans="1:16" ht="15">
      <c r="A261" s="13" t="s">
        <v>292</v>
      </c>
      <c r="B261" s="27" t="s">
        <v>21</v>
      </c>
      <c r="C261" s="13" t="s">
        <v>33</v>
      </c>
      <c r="D261" s="13">
        <v>219</v>
      </c>
      <c r="E261" s="13"/>
      <c r="F261" s="13" t="s">
        <v>12</v>
      </c>
      <c r="G261" s="436">
        <v>2.4860000000000002</v>
      </c>
      <c r="H261" s="440">
        <v>10</v>
      </c>
      <c r="I261" s="28">
        <v>2</v>
      </c>
      <c r="J261" s="441">
        <f t="shared" si="78" ref="J261:J262">H261/G261*I261</f>
        <v>8.0450522928399035</v>
      </c>
      <c r="K261" s="28">
        <v>1</v>
      </c>
      <c r="L261" s="267">
        <f t="shared" si="79" ref="L261:L262">J261*K261</f>
        <v>8.0450522928399035</v>
      </c>
      <c r="M261" s="433">
        <f t="shared" si="80" ref="M261:M262">L261*N261</f>
        <v>1335.4786806114239</v>
      </c>
      <c r="N261" s="434">
        <v>166</v>
      </c>
      <c r="O261" s="435">
        <f t="shared" si="81" ref="O261:O262">J261/I261*K261</f>
        <v>4.0225261464199518</v>
      </c>
      <c r="P261" s="22"/>
    </row>
    <row r="262" spans="1:16" ht="15">
      <c r="A262" s="13" t="s">
        <v>292</v>
      </c>
      <c r="B262" s="27" t="s">
        <v>21</v>
      </c>
      <c r="C262" s="13" t="s">
        <v>33</v>
      </c>
      <c r="D262" s="13">
        <v>219</v>
      </c>
      <c r="E262" s="13"/>
      <c r="F262" s="13" t="s">
        <v>12</v>
      </c>
      <c r="G262" s="569">
        <f t="shared" si="82" ref="G262">2.486*2</f>
        <v>4.9719999999999995</v>
      </c>
      <c r="H262" s="440">
        <v>10</v>
      </c>
      <c r="I262" s="28">
        <v>2</v>
      </c>
      <c r="J262" s="441">
        <f t="shared" si="78"/>
        <v>4.0225261464199518</v>
      </c>
      <c r="K262" s="28">
        <v>1</v>
      </c>
      <c r="L262" s="267">
        <f t="shared" si="79"/>
        <v>4.0225261464199518</v>
      </c>
      <c r="M262" s="433">
        <f t="shared" si="80"/>
        <v>667.73934030571195</v>
      </c>
      <c r="N262" s="434">
        <v>166</v>
      </c>
      <c r="O262" s="435">
        <f t="shared" si="81"/>
        <v>2.0112630732099759</v>
      </c>
      <c r="P262" s="22"/>
    </row>
  </sheetData>
  <autoFilter ref="A4:P166"/>
  <mergeCells count="106">
    <mergeCell ref="B201:D201"/>
    <mergeCell ref="B185:D185"/>
    <mergeCell ref="B186:D186"/>
    <mergeCell ref="B195:D195"/>
    <mergeCell ref="B196:D196"/>
    <mergeCell ref="B204:D204"/>
    <mergeCell ref="B205:D205"/>
    <mergeCell ref="B5:K5"/>
    <mergeCell ref="B18:K18"/>
    <mergeCell ref="E21:E22"/>
    <mergeCell ref="B29:B30"/>
    <mergeCell ref="E29:E30"/>
    <mergeCell ref="A19:A20"/>
    <mergeCell ref="B19:B20"/>
    <mergeCell ref="B60:B63"/>
    <mergeCell ref="E61:E63"/>
    <mergeCell ref="B48:K48"/>
    <mergeCell ref="A49:A50"/>
    <mergeCell ref="B49:B50"/>
    <mergeCell ref="A52:A55"/>
    <mergeCell ref="B52:B55"/>
    <mergeCell ref="E52:E53"/>
    <mergeCell ref="E54:E55"/>
    <mergeCell ref="A60:A63"/>
    <mergeCell ref="A38:A39"/>
    <mergeCell ref="B38:B39"/>
    <mergeCell ref="B56:B59"/>
    <mergeCell ref="A56:A59"/>
    <mergeCell ref="E56:E57"/>
    <mergeCell ref="E58:E59"/>
    <mergeCell ref="A21:A24"/>
    <mergeCell ref="B21:B24"/>
    <mergeCell ref="E23:E24"/>
    <mergeCell ref="A25:A26"/>
    <mergeCell ref="B25:B26"/>
    <mergeCell ref="A29:A30"/>
    <mergeCell ref="A114:A115"/>
    <mergeCell ref="B114:B115"/>
    <mergeCell ref="A66:A67"/>
    <mergeCell ref="B66:B67"/>
    <mergeCell ref="B70:K70"/>
    <mergeCell ref="A71:A73"/>
    <mergeCell ref="B71:B73"/>
    <mergeCell ref="B83:K83"/>
    <mergeCell ref="B90:K90"/>
    <mergeCell ref="B94:K94"/>
    <mergeCell ref="A101:A102"/>
    <mergeCell ref="B101:B102"/>
    <mergeCell ref="A232:A233"/>
    <mergeCell ref="B232:B233"/>
    <mergeCell ref="E232:E233"/>
    <mergeCell ref="A224:A225"/>
    <mergeCell ref="B224:B225"/>
    <mergeCell ref="E224:E225"/>
    <mergeCell ref="A35:A36"/>
    <mergeCell ref="B35:B36"/>
    <mergeCell ref="E35:E36"/>
    <mergeCell ref="A183:A184"/>
    <mergeCell ref="B183:B184"/>
    <mergeCell ref="B180:D180"/>
    <mergeCell ref="B181:D181"/>
    <mergeCell ref="A197:A198"/>
    <mergeCell ref="B197:B198"/>
    <mergeCell ref="A116:A118"/>
    <mergeCell ref="B116:B118"/>
    <mergeCell ref="A119:A120"/>
    <mergeCell ref="B119:B120"/>
    <mergeCell ref="B142:K142"/>
    <mergeCell ref="A179:F179"/>
    <mergeCell ref="B212:D212"/>
    <mergeCell ref="B213:D213"/>
    <mergeCell ref="B200:D200"/>
    <mergeCell ref="E255:E256"/>
    <mergeCell ref="A245:A246"/>
    <mergeCell ref="B245:B246"/>
    <mergeCell ref="E245:E246"/>
    <mergeCell ref="B216:D216"/>
    <mergeCell ref="B217:D217"/>
    <mergeCell ref="B227:D227"/>
    <mergeCell ref="B228:D228"/>
    <mergeCell ref="A230:A231"/>
    <mergeCell ref="B230:B231"/>
    <mergeCell ref="A221:A223"/>
    <mergeCell ref="B221:B223"/>
    <mergeCell ref="E221:E223"/>
    <mergeCell ref="E234:E235"/>
    <mergeCell ref="E236:E237"/>
    <mergeCell ref="A239:A240"/>
    <mergeCell ref="B239:B240"/>
    <mergeCell ref="A234:A237"/>
    <mergeCell ref="B234:B237"/>
    <mergeCell ref="A243:A244"/>
    <mergeCell ref="B243:B244"/>
    <mergeCell ref="E243:E244"/>
    <mergeCell ref="A218:A220"/>
    <mergeCell ref="B218:B220"/>
    <mergeCell ref="B259:D259"/>
    <mergeCell ref="B260:D260"/>
    <mergeCell ref="A247:A248"/>
    <mergeCell ref="B247:B248"/>
    <mergeCell ref="A249:A250"/>
    <mergeCell ref="B249:B250"/>
    <mergeCell ref="B252:D252"/>
    <mergeCell ref="B253:D253"/>
    <mergeCell ref="A255:A256"/>
    <mergeCell ref="B255:B256"/>
  </mergeCells>
  <pageMargins left="0.7" right="0.7" top="0.75" bottom="0.75" header="0.3" footer="0.3"/>
  <ignoredErrors>
    <ignoredError sqref="K222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237"/>
  <sheetViews>
    <sheetView tabSelected="1" zoomScale="70" zoomScaleNormal="70" workbookViewId="0" topLeftCell="A1">
      <pane ySplit="4" topLeftCell="A5" activePane="bottomLeft" state="frozen"/>
      <selection pane="topLeft" activeCell="A1" sqref="A1"/>
      <selection pane="bottomLeft" activeCell="A7" sqref="A7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5.285714285714285" style="268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384" width="9.142857142857142" style="268"/>
  </cols>
  <sheetData>
    <row r="1" spans="1:15" ht="15">
      <c r="A1" s="28"/>
      <c r="B1" s="571">
        <v>44533</v>
      </c>
      <c r="C1" s="28"/>
      <c r="D1" s="28"/>
      <c r="E1" s="28"/>
      <c r="F1" s="13"/>
      <c r="G1" s="28"/>
      <c r="H1" s="437"/>
      <c r="I1" s="28"/>
      <c r="J1" s="28"/>
      <c r="K1" s="28"/>
      <c r="L1" s="28"/>
      <c r="M1" s="28"/>
      <c r="N1" s="28"/>
      <c r="O1" s="28"/>
    </row>
    <row r="2" spans="1:15" ht="31.5">
      <c r="A2" s="28"/>
      <c r="B2" s="572" t="s">
        <v>1208</v>
      </c>
      <c r="C2" s="28"/>
      <c r="D2" s="28"/>
      <c r="E2" s="28"/>
      <c r="F2" s="573" t="s">
        <v>22</v>
      </c>
      <c r="G2" s="28">
        <f>2050/1000</f>
        <v>2.0499999999999998</v>
      </c>
      <c r="H2" s="437" t="s">
        <v>23</v>
      </c>
      <c r="I2" s="28" t="s">
        <v>23</v>
      </c>
      <c r="J2" s="28"/>
      <c r="K2" s="28"/>
      <c r="L2" s="28"/>
      <c r="M2" s="28"/>
      <c r="N2" s="28"/>
      <c r="O2" s="28"/>
    </row>
    <row r="3" spans="1:15" ht="15.75">
      <c r="A3" s="28"/>
      <c r="B3" s="27"/>
      <c r="C3" s="574"/>
      <c r="D3" s="574"/>
      <c r="E3" s="574"/>
      <c r="F3" s="13"/>
      <c r="G3" s="28"/>
      <c r="H3" s="437"/>
      <c r="I3" s="28"/>
      <c r="J3" s="28"/>
      <c r="K3" s="28"/>
      <c r="L3" s="28"/>
      <c r="M3" s="28"/>
      <c r="N3" s="28"/>
      <c r="O3" s="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SUM(M6:M16)</f>
        <v>749.05599999999993</v>
      </c>
      <c r="N5" s="263"/>
      <c r="O5" s="264">
        <f>SUM(O6:O16)</f>
        <v>4.2560000000000002</v>
      </c>
    </row>
    <row r="6" spans="1:16" s="457" customFormat="1" ht="15">
      <c r="A6" s="459" t="s">
        <v>835</v>
      </c>
      <c r="B6" s="494" t="s">
        <v>850</v>
      </c>
      <c r="C6" s="460" t="s">
        <v>1762</v>
      </c>
      <c r="D6" s="460">
        <v>304</v>
      </c>
      <c r="E6" s="460"/>
      <c r="F6" s="460" t="s">
        <v>533</v>
      </c>
      <c r="G6" s="461">
        <f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34</v>
      </c>
      <c r="L6" s="465">
        <f>J6*K6</f>
        <v>0.66300000000000003</v>
      </c>
      <c r="M6" s="466">
        <f>L6*N6</f>
        <v>116.688</v>
      </c>
      <c r="N6" s="466">
        <v>176</v>
      </c>
      <c r="O6" s="456">
        <f>J6/I6*K6</f>
        <v>0.66300000000000003</v>
      </c>
      <c r="P6" s="457" t="s">
        <v>1734</v>
      </c>
    </row>
    <row r="7" spans="1:16" s="457" customFormat="1" ht="15" customHeight="1">
      <c r="A7" s="900" t="s">
        <v>836</v>
      </c>
      <c r="B7" s="901" t="s">
        <v>859</v>
      </c>
      <c r="C7" s="902" t="s">
        <v>532</v>
      </c>
      <c r="D7" s="902">
        <v>304</v>
      </c>
      <c r="E7" s="902"/>
      <c r="F7" s="902" t="s">
        <v>533</v>
      </c>
      <c r="G7" s="903">
        <f>H7/(O7/K7)</f>
        <v>379.74683544303798</v>
      </c>
      <c r="H7" s="904">
        <v>10</v>
      </c>
      <c r="I7" s="905">
        <v>1</v>
      </c>
      <c r="J7" s="906">
        <f>1.58/60</f>
        <v>0.026333333333333334</v>
      </c>
      <c r="K7" s="903">
        <v>2</v>
      </c>
      <c r="L7" s="907">
        <f>J7*K7</f>
        <v>0.052666666666666667</v>
      </c>
      <c r="M7" s="908">
        <f>L7*N7</f>
        <v>9.2693333333333339</v>
      </c>
      <c r="N7" s="908">
        <v>176</v>
      </c>
      <c r="O7" s="907">
        <f>J7/I7*K7</f>
        <v>0.052666666666666667</v>
      </c>
      <c r="P7" s="909" t="s">
        <v>1719</v>
      </c>
    </row>
    <row r="8" spans="1:16" s="457" customFormat="1" ht="15">
      <c r="A8" s="459" t="s">
        <v>837</v>
      </c>
      <c r="B8" s="494" t="s">
        <v>851</v>
      </c>
      <c r="C8" s="460" t="s">
        <v>532</v>
      </c>
      <c r="D8" s="460">
        <v>304</v>
      </c>
      <c r="E8" s="460"/>
      <c r="F8" s="460" t="s">
        <v>533</v>
      </c>
      <c r="G8" s="461">
        <f>H8/(O8/K8)</f>
        <v>200</v>
      </c>
      <c r="H8" s="462">
        <v>10</v>
      </c>
      <c r="I8" s="463">
        <v>1</v>
      </c>
      <c r="J8" s="464">
        <f>3/60</f>
        <v>0.05</v>
      </c>
      <c r="K8" s="461">
        <v>2</v>
      </c>
      <c r="L8" s="465">
        <f>J8*K8</f>
        <v>0.10000000000000001</v>
      </c>
      <c r="M8" s="466">
        <f>L8*N8</f>
        <v>17.60</v>
      </c>
      <c r="N8" s="466">
        <v>176</v>
      </c>
      <c r="O8" s="456">
        <f>J8/I8*K8</f>
        <v>0.10000000000000001</v>
      </c>
      <c r="P8" s="457" t="s">
        <v>1720</v>
      </c>
    </row>
    <row r="9" spans="1:16" s="457" customFormat="1" ht="15">
      <c r="A9" s="459" t="s">
        <v>838</v>
      </c>
      <c r="B9" s="494" t="s">
        <v>1178</v>
      </c>
      <c r="C9" s="460" t="s">
        <v>532</v>
      </c>
      <c r="D9" s="460">
        <v>304</v>
      </c>
      <c r="E9" s="460"/>
      <c r="F9" s="460" t="s">
        <v>533</v>
      </c>
      <c r="G9" s="461">
        <f>H9/(O9/K9)</f>
        <v>111.31725417439704</v>
      </c>
      <c r="H9" s="462">
        <v>10</v>
      </c>
      <c r="I9" s="463">
        <v>1</v>
      </c>
      <c r="J9" s="464">
        <f>5.39/60</f>
        <v>0.089833333333333334</v>
      </c>
      <c r="K9" s="461">
        <v>2</v>
      </c>
      <c r="L9" s="465">
        <f>J9*K9</f>
        <v>0.17966666666666667</v>
      </c>
      <c r="M9" s="466">
        <f>L9*N9</f>
        <v>31.621333333333332</v>
      </c>
      <c r="N9" s="466">
        <v>176</v>
      </c>
      <c r="O9" s="456">
        <f>J9/I9*K9</f>
        <v>0.17966666666666667</v>
      </c>
      <c r="P9" s="457" t="s">
        <v>1717</v>
      </c>
    </row>
    <row r="10" spans="1:16" s="457" customFormat="1" ht="15">
      <c r="A10" s="459" t="s">
        <v>839</v>
      </c>
      <c r="B10" s="494" t="s">
        <v>852</v>
      </c>
      <c r="C10" s="460" t="s">
        <v>532</v>
      </c>
      <c r="D10" s="460">
        <v>304</v>
      </c>
      <c r="E10" s="460"/>
      <c r="F10" s="460" t="s">
        <v>533</v>
      </c>
      <c r="G10" s="461">
        <f>H10/(O10/K10)</f>
        <v>582.52427184466023</v>
      </c>
      <c r="H10" s="462">
        <v>10</v>
      </c>
      <c r="I10" s="463">
        <v>1</v>
      </c>
      <c r="J10" s="464">
        <f>1.03/60</f>
        <v>0.017166666666666667</v>
      </c>
      <c r="K10" s="461">
        <v>3</v>
      </c>
      <c r="L10" s="465">
        <f>J10*K10</f>
        <v>0.051500000000000004</v>
      </c>
      <c r="M10" s="466">
        <f>L10*N10</f>
        <v>9.0640000000000001</v>
      </c>
      <c r="N10" s="466">
        <v>176</v>
      </c>
      <c r="O10" s="456">
        <f>J10/I10*K10</f>
        <v>0.051500000000000004</v>
      </c>
      <c r="P10" s="457" t="s">
        <v>1725</v>
      </c>
    </row>
    <row r="11" spans="1:16" s="457" customFormat="1" ht="15">
      <c r="A11" s="459" t="s">
        <v>840</v>
      </c>
      <c r="B11" s="494" t="s">
        <v>929</v>
      </c>
      <c r="C11" s="460" t="s">
        <v>532</v>
      </c>
      <c r="D11" s="460">
        <v>304</v>
      </c>
      <c r="E11" s="460"/>
      <c r="F11" s="460" t="s">
        <v>533</v>
      </c>
      <c r="G11" s="461">
        <f>H11/(O11/K11)</f>
        <v>44.477390659747961</v>
      </c>
      <c r="H11" s="462">
        <v>10</v>
      </c>
      <c r="I11" s="463">
        <v>1</v>
      </c>
      <c r="J11" s="464">
        <f>13.49/60</f>
        <v>0.22483333333333333</v>
      </c>
      <c r="K11" s="461">
        <v>1</v>
      </c>
      <c r="L11" s="465">
        <f>J11*K11</f>
        <v>0.22483333333333333</v>
      </c>
      <c r="M11" s="466">
        <f>L11*N11</f>
        <v>39.570666666666668</v>
      </c>
      <c r="N11" s="466">
        <v>176</v>
      </c>
      <c r="O11" s="456">
        <f>J11/I11*K11</f>
        <v>0.22483333333333333</v>
      </c>
      <c r="P11" s="457" t="s">
        <v>1722</v>
      </c>
    </row>
    <row r="12" spans="1:16" s="457" customFormat="1" ht="15">
      <c r="A12" s="459" t="s">
        <v>841</v>
      </c>
      <c r="B12" s="494" t="s">
        <v>1043</v>
      </c>
      <c r="C12" s="460" t="s">
        <v>532</v>
      </c>
      <c r="D12" s="460">
        <v>304</v>
      </c>
      <c r="E12" s="460"/>
      <c r="F12" s="460" t="s">
        <v>533</v>
      </c>
      <c r="G12" s="461">
        <f>H12/(O12/K12)</f>
        <v>322.58064516129036</v>
      </c>
      <c r="H12" s="462">
        <v>10</v>
      </c>
      <c r="I12" s="463">
        <v>1</v>
      </c>
      <c r="J12" s="464">
        <f>1.86/60</f>
        <v>0.030999999999999996</v>
      </c>
      <c r="K12" s="461">
        <v>7</v>
      </c>
      <c r="L12" s="465">
        <f>J12*K12</f>
        <v>0.21699999999999997</v>
      </c>
      <c r="M12" s="466">
        <f>L12*N12</f>
        <v>38.191999999999993</v>
      </c>
      <c r="N12" s="466">
        <v>176</v>
      </c>
      <c r="O12" s="456">
        <f>J12/I12*K12</f>
        <v>0.21699999999999997</v>
      </c>
      <c r="P12" s="575" t="s">
        <v>1736</v>
      </c>
    </row>
    <row r="13" spans="1:16" s="457" customFormat="1" ht="15">
      <c r="A13" s="459" t="s">
        <v>842</v>
      </c>
      <c r="B13" s="494" t="s">
        <v>856</v>
      </c>
      <c r="C13" s="460" t="s">
        <v>532</v>
      </c>
      <c r="D13" s="460">
        <v>304</v>
      </c>
      <c r="E13" s="460"/>
      <c r="F13" s="460" t="s">
        <v>533</v>
      </c>
      <c r="G13" s="461">
        <f>H13/(O13/K13)</f>
        <v>257.51072961373387</v>
      </c>
      <c r="H13" s="462">
        <v>10</v>
      </c>
      <c r="I13" s="463">
        <v>1</v>
      </c>
      <c r="J13" s="464">
        <f>2.33/60</f>
        <v>0.038833333333333338</v>
      </c>
      <c r="K13" s="461">
        <v>64</v>
      </c>
      <c r="L13" s="465">
        <f>J13*K13</f>
        <v>2.4853333333333336</v>
      </c>
      <c r="M13" s="466">
        <f>L13*N13</f>
        <v>437.4186666666667</v>
      </c>
      <c r="N13" s="466">
        <v>176</v>
      </c>
      <c r="O13" s="456">
        <f>J13/I13*K13</f>
        <v>2.4853333333333336</v>
      </c>
      <c r="P13" s="575" t="s">
        <v>1721</v>
      </c>
    </row>
    <row r="14" spans="1:16" s="457" customFormat="1" ht="15">
      <c r="A14" s="459" t="s">
        <v>843</v>
      </c>
      <c r="B14" s="494" t="s">
        <v>854</v>
      </c>
      <c r="C14" s="460" t="s">
        <v>532</v>
      </c>
      <c r="D14" s="460">
        <v>304</v>
      </c>
      <c r="E14" s="460"/>
      <c r="F14" s="460" t="s">
        <v>533</v>
      </c>
      <c r="G14" s="461">
        <f>H14/(O14/K14)</f>
        <v>631.57894736842115</v>
      </c>
      <c r="H14" s="462">
        <v>10</v>
      </c>
      <c r="I14" s="463">
        <v>1</v>
      </c>
      <c r="J14" s="464">
        <f>0.95/60</f>
        <v>0.015833333333333331</v>
      </c>
      <c r="K14" s="461">
        <v>8</v>
      </c>
      <c r="L14" s="465">
        <f>J14*K14</f>
        <v>0.12666666666666665</v>
      </c>
      <c r="M14" s="466">
        <f>L14*N14</f>
        <v>22.293333333333329</v>
      </c>
      <c r="N14" s="466">
        <v>176</v>
      </c>
      <c r="O14" s="456">
        <f>J14/I14*K14</f>
        <v>0.12666666666666665</v>
      </c>
      <c r="P14" s="457" t="s">
        <v>1723</v>
      </c>
    </row>
    <row r="15" spans="1:16" s="457" customFormat="1" ht="15">
      <c r="A15" s="459" t="s">
        <v>844</v>
      </c>
      <c r="B15" s="494" t="s">
        <v>855</v>
      </c>
      <c r="C15" s="460" t="s">
        <v>532</v>
      </c>
      <c r="D15" s="460">
        <v>304</v>
      </c>
      <c r="E15" s="460"/>
      <c r="F15" s="460" t="s">
        <v>533</v>
      </c>
      <c r="G15" s="461">
        <f>H15/(O15/K15)</f>
        <v>454.5454545454545</v>
      </c>
      <c r="H15" s="462">
        <v>10</v>
      </c>
      <c r="I15" s="463">
        <v>1</v>
      </c>
      <c r="J15" s="464">
        <f>1.32/60</f>
        <v>0.022000000000000002</v>
      </c>
      <c r="K15" s="461">
        <v>6</v>
      </c>
      <c r="L15" s="465">
        <f>J15*K15</f>
        <v>0.13200000000000001</v>
      </c>
      <c r="M15" s="466">
        <f>L15*N15</f>
        <v>23.231999999999999</v>
      </c>
      <c r="N15" s="466">
        <v>176</v>
      </c>
      <c r="O15" s="456">
        <f>J15/I15*K15</f>
        <v>0.13200000000000001</v>
      </c>
      <c r="P15" s="457" t="s">
        <v>1724</v>
      </c>
    </row>
    <row r="16" spans="1:16" s="457" customFormat="1" ht="15">
      <c r="A16" s="459" t="s">
        <v>845</v>
      </c>
      <c r="B16" s="494" t="s">
        <v>861</v>
      </c>
      <c r="C16" s="460" t="s">
        <v>532</v>
      </c>
      <c r="D16" s="460">
        <v>304</v>
      </c>
      <c r="E16" s="460"/>
      <c r="F16" s="460" t="s">
        <v>533</v>
      </c>
      <c r="G16" s="461">
        <f>H16/(O16/K16)</f>
        <v>857.14285714285722</v>
      </c>
      <c r="H16" s="462">
        <v>10</v>
      </c>
      <c r="I16" s="463">
        <v>1</v>
      </c>
      <c r="J16" s="464">
        <f>0.7/60</f>
        <v>0.011666666666666665</v>
      </c>
      <c r="K16" s="461">
        <v>2</v>
      </c>
      <c r="L16" s="465">
        <f>J16*K16</f>
        <v>0.023333333333333331</v>
      </c>
      <c r="M16" s="466">
        <f>L16*N16</f>
        <v>4.1066666666666665</v>
      </c>
      <c r="N16" s="466">
        <v>176</v>
      </c>
      <c r="O16" s="456">
        <f>J16/I16*K16</f>
        <v>0.023333333333333331</v>
      </c>
      <c r="P16" s="457" t="s">
        <v>1718</v>
      </c>
    </row>
    <row r="17" spans="1:15" ht="15">
      <c r="A17" s="39"/>
      <c r="B17" s="649" t="s">
        <v>130</v>
      </c>
      <c r="C17" s="649"/>
      <c r="D17" s="649"/>
      <c r="E17" s="649"/>
      <c r="F17" s="649"/>
      <c r="G17" s="649"/>
      <c r="H17" s="649"/>
      <c r="I17" s="649"/>
      <c r="J17" s="649"/>
      <c r="K17" s="649"/>
      <c r="L17" s="265"/>
      <c r="M17" s="262">
        <f>SUM(M18:M51)</f>
        <v>5575.3633219168923</v>
      </c>
      <c r="N17" s="430"/>
      <c r="O17" s="264">
        <f>SUM(O18:O51)</f>
        <v>23.772378407784345</v>
      </c>
    </row>
    <row r="18" spans="1:16" ht="15">
      <c r="A18" s="679" t="s">
        <v>141</v>
      </c>
      <c r="B18" s="656" t="s">
        <v>311</v>
      </c>
      <c r="C18" s="13" t="s">
        <v>1052</v>
      </c>
      <c r="D18" s="13">
        <v>11</v>
      </c>
      <c r="E18" s="13"/>
      <c r="F18" s="13" t="s">
        <v>1053</v>
      </c>
      <c r="G18" s="442">
        <v>20</v>
      </c>
      <c r="H18" s="437">
        <v>10</v>
      </c>
      <c r="I18" s="28">
        <v>2</v>
      </c>
      <c r="J18" s="468">
        <f t="shared" si="0" ref="J18:J20">H18/G18*I18</f>
        <v>1</v>
      </c>
      <c r="K18" s="442">
        <v>1</v>
      </c>
      <c r="L18" s="267">
        <f t="shared" si="1" ref="L18:L51">J18*K18</f>
        <v>1</v>
      </c>
      <c r="M18" s="433">
        <f t="shared" si="2" ref="M18:M20">L18*N18</f>
        <v>200</v>
      </c>
      <c r="N18" s="434">
        <v>200</v>
      </c>
      <c r="O18" s="267">
        <f t="shared" si="3" ref="O18:O20">J18/I18*K18</f>
        <v>0.50</v>
      </c>
      <c r="P18" s="268" t="s">
        <v>1737</v>
      </c>
    </row>
    <row r="19" spans="1:16" ht="15">
      <c r="A19" s="637"/>
      <c r="B19" s="656"/>
      <c r="C19" s="13" t="s">
        <v>1209</v>
      </c>
      <c r="D19" s="13">
        <v>11</v>
      </c>
      <c r="E19" s="13"/>
      <c r="F19" s="13" t="s">
        <v>10</v>
      </c>
      <c r="G19" s="442">
        <v>40</v>
      </c>
      <c r="H19" s="437">
        <v>10</v>
      </c>
      <c r="I19" s="28">
        <v>1</v>
      </c>
      <c r="J19" s="468">
        <f t="shared" si="0"/>
        <v>0.25</v>
      </c>
      <c r="K19" s="442">
        <f>(1554)/1000</f>
        <v>1.554</v>
      </c>
      <c r="L19" s="267">
        <f t="shared" si="1"/>
        <v>0.38850000000000001</v>
      </c>
      <c r="M19" s="266">
        <f t="shared" si="2"/>
        <v>77.70</v>
      </c>
      <c r="N19" s="433">
        <v>200</v>
      </c>
      <c r="O19" s="267">
        <f t="shared" si="3"/>
        <v>0.38850000000000001</v>
      </c>
      <c r="P19" s="268" t="s">
        <v>1737</v>
      </c>
    </row>
    <row r="20" spans="1:16" ht="15">
      <c r="A20" s="637"/>
      <c r="B20" s="656"/>
      <c r="C20" s="13" t="s">
        <v>1210</v>
      </c>
      <c r="D20" s="13">
        <v>11</v>
      </c>
      <c r="E20" s="13" t="s">
        <v>44</v>
      </c>
      <c r="F20" s="13" t="s">
        <v>10</v>
      </c>
      <c r="G20" s="442">
        <v>27</v>
      </c>
      <c r="H20" s="437">
        <v>10</v>
      </c>
      <c r="I20" s="28">
        <v>1</v>
      </c>
      <c r="J20" s="468">
        <f t="shared" si="0"/>
        <v>0.37037037037037035</v>
      </c>
      <c r="K20" s="442">
        <f>(1554)*2/1000+0.2</f>
        <v>3.3080000000000003</v>
      </c>
      <c r="L20" s="267">
        <f t="shared" si="1"/>
        <v>1.2251851851851852</v>
      </c>
      <c r="M20" s="266">
        <f t="shared" si="2"/>
        <v>245.03703703703704</v>
      </c>
      <c r="N20" s="433">
        <v>200</v>
      </c>
      <c r="O20" s="267">
        <f t="shared" si="3"/>
        <v>1.2251851851851852</v>
      </c>
      <c r="P20" s="268" t="s">
        <v>1737</v>
      </c>
    </row>
    <row r="21" spans="1:16" s="0" customFormat="1" ht="15">
      <c r="A21" s="57" t="s">
        <v>143</v>
      </c>
      <c r="B21" s="56" t="s">
        <v>144</v>
      </c>
      <c r="C21" s="13" t="s">
        <v>1211</v>
      </c>
      <c r="D21" s="13">
        <v>11</v>
      </c>
      <c r="E21" s="13"/>
      <c r="F21" s="17" t="s">
        <v>353</v>
      </c>
      <c r="G21" s="469">
        <v>15.80</v>
      </c>
      <c r="H21" s="252">
        <v>10</v>
      </c>
      <c r="I21" s="16">
        <v>1</v>
      </c>
      <c r="J21" s="253">
        <f>H21/G21*I21</f>
        <v>0.63291139240506322</v>
      </c>
      <c r="K21" s="52">
        <v>1</v>
      </c>
      <c r="L21" s="26">
        <f t="shared" si="1"/>
        <v>0.63291139240506322</v>
      </c>
      <c r="M21" s="43">
        <f>L21*N21</f>
        <v>126.58227848101265</v>
      </c>
      <c r="N21" s="85">
        <v>200</v>
      </c>
      <c r="O21" s="8">
        <f>J21/I21*K21</f>
        <v>0.63291139240506322</v>
      </c>
      <c r="P21" s="268" t="s">
        <v>1737</v>
      </c>
    </row>
    <row r="22" spans="1:16" s="0" customFormat="1" ht="15">
      <c r="A22" s="650" t="s">
        <v>146</v>
      </c>
      <c r="B22" s="638" t="s">
        <v>411</v>
      </c>
      <c r="C22" s="13" t="s">
        <v>1212</v>
      </c>
      <c r="D22" s="13">
        <v>11</v>
      </c>
      <c r="E22" s="637" t="s">
        <v>911</v>
      </c>
      <c r="F22" s="17" t="s">
        <v>10</v>
      </c>
      <c r="G22" s="16">
        <v>40</v>
      </c>
      <c r="H22" s="252">
        <v>10</v>
      </c>
      <c r="I22" s="16">
        <v>1</v>
      </c>
      <c r="J22" s="253">
        <f t="shared" si="4" ref="J22:J51">H22/G22*I22</f>
        <v>0.25</v>
      </c>
      <c r="K22" s="260">
        <f>1554/1000+0.1</f>
        <v>1.6540000000000001</v>
      </c>
      <c r="L22" s="26">
        <f t="shared" si="1"/>
        <v>0.41350000000000003</v>
      </c>
      <c r="M22" s="43">
        <f t="shared" si="5" ref="M22:M51">L22*N22</f>
        <v>82.70</v>
      </c>
      <c r="N22" s="85">
        <v>200</v>
      </c>
      <c r="O22" s="8">
        <f t="shared" si="6" ref="O22:O51">J22/I22*K22</f>
        <v>0.41350000000000003</v>
      </c>
      <c r="P22" s="268" t="s">
        <v>1737</v>
      </c>
    </row>
    <row r="23" spans="1:16" s="0" customFormat="1" ht="15">
      <c r="A23" s="637"/>
      <c r="B23" s="638"/>
      <c r="C23" s="13" t="s">
        <v>1213</v>
      </c>
      <c r="D23" s="13">
        <v>11</v>
      </c>
      <c r="E23" s="637"/>
      <c r="F23" s="17" t="s">
        <v>10</v>
      </c>
      <c r="G23" s="16">
        <v>27</v>
      </c>
      <c r="H23" s="252">
        <v>10</v>
      </c>
      <c r="I23" s="16">
        <v>1</v>
      </c>
      <c r="J23" s="253">
        <f t="shared" si="4"/>
        <v>0.37037037037037035</v>
      </c>
      <c r="K23" s="260">
        <f>1554/1000+0.1</f>
        <v>1.6540000000000001</v>
      </c>
      <c r="L23" s="26">
        <f t="shared" si="1"/>
        <v>0.61259259259259258</v>
      </c>
      <c r="M23" s="43">
        <f t="shared" si="5"/>
        <v>122.51851851851852</v>
      </c>
      <c r="N23" s="85">
        <v>200</v>
      </c>
      <c r="O23" s="8">
        <f t="shared" si="6"/>
        <v>0.61259259259259258</v>
      </c>
      <c r="P23" s="268" t="s">
        <v>1737</v>
      </c>
    </row>
    <row r="24" spans="1:23" s="0" customFormat="1" ht="15" customHeight="1">
      <c r="A24" s="57" t="s">
        <v>421</v>
      </c>
      <c r="B24" s="56" t="s">
        <v>149</v>
      </c>
      <c r="C24" s="13" t="s">
        <v>1211</v>
      </c>
      <c r="D24" s="13">
        <v>11</v>
      </c>
      <c r="E24" s="13"/>
      <c r="F24" s="13" t="s">
        <v>353</v>
      </c>
      <c r="G24" s="439">
        <f>15.8/0.65</f>
        <v>24.307692307692307</v>
      </c>
      <c r="H24" s="431">
        <v>10</v>
      </c>
      <c r="I24" s="28">
        <v>1</v>
      </c>
      <c r="J24" s="473">
        <f t="shared" si="4"/>
        <v>0.41139240506329117</v>
      </c>
      <c r="K24" s="432">
        <v>1</v>
      </c>
      <c r="L24" s="267">
        <f t="shared" si="1"/>
        <v>0.41139240506329117</v>
      </c>
      <c r="M24" s="433">
        <f t="shared" si="5"/>
        <v>82.278481012658233</v>
      </c>
      <c r="N24" s="433">
        <v>200</v>
      </c>
      <c r="O24" s="435">
        <f t="shared" si="6"/>
        <v>0.41139240506329117</v>
      </c>
      <c r="P24" s="268" t="s">
        <v>1737</v>
      </c>
      <c r="Q24" s="268"/>
      <c r="R24" s="268"/>
      <c r="S24" s="268"/>
      <c r="T24" s="268"/>
      <c r="U24" s="268"/>
      <c r="V24" s="268"/>
      <c r="W24" s="268"/>
    </row>
    <row r="25" spans="1:16" s="0" customFormat="1" ht="30">
      <c r="A25" s="565" t="s">
        <v>1662</v>
      </c>
      <c r="B25" s="522" t="s">
        <v>1661</v>
      </c>
      <c r="C25" s="523" t="s">
        <v>9</v>
      </c>
      <c r="D25" s="523">
        <v>11</v>
      </c>
      <c r="E25" s="523"/>
      <c r="F25" s="524" t="s">
        <v>10</v>
      </c>
      <c r="G25" s="525">
        <v>33</v>
      </c>
      <c r="H25" s="526">
        <v>10</v>
      </c>
      <c r="I25" s="527">
        <v>1</v>
      </c>
      <c r="J25" s="528">
        <f t="shared" si="4"/>
        <v>0.30303030303030304</v>
      </c>
      <c r="K25" s="525">
        <f>(350*2)/1000</f>
        <v>0.70</v>
      </c>
      <c r="L25" s="267">
        <f t="shared" si="1"/>
        <v>0.21212121212121213</v>
      </c>
      <c r="M25" s="266">
        <f t="shared" si="5"/>
        <v>32.242424242424242</v>
      </c>
      <c r="N25" s="433">
        <v>152</v>
      </c>
      <c r="O25" s="267">
        <f t="shared" si="6"/>
        <v>0.21212121212121213</v>
      </c>
      <c r="P25" s="268" t="s">
        <v>1737</v>
      </c>
    </row>
    <row r="26" spans="1:16" ht="15">
      <c r="A26" s="57" t="s">
        <v>152</v>
      </c>
      <c r="B26" s="56" t="s">
        <v>153</v>
      </c>
      <c r="C26" s="13" t="s">
        <v>154</v>
      </c>
      <c r="D26" s="13">
        <v>16</v>
      </c>
      <c r="E26" s="13"/>
      <c r="F26" s="13" t="s">
        <v>354</v>
      </c>
      <c r="G26" s="442">
        <v>6.16</v>
      </c>
      <c r="H26" s="440">
        <v>10</v>
      </c>
      <c r="I26" s="28">
        <v>1</v>
      </c>
      <c r="J26" s="441">
        <f t="shared" si="4"/>
        <v>1.6233766233766234</v>
      </c>
      <c r="K26" s="432">
        <v>1</v>
      </c>
      <c r="L26" s="267">
        <f t="shared" si="1"/>
        <v>1.6233766233766234</v>
      </c>
      <c r="M26" s="433">
        <f t="shared" si="5"/>
        <v>324.67532467532465</v>
      </c>
      <c r="N26" s="434">
        <v>200</v>
      </c>
      <c r="O26" s="435">
        <f t="shared" si="6"/>
        <v>1.6233766233766234</v>
      </c>
      <c r="P26" s="268" t="s">
        <v>1698</v>
      </c>
    </row>
    <row r="27" spans="1:16" ht="30">
      <c r="A27" s="57" t="s">
        <v>155</v>
      </c>
      <c r="B27" s="56" t="s">
        <v>156</v>
      </c>
      <c r="C27" s="13" t="s">
        <v>157</v>
      </c>
      <c r="D27" s="13">
        <v>16</v>
      </c>
      <c r="E27" s="13"/>
      <c r="F27" s="13" t="s">
        <v>354</v>
      </c>
      <c r="G27" s="442">
        <v>4.93</v>
      </c>
      <c r="H27" s="440">
        <v>10</v>
      </c>
      <c r="I27" s="28">
        <v>1</v>
      </c>
      <c r="J27" s="441">
        <f t="shared" si="4"/>
        <v>2.028397565922921</v>
      </c>
      <c r="K27" s="432">
        <v>1</v>
      </c>
      <c r="L27" s="267">
        <f t="shared" si="1"/>
        <v>2.028397565922921</v>
      </c>
      <c r="M27" s="433">
        <f t="shared" si="5"/>
        <v>405.67951318458421</v>
      </c>
      <c r="N27" s="434">
        <v>200</v>
      </c>
      <c r="O27" s="435">
        <f t="shared" si="6"/>
        <v>2.028397565922921</v>
      </c>
      <c r="P27" s="268" t="s">
        <v>1698</v>
      </c>
    </row>
    <row r="28" spans="1:16" ht="30">
      <c r="A28" s="57" t="s">
        <v>158</v>
      </c>
      <c r="B28" s="269" t="s">
        <v>159</v>
      </c>
      <c r="C28" s="479" t="s">
        <v>160</v>
      </c>
      <c r="D28" s="479">
        <v>11</v>
      </c>
      <c r="E28" s="479" t="s">
        <v>161</v>
      </c>
      <c r="F28" s="479" t="s">
        <v>10</v>
      </c>
      <c r="G28" s="576">
        <v>15.40</v>
      </c>
      <c r="H28" s="577">
        <v>10</v>
      </c>
      <c r="I28" s="577">
        <v>1</v>
      </c>
      <c r="J28" s="576">
        <f t="shared" si="4"/>
        <v>0.64935064935064934</v>
      </c>
      <c r="K28" s="578">
        <f>(61/1000)*3.1415*4</f>
        <v>0.76652600000000004</v>
      </c>
      <c r="L28" s="435">
        <f t="shared" si="1"/>
        <v>0.49774415584415588</v>
      </c>
      <c r="M28" s="266">
        <f t="shared" si="5"/>
        <v>99.548831168831171</v>
      </c>
      <c r="N28" s="433">
        <v>200</v>
      </c>
      <c r="O28" s="435">
        <f t="shared" si="6"/>
        <v>0.49774415584415588</v>
      </c>
      <c r="P28" s="268" t="s">
        <v>1698</v>
      </c>
    </row>
    <row r="29" spans="1:16" ht="15">
      <c r="A29" s="57" t="s">
        <v>427</v>
      </c>
      <c r="B29" s="56" t="s">
        <v>428</v>
      </c>
      <c r="C29" s="13" t="s">
        <v>24</v>
      </c>
      <c r="D29" s="13">
        <v>12</v>
      </c>
      <c r="E29" s="13"/>
      <c r="F29" s="4" t="s">
        <v>38</v>
      </c>
      <c r="G29" s="442">
        <v>11.44</v>
      </c>
      <c r="H29" s="440">
        <v>10</v>
      </c>
      <c r="I29" s="28">
        <v>2</v>
      </c>
      <c r="J29" s="441">
        <f t="shared" si="4"/>
        <v>1.7482517482517483</v>
      </c>
      <c r="K29" s="28">
        <v>1</v>
      </c>
      <c r="L29" s="267">
        <f t="shared" si="1"/>
        <v>1.7482517482517483</v>
      </c>
      <c r="M29" s="433">
        <f t="shared" si="5"/>
        <v>349.65034965034965</v>
      </c>
      <c r="N29" s="434">
        <v>200</v>
      </c>
      <c r="O29" s="435">
        <f t="shared" si="6"/>
        <v>0.87412587412587417</v>
      </c>
      <c r="P29" s="268" t="s">
        <v>1738</v>
      </c>
    </row>
    <row r="30" spans="1:16" ht="15">
      <c r="A30" s="637" t="s">
        <v>162</v>
      </c>
      <c r="B30" s="638" t="s">
        <v>429</v>
      </c>
      <c r="C30" s="13" t="s">
        <v>160</v>
      </c>
      <c r="D30" s="13">
        <v>11</v>
      </c>
      <c r="E30" s="637" t="s">
        <v>44</v>
      </c>
      <c r="F30" s="13" t="s">
        <v>10</v>
      </c>
      <c r="G30" s="28">
        <v>40</v>
      </c>
      <c r="H30" s="440">
        <v>10</v>
      </c>
      <c r="I30" s="28">
        <v>1</v>
      </c>
      <c r="J30" s="441">
        <f t="shared" si="4"/>
        <v>0.25</v>
      </c>
      <c r="K30" s="436">
        <f>720/1000*3.1415</f>
        <v>2.2618800000000001</v>
      </c>
      <c r="L30" s="267">
        <f t="shared" si="1"/>
        <v>0.56547000000000003</v>
      </c>
      <c r="M30" s="433">
        <f t="shared" si="5"/>
        <v>113.09400000000001</v>
      </c>
      <c r="N30" s="434">
        <v>200</v>
      </c>
      <c r="O30" s="435">
        <f t="shared" si="6"/>
        <v>0.56547000000000003</v>
      </c>
      <c r="P30" s="268" t="s">
        <v>1738</v>
      </c>
    </row>
    <row r="31" spans="1:16" ht="15">
      <c r="A31" s="637"/>
      <c r="B31" s="638"/>
      <c r="C31" s="13" t="s">
        <v>9</v>
      </c>
      <c r="D31" s="13">
        <v>11</v>
      </c>
      <c r="E31" s="637"/>
      <c r="F31" s="13" t="s">
        <v>10</v>
      </c>
      <c r="G31" s="28">
        <v>27</v>
      </c>
      <c r="H31" s="440">
        <v>10</v>
      </c>
      <c r="I31" s="28">
        <v>1</v>
      </c>
      <c r="J31" s="441">
        <f t="shared" si="4"/>
        <v>0.37037037037037035</v>
      </c>
      <c r="K31" s="436">
        <f>720/1000*3.1415</f>
        <v>2.2618800000000001</v>
      </c>
      <c r="L31" s="267">
        <f t="shared" si="1"/>
        <v>0.83773333333333333</v>
      </c>
      <c r="M31" s="433">
        <f t="shared" si="5"/>
        <v>167.54666666666665</v>
      </c>
      <c r="N31" s="434">
        <v>200</v>
      </c>
      <c r="O31" s="435">
        <f t="shared" si="6"/>
        <v>0.83773333333333333</v>
      </c>
      <c r="P31" s="268" t="s">
        <v>1738</v>
      </c>
    </row>
    <row r="32" spans="1:16" ht="15">
      <c r="A32" s="650" t="s">
        <v>163</v>
      </c>
      <c r="B32" s="638" t="s">
        <v>164</v>
      </c>
      <c r="C32" s="13" t="s">
        <v>165</v>
      </c>
      <c r="D32" s="13">
        <v>16</v>
      </c>
      <c r="E32" s="13"/>
      <c r="F32" s="13" t="s">
        <v>973</v>
      </c>
      <c r="G32" s="436">
        <v>11.904761904761905</v>
      </c>
      <c r="H32" s="437">
        <v>10</v>
      </c>
      <c r="I32" s="28">
        <v>1</v>
      </c>
      <c r="J32" s="438">
        <f t="shared" si="4"/>
        <v>0.84</v>
      </c>
      <c r="K32" s="436">
        <v>1</v>
      </c>
      <c r="L32" s="267">
        <f t="shared" si="1"/>
        <v>0.84</v>
      </c>
      <c r="M32" s="433">
        <f t="shared" si="5"/>
        <v>168</v>
      </c>
      <c r="N32" s="434">
        <v>200</v>
      </c>
      <c r="O32" s="435">
        <f t="shared" si="6"/>
        <v>0.84</v>
      </c>
      <c r="P32" s="268" t="s">
        <v>1699</v>
      </c>
    </row>
    <row r="33" spans="1:16" ht="15">
      <c r="A33" s="650"/>
      <c r="B33" s="638"/>
      <c r="C33" s="13" t="s">
        <v>166</v>
      </c>
      <c r="D33" s="13">
        <v>16</v>
      </c>
      <c r="E33" s="13"/>
      <c r="F33" s="13" t="s">
        <v>973</v>
      </c>
      <c r="G33" s="436">
        <f>$G$32*2</f>
        <v>23.80952380952381</v>
      </c>
      <c r="H33" s="437">
        <v>10</v>
      </c>
      <c r="I33" s="28">
        <v>1</v>
      </c>
      <c r="J33" s="438">
        <f t="shared" si="4"/>
        <v>0.42</v>
      </c>
      <c r="K33" s="436">
        <v>1</v>
      </c>
      <c r="L33" s="267">
        <f t="shared" si="1"/>
        <v>0.42</v>
      </c>
      <c r="M33" s="433">
        <f t="shared" si="5"/>
        <v>84</v>
      </c>
      <c r="N33" s="434">
        <v>200</v>
      </c>
      <c r="O33" s="435">
        <f t="shared" si="6"/>
        <v>0.42</v>
      </c>
      <c r="P33" s="268" t="s">
        <v>1699</v>
      </c>
    </row>
    <row r="34" spans="1:16" ht="15">
      <c r="A34" s="650"/>
      <c r="B34" s="638"/>
      <c r="C34" s="13" t="s">
        <v>167</v>
      </c>
      <c r="D34" s="13">
        <v>16</v>
      </c>
      <c r="E34" s="13"/>
      <c r="F34" s="13" t="s">
        <v>973</v>
      </c>
      <c r="G34" s="436">
        <f t="shared" si="7" ref="G34:G35">$G$32*2</f>
        <v>23.80952380952381</v>
      </c>
      <c r="H34" s="437">
        <v>10</v>
      </c>
      <c r="I34" s="28">
        <v>1</v>
      </c>
      <c r="J34" s="438">
        <f t="shared" si="4"/>
        <v>0.42</v>
      </c>
      <c r="K34" s="436">
        <v>1</v>
      </c>
      <c r="L34" s="267">
        <f t="shared" si="1"/>
        <v>0.42</v>
      </c>
      <c r="M34" s="433">
        <f t="shared" si="5"/>
        <v>84</v>
      </c>
      <c r="N34" s="434">
        <v>200</v>
      </c>
      <c r="O34" s="435">
        <f t="shared" si="6"/>
        <v>0.42</v>
      </c>
      <c r="P34" s="268" t="s">
        <v>1699</v>
      </c>
    </row>
    <row r="35" spans="1:16" ht="15">
      <c r="A35" s="650"/>
      <c r="B35" s="638"/>
      <c r="C35" s="13" t="s">
        <v>168</v>
      </c>
      <c r="D35" s="13">
        <v>16</v>
      </c>
      <c r="E35" s="13"/>
      <c r="F35" s="13" t="s">
        <v>973</v>
      </c>
      <c r="G35" s="436">
        <f t="shared" si="7"/>
        <v>23.80952380952381</v>
      </c>
      <c r="H35" s="437">
        <v>10</v>
      </c>
      <c r="I35" s="28">
        <v>1</v>
      </c>
      <c r="J35" s="438">
        <f t="shared" si="4"/>
        <v>0.42</v>
      </c>
      <c r="K35" s="436">
        <v>1</v>
      </c>
      <c r="L35" s="267">
        <f t="shared" si="1"/>
        <v>0.42</v>
      </c>
      <c r="M35" s="433">
        <f t="shared" si="5"/>
        <v>73.92</v>
      </c>
      <c r="N35" s="434">
        <v>176</v>
      </c>
      <c r="O35" s="435">
        <f t="shared" si="6"/>
        <v>0.42</v>
      </c>
      <c r="P35" s="268" t="s">
        <v>1699</v>
      </c>
    </row>
    <row r="36" spans="1:16" ht="15">
      <c r="A36" s="57" t="s">
        <v>514</v>
      </c>
      <c r="B36" s="56" t="s">
        <v>1214</v>
      </c>
      <c r="C36" s="13" t="s">
        <v>1215</v>
      </c>
      <c r="D36" s="13">
        <v>12</v>
      </c>
      <c r="E36" s="13"/>
      <c r="F36" s="13" t="s">
        <v>973</v>
      </c>
      <c r="G36" s="28">
        <v>40</v>
      </c>
      <c r="H36" s="437">
        <v>10</v>
      </c>
      <c r="I36" s="28">
        <v>1</v>
      </c>
      <c r="J36" s="438">
        <f t="shared" si="4"/>
        <v>0.25</v>
      </c>
      <c r="K36" s="439">
        <f>825*3.1415/1000</f>
        <v>2.5917375000000002</v>
      </c>
      <c r="L36" s="267">
        <f t="shared" si="1"/>
        <v>0.64793437500000006</v>
      </c>
      <c r="M36" s="433">
        <f t="shared" si="5"/>
        <v>114.03645000000002</v>
      </c>
      <c r="N36" s="434">
        <v>176</v>
      </c>
      <c r="O36" s="435">
        <f t="shared" si="6"/>
        <v>0.64793437500000006</v>
      </c>
      <c r="P36" s="268" t="s">
        <v>1699</v>
      </c>
    </row>
    <row r="37" spans="1:16" ht="15">
      <c r="A37" s="57" t="s">
        <v>432</v>
      </c>
      <c r="B37" s="56" t="s">
        <v>433</v>
      </c>
      <c r="C37" s="13" t="s">
        <v>39</v>
      </c>
      <c r="D37" s="13">
        <v>12</v>
      </c>
      <c r="E37" s="13"/>
      <c r="F37" s="4" t="s">
        <v>170</v>
      </c>
      <c r="G37" s="28">
        <v>7.63</v>
      </c>
      <c r="H37" s="437">
        <v>10</v>
      </c>
      <c r="I37" s="28">
        <v>2</v>
      </c>
      <c r="J37" s="438">
        <f t="shared" si="4"/>
        <v>2.6212319790301444</v>
      </c>
      <c r="K37" s="28">
        <v>1</v>
      </c>
      <c r="L37" s="267">
        <f t="shared" si="1"/>
        <v>2.6212319790301444</v>
      </c>
      <c r="M37" s="433">
        <f t="shared" si="5"/>
        <v>524.24639580602889</v>
      </c>
      <c r="N37" s="434">
        <v>200</v>
      </c>
      <c r="O37" s="435">
        <f t="shared" si="6"/>
        <v>1.3106159895150722</v>
      </c>
      <c r="P37" s="268" t="s">
        <v>1738</v>
      </c>
    </row>
    <row r="38" spans="1:16" ht="15">
      <c r="A38" s="650" t="s">
        <v>169</v>
      </c>
      <c r="B38" s="638" t="s">
        <v>435</v>
      </c>
      <c r="C38" s="13" t="s">
        <v>976</v>
      </c>
      <c r="D38" s="13">
        <v>11</v>
      </c>
      <c r="E38" s="13"/>
      <c r="F38" s="13" t="s">
        <v>10</v>
      </c>
      <c r="G38" s="28">
        <v>40</v>
      </c>
      <c r="H38" s="437">
        <v>10</v>
      </c>
      <c r="I38" s="28">
        <v>1</v>
      </c>
      <c r="J38" s="438">
        <f t="shared" si="4"/>
        <v>0.25</v>
      </c>
      <c r="K38" s="436">
        <f>720/1000*3.1415</f>
        <v>2.2618800000000001</v>
      </c>
      <c r="L38" s="267">
        <f t="shared" si="1"/>
        <v>0.56547000000000003</v>
      </c>
      <c r="M38" s="433">
        <f t="shared" si="5"/>
        <v>113.09400000000001</v>
      </c>
      <c r="N38" s="434">
        <v>200</v>
      </c>
      <c r="O38" s="435">
        <f t="shared" si="6"/>
        <v>0.56547000000000003</v>
      </c>
      <c r="P38" s="268" t="s">
        <v>1738</v>
      </c>
    </row>
    <row r="39" spans="1:16" ht="15">
      <c r="A39" s="650"/>
      <c r="B39" s="638"/>
      <c r="C39" s="13" t="s">
        <v>977</v>
      </c>
      <c r="D39" s="13">
        <v>11</v>
      </c>
      <c r="E39" s="13" t="s">
        <v>44</v>
      </c>
      <c r="F39" s="13" t="s">
        <v>10</v>
      </c>
      <c r="G39" s="28">
        <v>27</v>
      </c>
      <c r="H39" s="437">
        <v>10</v>
      </c>
      <c r="I39" s="28">
        <v>1</v>
      </c>
      <c r="J39" s="438">
        <f t="shared" si="4"/>
        <v>0.37037037037037035</v>
      </c>
      <c r="K39" s="436">
        <f>720/1000*3.1415</f>
        <v>2.2618800000000001</v>
      </c>
      <c r="L39" s="267">
        <f t="shared" si="1"/>
        <v>0.83773333333333333</v>
      </c>
      <c r="M39" s="433">
        <f t="shared" si="5"/>
        <v>167.54666666666665</v>
      </c>
      <c r="N39" s="434">
        <v>200</v>
      </c>
      <c r="O39" s="435">
        <f t="shared" si="6"/>
        <v>0.83773333333333333</v>
      </c>
      <c r="P39" s="268" t="s">
        <v>1738</v>
      </c>
    </row>
    <row r="40" spans="1:16" ht="15">
      <c r="A40" s="637" t="s">
        <v>172</v>
      </c>
      <c r="B40" s="638" t="s">
        <v>121</v>
      </c>
      <c r="C40" s="13" t="s">
        <v>24</v>
      </c>
      <c r="D40" s="13">
        <v>12</v>
      </c>
      <c r="E40" s="13"/>
      <c r="F40" s="4" t="s">
        <v>173</v>
      </c>
      <c r="G40" s="436">
        <v>14.877777777777778</v>
      </c>
      <c r="H40" s="437">
        <v>10</v>
      </c>
      <c r="I40" s="28">
        <v>2</v>
      </c>
      <c r="J40" s="438">
        <f t="shared" si="4"/>
        <v>1.344286781179985</v>
      </c>
      <c r="K40" s="28">
        <v>1</v>
      </c>
      <c r="L40" s="267">
        <f t="shared" si="1"/>
        <v>1.344286781179985</v>
      </c>
      <c r="M40" s="433">
        <f t="shared" si="5"/>
        <v>268.85735623599703</v>
      </c>
      <c r="N40" s="434">
        <v>200</v>
      </c>
      <c r="O40" s="435">
        <f t="shared" si="6"/>
        <v>0.67214339058999251</v>
      </c>
      <c r="P40" s="268" t="s">
        <v>1738</v>
      </c>
    </row>
    <row r="41" spans="1:16" ht="15">
      <c r="A41" s="637"/>
      <c r="B41" s="638"/>
      <c r="C41" s="13" t="s">
        <v>25</v>
      </c>
      <c r="D41" s="13">
        <v>12</v>
      </c>
      <c r="E41" s="13" t="s">
        <v>122</v>
      </c>
      <c r="F41" s="4" t="s">
        <v>10</v>
      </c>
      <c r="G41" s="28">
        <v>40</v>
      </c>
      <c r="H41" s="437">
        <v>10</v>
      </c>
      <c r="I41" s="28">
        <v>1</v>
      </c>
      <c r="J41" s="438">
        <f t="shared" si="4"/>
        <v>0.25</v>
      </c>
      <c r="K41" s="436">
        <f>(820*3.1415)*2/1000</f>
        <v>5.1520600000000005</v>
      </c>
      <c r="L41" s="435">
        <f t="shared" si="1"/>
        <v>1.2880150000000001</v>
      </c>
      <c r="M41" s="266">
        <f t="shared" si="5"/>
        <v>257.60300000000001</v>
      </c>
      <c r="N41" s="433">
        <v>200</v>
      </c>
      <c r="O41" s="435">
        <f t="shared" si="6"/>
        <v>1.2880150000000001</v>
      </c>
      <c r="P41" s="268" t="s">
        <v>1738</v>
      </c>
    </row>
    <row r="42" spans="1:16" ht="15">
      <c r="A42" s="637"/>
      <c r="B42" s="638"/>
      <c r="C42" s="13" t="s">
        <v>981</v>
      </c>
      <c r="D42" s="13">
        <v>12</v>
      </c>
      <c r="E42" s="13"/>
      <c r="F42" s="4" t="s">
        <v>10</v>
      </c>
      <c r="G42" s="28">
        <v>50</v>
      </c>
      <c r="H42" s="437">
        <v>10</v>
      </c>
      <c r="I42" s="28">
        <v>1</v>
      </c>
      <c r="J42" s="438">
        <f t="shared" si="4"/>
        <v>0.20</v>
      </c>
      <c r="K42" s="436">
        <f>(820*3.1415)/1000</f>
        <v>2.5760300000000003</v>
      </c>
      <c r="L42" s="435">
        <f t="shared" si="1"/>
        <v>0.51520600000000005</v>
      </c>
      <c r="M42" s="266">
        <f t="shared" si="5"/>
        <v>78.311312000000015</v>
      </c>
      <c r="N42" s="433">
        <v>152</v>
      </c>
      <c r="O42" s="435">
        <f t="shared" si="6"/>
        <v>0.51520600000000005</v>
      </c>
      <c r="P42" s="268" t="s">
        <v>1738</v>
      </c>
    </row>
    <row r="43" spans="1:16" ht="15">
      <c r="A43" s="637"/>
      <c r="B43" s="638"/>
      <c r="C43" s="13" t="s">
        <v>1015</v>
      </c>
      <c r="D43" s="13">
        <v>12</v>
      </c>
      <c r="E43" s="13"/>
      <c r="F43" s="4" t="s">
        <v>10</v>
      </c>
      <c r="G43" s="28">
        <v>25</v>
      </c>
      <c r="H43" s="437">
        <v>10</v>
      </c>
      <c r="I43" s="28">
        <v>1</v>
      </c>
      <c r="J43" s="438">
        <f t="shared" si="4"/>
        <v>0.40</v>
      </c>
      <c r="K43" s="436">
        <f>(820*3.1415)/1000</f>
        <v>2.5760300000000003</v>
      </c>
      <c r="L43" s="435">
        <f t="shared" si="1"/>
        <v>1.0304120000000001</v>
      </c>
      <c r="M43" s="266">
        <f t="shared" si="5"/>
        <v>181.35251200000002</v>
      </c>
      <c r="N43" s="433">
        <v>176</v>
      </c>
      <c r="O43" s="435">
        <f t="shared" si="6"/>
        <v>1.0304120000000001</v>
      </c>
      <c r="P43" s="268" t="s">
        <v>1738</v>
      </c>
    </row>
    <row r="44" spans="1:16" ht="15">
      <c r="A44" s="57" t="s">
        <v>629</v>
      </c>
      <c r="B44" s="56" t="s">
        <v>1216</v>
      </c>
      <c r="C44" s="13" t="s">
        <v>862</v>
      </c>
      <c r="D44" s="13">
        <v>224</v>
      </c>
      <c r="E44" s="13"/>
      <c r="F44" s="17"/>
      <c r="G44" s="28">
        <f>(600-25)/10</f>
        <v>57.50</v>
      </c>
      <c r="H44" s="440">
        <v>10</v>
      </c>
      <c r="I44" s="28">
        <v>2</v>
      </c>
      <c r="J44" s="441">
        <f t="shared" si="4"/>
        <v>0.34782608695652173</v>
      </c>
      <c r="K44" s="28">
        <v>1</v>
      </c>
      <c r="L44" s="267">
        <f t="shared" si="1"/>
        <v>0.34782608695652173</v>
      </c>
      <c r="M44" s="433">
        <f t="shared" si="5"/>
        <v>69.565217391304344</v>
      </c>
      <c r="N44" s="434">
        <v>200</v>
      </c>
      <c r="O44" s="435">
        <f t="shared" si="6"/>
        <v>0.17391304347826086</v>
      </c>
      <c r="P44" s="268" t="s">
        <v>1700</v>
      </c>
    </row>
    <row r="45" spans="1:16" ht="15">
      <c r="A45" s="57" t="s">
        <v>1285</v>
      </c>
      <c r="B45" s="56" t="s">
        <v>1457</v>
      </c>
      <c r="C45" s="13" t="s">
        <v>1321</v>
      </c>
      <c r="D45" s="13">
        <v>11</v>
      </c>
      <c r="E45" s="13"/>
      <c r="F45" s="13" t="s">
        <v>353</v>
      </c>
      <c r="G45" s="442">
        <v>18</v>
      </c>
      <c r="H45" s="440">
        <v>10</v>
      </c>
      <c r="I45" s="28">
        <v>1</v>
      </c>
      <c r="J45" s="441">
        <f t="shared" si="4"/>
        <v>0.55555555555555558</v>
      </c>
      <c r="K45" s="432">
        <v>1</v>
      </c>
      <c r="L45" s="435">
        <f t="shared" si="1"/>
        <v>0.55555555555555558</v>
      </c>
      <c r="M45" s="266">
        <f t="shared" si="5"/>
        <v>111.11111111111111</v>
      </c>
      <c r="N45" s="433">
        <v>200</v>
      </c>
      <c r="O45" s="435">
        <f t="shared" si="6"/>
        <v>0.55555555555555558</v>
      </c>
      <c r="P45" s="268" t="s">
        <v>1701</v>
      </c>
    </row>
    <row r="46" spans="1:16" ht="15">
      <c r="A46" s="57" t="s">
        <v>648</v>
      </c>
      <c r="B46" s="567" t="s">
        <v>1458</v>
      </c>
      <c r="C46" s="13" t="s">
        <v>1322</v>
      </c>
      <c r="D46" s="13">
        <v>11</v>
      </c>
      <c r="E46" s="13"/>
      <c r="F46" s="13" t="s">
        <v>10</v>
      </c>
      <c r="G46" s="28">
        <v>40</v>
      </c>
      <c r="H46" s="440">
        <v>10</v>
      </c>
      <c r="I46" s="28">
        <v>1</v>
      </c>
      <c r="J46" s="453">
        <f t="shared" si="4"/>
        <v>0.25</v>
      </c>
      <c r="K46" s="436">
        <f>202*2/1000</f>
        <v>0.40400000000000003</v>
      </c>
      <c r="L46" s="267">
        <f t="shared" si="1"/>
        <v>0.10100000000000001</v>
      </c>
      <c r="M46" s="433">
        <f t="shared" si="5"/>
        <v>20.200000000000003</v>
      </c>
      <c r="N46" s="434">
        <v>200</v>
      </c>
      <c r="O46" s="435">
        <f t="shared" si="6"/>
        <v>0.10100000000000001</v>
      </c>
      <c r="P46" s="268" t="s">
        <v>1701</v>
      </c>
    </row>
    <row r="47" spans="1:16" ht="15">
      <c r="A47" s="57" t="s">
        <v>1288</v>
      </c>
      <c r="B47" s="56" t="s">
        <v>1459</v>
      </c>
      <c r="C47" s="13" t="s">
        <v>1321</v>
      </c>
      <c r="D47" s="13">
        <v>11</v>
      </c>
      <c r="E47" s="13"/>
      <c r="F47" s="13" t="s">
        <v>353</v>
      </c>
      <c r="G47" s="442">
        <f>18/0.65</f>
        <v>27.69230769230769</v>
      </c>
      <c r="H47" s="440">
        <v>10</v>
      </c>
      <c r="I47" s="28">
        <v>1</v>
      </c>
      <c r="J47" s="441">
        <f t="shared" si="4"/>
        <v>0.36111111111111116</v>
      </c>
      <c r="K47" s="432">
        <v>1</v>
      </c>
      <c r="L47" s="435">
        <f t="shared" si="1"/>
        <v>0.36111111111111116</v>
      </c>
      <c r="M47" s="266">
        <f t="shared" si="5"/>
        <v>72.222222222222229</v>
      </c>
      <c r="N47" s="433">
        <v>200</v>
      </c>
      <c r="O47" s="435">
        <f t="shared" si="6"/>
        <v>0.36111111111111116</v>
      </c>
      <c r="P47" s="268" t="s">
        <v>1701</v>
      </c>
    </row>
    <row r="48" spans="1:16" ht="15">
      <c r="A48" s="57" t="s">
        <v>176</v>
      </c>
      <c r="B48" s="56" t="s">
        <v>1470</v>
      </c>
      <c r="C48" s="13" t="s">
        <v>154</v>
      </c>
      <c r="D48" s="13">
        <v>16</v>
      </c>
      <c r="E48" s="13"/>
      <c r="F48" s="13" t="s">
        <v>354</v>
      </c>
      <c r="G48" s="442">
        <v>13</v>
      </c>
      <c r="H48" s="440">
        <v>10</v>
      </c>
      <c r="I48" s="28">
        <v>1</v>
      </c>
      <c r="J48" s="441">
        <f t="shared" si="4"/>
        <v>0.76923076923076927</v>
      </c>
      <c r="K48" s="432">
        <v>1</v>
      </c>
      <c r="L48" s="267">
        <f t="shared" si="1"/>
        <v>0.76923076923076927</v>
      </c>
      <c r="M48" s="433">
        <f t="shared" si="5"/>
        <v>153.84615384615387</v>
      </c>
      <c r="N48" s="434">
        <v>200</v>
      </c>
      <c r="O48" s="435">
        <f t="shared" si="6"/>
        <v>0.76923076923076927</v>
      </c>
      <c r="P48" s="268" t="s">
        <v>1702</v>
      </c>
    </row>
    <row r="49" spans="1:16" ht="30">
      <c r="A49" s="57" t="s">
        <v>1289</v>
      </c>
      <c r="B49" s="56" t="s">
        <v>1471</v>
      </c>
      <c r="C49" s="13" t="s">
        <v>24</v>
      </c>
      <c r="D49" s="13">
        <v>14</v>
      </c>
      <c r="E49" s="13"/>
      <c r="F49" s="4" t="s">
        <v>38</v>
      </c>
      <c r="G49" s="442">
        <v>20</v>
      </c>
      <c r="H49" s="440">
        <v>10</v>
      </c>
      <c r="I49" s="28">
        <v>2</v>
      </c>
      <c r="J49" s="441">
        <f t="shared" si="4"/>
        <v>1</v>
      </c>
      <c r="K49" s="28">
        <v>1</v>
      </c>
      <c r="L49" s="267">
        <f t="shared" si="1"/>
        <v>1</v>
      </c>
      <c r="M49" s="433">
        <f t="shared" si="5"/>
        <v>200</v>
      </c>
      <c r="N49" s="434">
        <v>200</v>
      </c>
      <c r="O49" s="435">
        <f t="shared" si="6"/>
        <v>0.50</v>
      </c>
      <c r="P49" s="268" t="s">
        <v>1738</v>
      </c>
    </row>
    <row r="50" spans="1:16" ht="30">
      <c r="A50" s="57" t="s">
        <v>1291</v>
      </c>
      <c r="B50" s="56" t="s">
        <v>1460</v>
      </c>
      <c r="C50" s="13" t="s">
        <v>24</v>
      </c>
      <c r="D50" s="13">
        <v>12</v>
      </c>
      <c r="E50" s="13"/>
      <c r="F50" s="4" t="s">
        <v>38</v>
      </c>
      <c r="G50" s="442">
        <v>20</v>
      </c>
      <c r="H50" s="440">
        <v>10</v>
      </c>
      <c r="I50" s="28">
        <v>2</v>
      </c>
      <c r="J50" s="441">
        <f t="shared" si="4"/>
        <v>1</v>
      </c>
      <c r="K50" s="28">
        <v>1</v>
      </c>
      <c r="L50" s="267">
        <f t="shared" si="1"/>
        <v>1</v>
      </c>
      <c r="M50" s="433">
        <f t="shared" si="5"/>
        <v>200</v>
      </c>
      <c r="N50" s="434">
        <v>200</v>
      </c>
      <c r="O50" s="435">
        <f t="shared" si="6"/>
        <v>0.50</v>
      </c>
      <c r="P50" s="268" t="s">
        <v>1733</v>
      </c>
    </row>
    <row r="51" spans="1:16" ht="30">
      <c r="A51" s="13" t="s">
        <v>177</v>
      </c>
      <c r="B51" s="56" t="s">
        <v>1461</v>
      </c>
      <c r="C51" s="13" t="s">
        <v>160</v>
      </c>
      <c r="D51" s="13">
        <v>12</v>
      </c>
      <c r="E51" s="13" t="s">
        <v>869</v>
      </c>
      <c r="F51" s="13" t="s">
        <v>10</v>
      </c>
      <c r="G51" s="28">
        <v>40</v>
      </c>
      <c r="H51" s="440">
        <v>10</v>
      </c>
      <c r="I51" s="28">
        <v>1</v>
      </c>
      <c r="J51" s="441">
        <f t="shared" si="4"/>
        <v>0.25</v>
      </c>
      <c r="K51" s="436">
        <f>650*3.1415*2/1000</f>
        <v>4.0839500000000006</v>
      </c>
      <c r="L51" s="267">
        <f t="shared" si="1"/>
        <v>1.0209875000000002</v>
      </c>
      <c r="M51" s="433">
        <f t="shared" si="5"/>
        <v>204.19750000000002</v>
      </c>
      <c r="N51" s="434">
        <v>200</v>
      </c>
      <c r="O51" s="435">
        <f t="shared" si="6"/>
        <v>1.0209875000000002</v>
      </c>
      <c r="P51" s="268" t="s">
        <v>1733</v>
      </c>
    </row>
    <row r="52" spans="1:15" ht="15">
      <c r="A52" s="39"/>
      <c r="B52" s="649" t="s">
        <v>131</v>
      </c>
      <c r="C52" s="649"/>
      <c r="D52" s="649"/>
      <c r="E52" s="649"/>
      <c r="F52" s="649"/>
      <c r="G52" s="649"/>
      <c r="H52" s="649"/>
      <c r="I52" s="649"/>
      <c r="J52" s="649"/>
      <c r="K52" s="649"/>
      <c r="L52" s="267"/>
      <c r="M52" s="262">
        <f>SUM(M53:M68)</f>
        <v>3885.2408871321918</v>
      </c>
      <c r="N52" s="263"/>
      <c r="O52" s="264">
        <f>SUM(O53:O68)</f>
        <v>14.585624725516032</v>
      </c>
    </row>
    <row r="53" spans="1:16" ht="15" customHeight="1">
      <c r="A53" s="650" t="s">
        <v>651</v>
      </c>
      <c r="B53" s="638" t="s">
        <v>1051</v>
      </c>
      <c r="C53" s="13" t="s">
        <v>1052</v>
      </c>
      <c r="D53" s="13">
        <v>11</v>
      </c>
      <c r="E53" s="13"/>
      <c r="F53" s="13" t="s">
        <v>1053</v>
      </c>
      <c r="G53" s="442">
        <v>20</v>
      </c>
      <c r="H53" s="437">
        <v>10</v>
      </c>
      <c r="I53" s="28">
        <v>2</v>
      </c>
      <c r="J53" s="468">
        <f t="shared" si="8" ref="J53:J68">H53/G53*I53</f>
        <v>1</v>
      </c>
      <c r="K53" s="442">
        <v>1</v>
      </c>
      <c r="L53" s="267">
        <f t="shared" si="9" ref="L53:L68">J53*K53</f>
        <v>1</v>
      </c>
      <c r="M53" s="433">
        <f t="shared" si="10" ref="M53:M68">L53*N53</f>
        <v>200</v>
      </c>
      <c r="N53" s="434">
        <v>200</v>
      </c>
      <c r="O53" s="267">
        <f t="shared" si="11" ref="O53:O68">J53/I53*K53</f>
        <v>0.50</v>
      </c>
      <c r="P53" s="268" t="s">
        <v>1739</v>
      </c>
    </row>
    <row r="54" spans="1:16" ht="15">
      <c r="A54" s="650"/>
      <c r="B54" s="638"/>
      <c r="C54" s="13" t="s">
        <v>1217</v>
      </c>
      <c r="D54" s="13">
        <v>11</v>
      </c>
      <c r="E54" s="13"/>
      <c r="F54" s="13" t="s">
        <v>10</v>
      </c>
      <c r="G54" s="442">
        <v>40</v>
      </c>
      <c r="H54" s="437">
        <v>10</v>
      </c>
      <c r="I54" s="28">
        <v>1</v>
      </c>
      <c r="J54" s="468">
        <f t="shared" si="8"/>
        <v>0.25</v>
      </c>
      <c r="K54" s="442">
        <f>(1884)/1000</f>
        <v>1.8839999999999999</v>
      </c>
      <c r="L54" s="267">
        <f t="shared" si="9"/>
        <v>0.47099999999999997</v>
      </c>
      <c r="M54" s="266">
        <f t="shared" si="10"/>
        <v>94.199999999999989</v>
      </c>
      <c r="N54" s="433">
        <v>200</v>
      </c>
      <c r="O54" s="267">
        <f t="shared" si="11"/>
        <v>0.47099999999999997</v>
      </c>
      <c r="P54" s="268" t="s">
        <v>1739</v>
      </c>
    </row>
    <row r="55" spans="1:16" ht="15">
      <c r="A55" s="650"/>
      <c r="B55" s="638"/>
      <c r="C55" s="13" t="s">
        <v>1218</v>
      </c>
      <c r="D55" s="13">
        <v>11</v>
      </c>
      <c r="E55" s="13" t="s">
        <v>44</v>
      </c>
      <c r="F55" s="13" t="s">
        <v>10</v>
      </c>
      <c r="G55" s="442">
        <v>27</v>
      </c>
      <c r="H55" s="437">
        <v>10</v>
      </c>
      <c r="I55" s="28">
        <v>1</v>
      </c>
      <c r="J55" s="468">
        <f t="shared" si="8"/>
        <v>0.37037037037037035</v>
      </c>
      <c r="K55" s="442">
        <f>(1884)*2/1000+0.2</f>
        <v>3.968</v>
      </c>
      <c r="L55" s="267">
        <f t="shared" si="9"/>
        <v>1.4696296296296296</v>
      </c>
      <c r="M55" s="266">
        <f t="shared" si="10"/>
        <v>293.92592592592592</v>
      </c>
      <c r="N55" s="433">
        <v>200</v>
      </c>
      <c r="O55" s="267">
        <f t="shared" si="11"/>
        <v>1.4696296296296296</v>
      </c>
      <c r="P55" s="268" t="s">
        <v>1739</v>
      </c>
    </row>
    <row r="56" spans="1:16" ht="15">
      <c r="A56" s="650"/>
      <c r="B56" s="638"/>
      <c r="C56" s="13" t="s">
        <v>1052</v>
      </c>
      <c r="D56" s="13">
        <v>11</v>
      </c>
      <c r="E56" s="13"/>
      <c r="F56" s="13" t="s">
        <v>1053</v>
      </c>
      <c r="G56" s="442">
        <v>20</v>
      </c>
      <c r="H56" s="437">
        <v>10</v>
      </c>
      <c r="I56" s="28">
        <v>2</v>
      </c>
      <c r="J56" s="468">
        <f t="shared" si="8"/>
        <v>1</v>
      </c>
      <c r="K56" s="442">
        <v>1</v>
      </c>
      <c r="L56" s="267">
        <f t="shared" si="9"/>
        <v>1</v>
      </c>
      <c r="M56" s="433">
        <f t="shared" si="10"/>
        <v>200</v>
      </c>
      <c r="N56" s="434">
        <v>200</v>
      </c>
      <c r="O56" s="267">
        <f t="shared" si="11"/>
        <v>0.50</v>
      </c>
      <c r="P56" s="268" t="s">
        <v>1739</v>
      </c>
    </row>
    <row r="57" spans="1:16" ht="15">
      <c r="A57" s="650"/>
      <c r="B57" s="638"/>
      <c r="C57" s="13" t="s">
        <v>1219</v>
      </c>
      <c r="D57" s="13">
        <v>11</v>
      </c>
      <c r="E57" s="13"/>
      <c r="F57" s="13" t="s">
        <v>10</v>
      </c>
      <c r="G57" s="442">
        <v>40</v>
      </c>
      <c r="H57" s="437">
        <v>10</v>
      </c>
      <c r="I57" s="28">
        <v>1</v>
      </c>
      <c r="J57" s="468">
        <f t="shared" si="8"/>
        <v>0.25</v>
      </c>
      <c r="K57" s="442">
        <f>(1884)/1000</f>
        <v>1.8839999999999999</v>
      </c>
      <c r="L57" s="267">
        <f t="shared" si="9"/>
        <v>0.47099999999999997</v>
      </c>
      <c r="M57" s="266">
        <f t="shared" si="10"/>
        <v>94.199999999999989</v>
      </c>
      <c r="N57" s="433">
        <v>200</v>
      </c>
      <c r="O57" s="267">
        <f t="shared" si="11"/>
        <v>0.47099999999999997</v>
      </c>
      <c r="P57" s="268" t="s">
        <v>1739</v>
      </c>
    </row>
    <row r="58" spans="1:16" ht="15">
      <c r="A58" s="650"/>
      <c r="B58" s="638"/>
      <c r="C58" s="13" t="s">
        <v>1220</v>
      </c>
      <c r="D58" s="13">
        <v>11</v>
      </c>
      <c r="E58" s="13" t="s">
        <v>44</v>
      </c>
      <c r="F58" s="13" t="s">
        <v>10</v>
      </c>
      <c r="G58" s="442">
        <v>27</v>
      </c>
      <c r="H58" s="437">
        <v>10</v>
      </c>
      <c r="I58" s="28">
        <v>1</v>
      </c>
      <c r="J58" s="468">
        <f t="shared" si="8"/>
        <v>0.37037037037037035</v>
      </c>
      <c r="K58" s="442">
        <f>(1884)*2/1000+0.2</f>
        <v>3.968</v>
      </c>
      <c r="L58" s="267">
        <f t="shared" si="9"/>
        <v>1.4696296296296296</v>
      </c>
      <c r="M58" s="266">
        <f t="shared" si="10"/>
        <v>293.92592592592592</v>
      </c>
      <c r="N58" s="433">
        <v>200</v>
      </c>
      <c r="O58" s="267">
        <f t="shared" si="11"/>
        <v>1.4696296296296296</v>
      </c>
      <c r="P58" s="268" t="s">
        <v>1739</v>
      </c>
    </row>
    <row r="59" spans="1:16" ht="15">
      <c r="A59" s="57" t="s">
        <v>182</v>
      </c>
      <c r="B59" s="27" t="s">
        <v>183</v>
      </c>
      <c r="C59" s="13" t="s">
        <v>1221</v>
      </c>
      <c r="D59" s="13">
        <v>11</v>
      </c>
      <c r="E59" s="13"/>
      <c r="F59" s="13" t="s">
        <v>353</v>
      </c>
      <c r="G59" s="436">
        <v>11.50</v>
      </c>
      <c r="H59" s="440">
        <v>10</v>
      </c>
      <c r="I59" s="28">
        <v>1</v>
      </c>
      <c r="J59" s="441">
        <f t="shared" si="8"/>
        <v>0.86956521739130432</v>
      </c>
      <c r="K59" s="432">
        <v>1</v>
      </c>
      <c r="L59" s="435">
        <f t="shared" si="9"/>
        <v>0.86956521739130432</v>
      </c>
      <c r="M59" s="266">
        <f t="shared" si="10"/>
        <v>173.91304347826087</v>
      </c>
      <c r="N59" s="433">
        <v>200</v>
      </c>
      <c r="O59" s="435">
        <f t="shared" si="11"/>
        <v>0.86956521739130432</v>
      </c>
      <c r="P59" s="268" t="s">
        <v>1739</v>
      </c>
    </row>
    <row r="60" spans="1:16" ht="30">
      <c r="A60" s="57" t="s">
        <v>185</v>
      </c>
      <c r="B60" s="56" t="s">
        <v>186</v>
      </c>
      <c r="C60" s="13" t="s">
        <v>187</v>
      </c>
      <c r="D60" s="13">
        <v>11</v>
      </c>
      <c r="E60" s="13"/>
      <c r="F60" s="13" t="s">
        <v>522</v>
      </c>
      <c r="G60" s="28">
        <v>55</v>
      </c>
      <c r="H60" s="440">
        <v>10</v>
      </c>
      <c r="I60" s="28">
        <v>1</v>
      </c>
      <c r="J60" s="441">
        <f t="shared" si="8"/>
        <v>0.18181818181818182</v>
      </c>
      <c r="K60" s="432">
        <v>5</v>
      </c>
      <c r="L60" s="435">
        <f t="shared" si="9"/>
        <v>0.90909090909090917</v>
      </c>
      <c r="M60" s="266">
        <f t="shared" si="10"/>
        <v>181.81818181818184</v>
      </c>
      <c r="N60" s="433">
        <v>200</v>
      </c>
      <c r="O60" s="435">
        <f t="shared" si="11"/>
        <v>0.90909090909090917</v>
      </c>
      <c r="P60" s="268" t="s">
        <v>1726</v>
      </c>
    </row>
    <row r="61" spans="1:16" ht="15">
      <c r="A61" s="650" t="s">
        <v>188</v>
      </c>
      <c r="B61" s="656" t="s">
        <v>438</v>
      </c>
      <c r="C61" s="13" t="s">
        <v>1222</v>
      </c>
      <c r="D61" s="13">
        <v>11</v>
      </c>
      <c r="E61" s="637" t="s">
        <v>44</v>
      </c>
      <c r="F61" s="13" t="s">
        <v>10</v>
      </c>
      <c r="G61" s="28">
        <v>40</v>
      </c>
      <c r="H61" s="437">
        <v>10</v>
      </c>
      <c r="I61" s="28">
        <v>1</v>
      </c>
      <c r="J61" s="468">
        <f t="shared" si="8"/>
        <v>0.25</v>
      </c>
      <c r="K61" s="30">
        <f>(1884)/1000</f>
        <v>1.8839999999999999</v>
      </c>
      <c r="L61" s="435">
        <f t="shared" si="9"/>
        <v>0.47099999999999997</v>
      </c>
      <c r="M61" s="266">
        <f t="shared" si="10"/>
        <v>94.199999999999989</v>
      </c>
      <c r="N61" s="433">
        <v>200</v>
      </c>
      <c r="O61" s="267">
        <f t="shared" si="11"/>
        <v>0.47099999999999997</v>
      </c>
      <c r="P61" s="268" t="s">
        <v>1739</v>
      </c>
    </row>
    <row r="62" spans="1:16" ht="15">
      <c r="A62" s="650"/>
      <c r="B62" s="656"/>
      <c r="C62" s="13" t="s">
        <v>1223</v>
      </c>
      <c r="D62" s="13">
        <v>11</v>
      </c>
      <c r="E62" s="637"/>
      <c r="F62" s="13" t="s">
        <v>10</v>
      </c>
      <c r="G62" s="28">
        <v>27</v>
      </c>
      <c r="H62" s="437">
        <v>10</v>
      </c>
      <c r="I62" s="28">
        <v>1</v>
      </c>
      <c r="J62" s="468">
        <f t="shared" si="8"/>
        <v>0.37037037037037035</v>
      </c>
      <c r="K62" s="436">
        <f>(1884*2)/1000+0.2</f>
        <v>3.968</v>
      </c>
      <c r="L62" s="435">
        <f t="shared" si="9"/>
        <v>1.4696296296296296</v>
      </c>
      <c r="M62" s="266">
        <f t="shared" si="10"/>
        <v>293.92592592592592</v>
      </c>
      <c r="N62" s="433">
        <v>200</v>
      </c>
      <c r="O62" s="267">
        <f t="shared" si="11"/>
        <v>1.4696296296296296</v>
      </c>
      <c r="P62" s="268" t="s">
        <v>1739</v>
      </c>
    </row>
    <row r="63" spans="1:16" s="0" customFormat="1" ht="15">
      <c r="A63" s="57" t="s">
        <v>348</v>
      </c>
      <c r="B63" s="56" t="s">
        <v>1007</v>
      </c>
      <c r="C63" s="17" t="s">
        <v>523</v>
      </c>
      <c r="D63" s="17">
        <v>224</v>
      </c>
      <c r="E63" s="13"/>
      <c r="F63" s="17"/>
      <c r="G63" s="16">
        <v>60</v>
      </c>
      <c r="H63" s="18">
        <v>10</v>
      </c>
      <c r="I63" s="16">
        <v>1</v>
      </c>
      <c r="J63" s="20">
        <f t="shared" si="8"/>
        <v>0.16666666666666666</v>
      </c>
      <c r="K63" s="30">
        <v>3</v>
      </c>
      <c r="L63" s="8">
        <f t="shared" si="9"/>
        <v>0.50</v>
      </c>
      <c r="M63" s="42">
        <f t="shared" si="10"/>
        <v>100</v>
      </c>
      <c r="N63" s="43">
        <v>200</v>
      </c>
      <c r="O63" s="8">
        <f t="shared" si="11"/>
        <v>0.50</v>
      </c>
      <c r="P63" t="s">
        <v>1727</v>
      </c>
    </row>
    <row r="64" spans="1:16" ht="15">
      <c r="A64" s="57" t="s">
        <v>325</v>
      </c>
      <c r="B64" s="56" t="s">
        <v>327</v>
      </c>
      <c r="C64" s="13" t="s">
        <v>326</v>
      </c>
      <c r="D64" s="13">
        <v>12</v>
      </c>
      <c r="E64" s="13"/>
      <c r="F64" s="13" t="s">
        <v>513</v>
      </c>
      <c r="G64" s="28">
        <v>15</v>
      </c>
      <c r="H64" s="440">
        <v>10</v>
      </c>
      <c r="I64" s="28">
        <v>2</v>
      </c>
      <c r="J64" s="441">
        <f t="shared" si="8"/>
        <v>1.3333333333333333</v>
      </c>
      <c r="K64" s="432">
        <v>1</v>
      </c>
      <c r="L64" s="435">
        <f t="shared" si="9"/>
        <v>1.3333333333333333</v>
      </c>
      <c r="M64" s="266">
        <f t="shared" si="10"/>
        <v>266.66666666666663</v>
      </c>
      <c r="N64" s="433">
        <v>200</v>
      </c>
      <c r="O64" s="435">
        <f t="shared" si="11"/>
        <v>0.66666666666666663</v>
      </c>
      <c r="P64" s="268" t="s">
        <v>1703</v>
      </c>
    </row>
    <row r="65" spans="1:16" s="0" customFormat="1" ht="15">
      <c r="A65" s="637" t="s">
        <v>197</v>
      </c>
      <c r="B65" s="638" t="s">
        <v>110</v>
      </c>
      <c r="C65" s="13" t="s">
        <v>47</v>
      </c>
      <c r="D65" s="13">
        <v>12</v>
      </c>
      <c r="E65" s="13"/>
      <c r="F65" s="25" t="s">
        <v>111</v>
      </c>
      <c r="G65" s="16">
        <v>5</v>
      </c>
      <c r="H65" s="252">
        <v>10</v>
      </c>
      <c r="I65" s="16">
        <v>2</v>
      </c>
      <c r="J65" s="253">
        <f t="shared" si="8"/>
        <v>4</v>
      </c>
      <c r="K65" s="16">
        <v>1</v>
      </c>
      <c r="L65" s="26">
        <f t="shared" si="9"/>
        <v>4</v>
      </c>
      <c r="M65" s="43">
        <f t="shared" si="10"/>
        <v>800</v>
      </c>
      <c r="N65" s="46">
        <v>200</v>
      </c>
      <c r="O65" s="8">
        <f t="shared" si="11"/>
        <v>2</v>
      </c>
      <c r="P65" t="s">
        <v>1704</v>
      </c>
    </row>
    <row r="66" spans="1:16" s="0" customFormat="1" ht="30">
      <c r="A66" s="637"/>
      <c r="B66" s="638"/>
      <c r="C66" s="13" t="s">
        <v>48</v>
      </c>
      <c r="D66" s="13">
        <v>12</v>
      </c>
      <c r="E66" s="4" t="s">
        <v>520</v>
      </c>
      <c r="F66" s="17" t="s">
        <v>10</v>
      </c>
      <c r="G66" s="16">
        <v>40</v>
      </c>
      <c r="H66" s="252">
        <v>10</v>
      </c>
      <c r="I66" s="16">
        <v>1</v>
      </c>
      <c r="J66" s="253">
        <f t="shared" si="8"/>
        <v>0.25</v>
      </c>
      <c r="K66" s="30">
        <f>((1744*2+318*2)+(818*2)+(818))/1000</f>
        <v>6.5780000000000003</v>
      </c>
      <c r="L66" s="26">
        <f t="shared" si="9"/>
        <v>1.6445000000000001</v>
      </c>
      <c r="M66" s="43">
        <f t="shared" si="10"/>
        <v>328.90</v>
      </c>
      <c r="N66" s="46">
        <v>200</v>
      </c>
      <c r="O66" s="8">
        <f t="shared" si="11"/>
        <v>1.6445000000000001</v>
      </c>
      <c r="P66" t="s">
        <v>1704</v>
      </c>
    </row>
    <row r="67" spans="1:16" ht="15">
      <c r="A67" s="13" t="s">
        <v>888</v>
      </c>
      <c r="B67" s="56" t="s">
        <v>1405</v>
      </c>
      <c r="C67" s="13" t="s">
        <v>862</v>
      </c>
      <c r="D67" s="13">
        <v>224</v>
      </c>
      <c r="E67" s="13"/>
      <c r="F67" s="17"/>
      <c r="G67" s="28">
        <f>(600-25)/10</f>
        <v>57.50</v>
      </c>
      <c r="H67" s="440">
        <v>10</v>
      </c>
      <c r="I67" s="28">
        <v>2</v>
      </c>
      <c r="J67" s="441">
        <f t="shared" si="8"/>
        <v>0.34782608695652173</v>
      </c>
      <c r="K67" s="28">
        <v>1</v>
      </c>
      <c r="L67" s="267">
        <f t="shared" si="9"/>
        <v>0.34782608695652173</v>
      </c>
      <c r="M67" s="433">
        <f t="shared" si="10"/>
        <v>69.565217391304344</v>
      </c>
      <c r="N67" s="434">
        <v>200</v>
      </c>
      <c r="O67" s="435">
        <f t="shared" si="11"/>
        <v>0.17391304347826086</v>
      </c>
      <c r="P67" s="268" t="s">
        <v>1705</v>
      </c>
    </row>
    <row r="68" spans="1:16" ht="15">
      <c r="A68" s="13" t="s">
        <v>199</v>
      </c>
      <c r="B68" s="27" t="s">
        <v>890</v>
      </c>
      <c r="C68" s="13" t="s">
        <v>47</v>
      </c>
      <c r="D68" s="13">
        <v>12</v>
      </c>
      <c r="E68" s="13"/>
      <c r="F68" s="4" t="s">
        <v>870</v>
      </c>
      <c r="G68" s="28">
        <v>10</v>
      </c>
      <c r="H68" s="440">
        <v>10</v>
      </c>
      <c r="I68" s="28">
        <v>2</v>
      </c>
      <c r="J68" s="441">
        <f t="shared" si="8"/>
        <v>2</v>
      </c>
      <c r="K68" s="28">
        <v>1</v>
      </c>
      <c r="L68" s="267">
        <f t="shared" si="9"/>
        <v>2</v>
      </c>
      <c r="M68" s="433">
        <f t="shared" si="10"/>
        <v>400</v>
      </c>
      <c r="N68" s="434">
        <v>200</v>
      </c>
      <c r="O68" s="435">
        <f t="shared" si="11"/>
        <v>1</v>
      </c>
      <c r="P68" s="268" t="s">
        <v>1706</v>
      </c>
    </row>
    <row r="69" spans="1:15" ht="15">
      <c r="A69" s="39"/>
      <c r="B69" s="649" t="s">
        <v>132</v>
      </c>
      <c r="C69" s="649"/>
      <c r="D69" s="649"/>
      <c r="E69" s="649"/>
      <c r="F69" s="649"/>
      <c r="G69" s="649"/>
      <c r="H69" s="649"/>
      <c r="I69" s="649"/>
      <c r="J69" s="649"/>
      <c r="K69" s="649"/>
      <c r="L69" s="267"/>
      <c r="M69" s="262">
        <f>SUM(M70:M81)</f>
        <v>6333.6166613650375</v>
      </c>
      <c r="N69" s="263"/>
      <c r="O69" s="264">
        <f>SUM(O70:O81)</f>
        <v>23.47163868308791</v>
      </c>
    </row>
    <row r="70" spans="1:16" ht="15">
      <c r="A70" s="650" t="s">
        <v>200</v>
      </c>
      <c r="B70" s="638" t="s">
        <v>871</v>
      </c>
      <c r="C70" s="13" t="s">
        <v>1224</v>
      </c>
      <c r="D70" s="13">
        <v>224</v>
      </c>
      <c r="E70" s="13"/>
      <c r="F70" s="13" t="s">
        <v>353</v>
      </c>
      <c r="G70" s="442">
        <f>600/10</f>
        <v>60</v>
      </c>
      <c r="H70" s="440">
        <v>10</v>
      </c>
      <c r="I70" s="28">
        <v>1</v>
      </c>
      <c r="J70" s="441">
        <f t="shared" si="12" ref="J70:J81">H70/G70*I70</f>
        <v>0.16666666666666666</v>
      </c>
      <c r="K70" s="432">
        <v>2</v>
      </c>
      <c r="L70" s="435">
        <f t="shared" si="13" ref="L70:L73">J70*K70</f>
        <v>0.33333333333333331</v>
      </c>
      <c r="M70" s="266">
        <f t="shared" si="14" ref="M70:M81">L70*N70</f>
        <v>66.666666666666657</v>
      </c>
      <c r="N70" s="433">
        <v>200</v>
      </c>
      <c r="O70" s="435">
        <f t="shared" si="15" ref="O70:O81">J70/I70*K70</f>
        <v>0.33333333333333331</v>
      </c>
      <c r="P70" s="268" t="s">
        <v>1740</v>
      </c>
    </row>
    <row r="71" spans="1:16" ht="15">
      <c r="A71" s="650"/>
      <c r="B71" s="638"/>
      <c r="C71" s="13" t="s">
        <v>1225</v>
      </c>
      <c r="D71" s="13">
        <v>224</v>
      </c>
      <c r="E71" s="13"/>
      <c r="F71" s="13" t="s">
        <v>353</v>
      </c>
      <c r="G71" s="442">
        <v>120</v>
      </c>
      <c r="H71" s="440">
        <v>10</v>
      </c>
      <c r="I71" s="28">
        <v>1</v>
      </c>
      <c r="J71" s="441">
        <f t="shared" si="12"/>
        <v>0.083333333333333329</v>
      </c>
      <c r="K71" s="432">
        <v>2</v>
      </c>
      <c r="L71" s="435">
        <f t="shared" si="13"/>
        <v>0.16666666666666666</v>
      </c>
      <c r="M71" s="266">
        <f t="shared" si="14"/>
        <v>33.333333333333329</v>
      </c>
      <c r="N71" s="433">
        <v>200</v>
      </c>
      <c r="O71" s="435">
        <f t="shared" si="15"/>
        <v>0.16666666666666666</v>
      </c>
      <c r="P71" s="268" t="s">
        <v>1741</v>
      </c>
    </row>
    <row r="72" spans="1:16" ht="15">
      <c r="A72" s="650"/>
      <c r="B72" s="638"/>
      <c r="C72" s="13" t="s">
        <v>873</v>
      </c>
      <c r="D72" s="13">
        <v>224</v>
      </c>
      <c r="E72" s="13"/>
      <c r="F72" s="13" t="s">
        <v>353</v>
      </c>
      <c r="G72" s="442">
        <f>600/5</f>
        <v>120</v>
      </c>
      <c r="H72" s="440">
        <v>10</v>
      </c>
      <c r="I72" s="28">
        <v>1</v>
      </c>
      <c r="J72" s="441">
        <f t="shared" si="12"/>
        <v>0.083333333333333329</v>
      </c>
      <c r="K72" s="432">
        <v>2</v>
      </c>
      <c r="L72" s="435">
        <f t="shared" si="13"/>
        <v>0.16666666666666666</v>
      </c>
      <c r="M72" s="266">
        <f t="shared" si="14"/>
        <v>33.333333333333329</v>
      </c>
      <c r="N72" s="433">
        <v>200</v>
      </c>
      <c r="O72" s="435">
        <f t="shared" si="15"/>
        <v>0.16666666666666666</v>
      </c>
      <c r="P72" s="268" t="s">
        <v>1742</v>
      </c>
    </row>
    <row r="73" spans="1:16" ht="15">
      <c r="A73" s="57" t="s">
        <v>662</v>
      </c>
      <c r="B73" s="56" t="s">
        <v>1226</v>
      </c>
      <c r="C73" s="13" t="s">
        <v>862</v>
      </c>
      <c r="D73" s="13">
        <v>224</v>
      </c>
      <c r="E73" s="13"/>
      <c r="F73" s="17"/>
      <c r="G73" s="442">
        <f>(600-25)/8</f>
        <v>71.875</v>
      </c>
      <c r="H73" s="440">
        <v>10</v>
      </c>
      <c r="I73" s="28">
        <v>2</v>
      </c>
      <c r="J73" s="441">
        <f t="shared" si="12"/>
        <v>0.27826086956521739</v>
      </c>
      <c r="K73" s="28">
        <v>1</v>
      </c>
      <c r="L73" s="267">
        <f t="shared" si="13"/>
        <v>0.27826086956521739</v>
      </c>
      <c r="M73" s="433">
        <f t="shared" si="14"/>
        <v>55.652173913043477</v>
      </c>
      <c r="N73" s="434">
        <v>200</v>
      </c>
      <c r="O73" s="435">
        <f t="shared" si="15"/>
        <v>0.1391304347826087</v>
      </c>
      <c r="P73" s="268" t="s">
        <v>1707</v>
      </c>
    </row>
    <row r="74" spans="1:16" ht="15">
      <c r="A74" s="13" t="s">
        <v>205</v>
      </c>
      <c r="B74" s="27" t="s">
        <v>1156</v>
      </c>
      <c r="C74" s="13" t="s">
        <v>138</v>
      </c>
      <c r="D74" s="13">
        <v>14</v>
      </c>
      <c r="E74" s="13"/>
      <c r="F74" s="4" t="s">
        <v>13</v>
      </c>
      <c r="G74" s="442">
        <f>1.379*1.4</f>
        <v>1.9305999999999999</v>
      </c>
      <c r="H74" s="440">
        <v>10</v>
      </c>
      <c r="I74" s="28">
        <v>2</v>
      </c>
      <c r="J74" s="441">
        <f t="shared" si="12"/>
        <v>10.359473738734073</v>
      </c>
      <c r="K74" s="28">
        <v>1</v>
      </c>
      <c r="L74" s="267">
        <f>J74*K74</f>
        <v>10.359473738734073</v>
      </c>
      <c r="M74" s="433">
        <f t="shared" si="14"/>
        <v>2071.8947477468146</v>
      </c>
      <c r="N74" s="434">
        <v>200</v>
      </c>
      <c r="O74" s="435">
        <f t="shared" si="15"/>
        <v>5.1797368693670363</v>
      </c>
      <c r="P74" s="268" t="s">
        <v>1743</v>
      </c>
    </row>
    <row r="75" spans="1:16" ht="15">
      <c r="A75" s="13" t="s">
        <v>877</v>
      </c>
      <c r="B75" s="27" t="s">
        <v>876</v>
      </c>
      <c r="C75" s="13" t="s">
        <v>160</v>
      </c>
      <c r="D75" s="13">
        <v>14</v>
      </c>
      <c r="E75" s="13"/>
      <c r="F75" s="4" t="s">
        <v>13</v>
      </c>
      <c r="G75" s="442">
        <v>40</v>
      </c>
      <c r="H75" s="440">
        <v>10</v>
      </c>
      <c r="I75" s="28">
        <v>1</v>
      </c>
      <c r="J75" s="441">
        <f t="shared" si="12"/>
        <v>0.25</v>
      </c>
      <c r="K75" s="442">
        <f>(3960+3633+3583+1045+16*3.1415*34+377*3.1415+40*3)/1000</f>
        <v>15.2343215</v>
      </c>
      <c r="L75" s="267">
        <f>J75*K75</f>
        <v>3.808580375</v>
      </c>
      <c r="M75" s="433">
        <f t="shared" si="14"/>
        <v>761.71607500000005</v>
      </c>
      <c r="N75" s="434">
        <v>200</v>
      </c>
      <c r="O75" s="435">
        <f t="shared" si="15"/>
        <v>3.808580375</v>
      </c>
      <c r="P75" s="268" t="s">
        <v>1743</v>
      </c>
    </row>
    <row r="76" spans="1:16" ht="15">
      <c r="A76" s="13" t="s">
        <v>206</v>
      </c>
      <c r="B76" s="27" t="s">
        <v>94</v>
      </c>
      <c r="C76" s="13" t="s">
        <v>160</v>
      </c>
      <c r="D76" s="13">
        <v>15</v>
      </c>
      <c r="E76" s="13"/>
      <c r="F76" s="4" t="s">
        <v>13</v>
      </c>
      <c r="G76" s="442">
        <v>40</v>
      </c>
      <c r="H76" s="440">
        <v>10</v>
      </c>
      <c r="I76" s="28">
        <v>1</v>
      </c>
      <c r="J76" s="441">
        <f t="shared" si="12"/>
        <v>0.25</v>
      </c>
      <c r="K76" s="442">
        <f>(3960+120*5+16*3.1415*34+377*3.1415+3633+3778+19*3.1415*2+23*3.1415*3+3583)/1000</f>
        <v>18.783462000000004</v>
      </c>
      <c r="L76" s="267">
        <f>J76*K76</f>
        <v>4.6958655000000009</v>
      </c>
      <c r="M76" s="433">
        <f t="shared" si="14"/>
        <v>939.1731000000002</v>
      </c>
      <c r="N76" s="434">
        <v>200</v>
      </c>
      <c r="O76" s="435">
        <f t="shared" si="15"/>
        <v>4.6958655000000009</v>
      </c>
      <c r="P76" s="268" t="s">
        <v>1743</v>
      </c>
    </row>
    <row r="77" spans="1:16" ht="15">
      <c r="A77" s="13" t="s">
        <v>207</v>
      </c>
      <c r="B77" s="56" t="s">
        <v>55</v>
      </c>
      <c r="C77" s="13" t="s">
        <v>29</v>
      </c>
      <c r="D77" s="13">
        <v>13</v>
      </c>
      <c r="E77" s="13"/>
      <c r="F77" s="13" t="s">
        <v>13</v>
      </c>
      <c r="G77" s="31">
        <v>9.6999999999999993</v>
      </c>
      <c r="H77" s="440">
        <v>10</v>
      </c>
      <c r="I77" s="28">
        <v>1</v>
      </c>
      <c r="J77" s="441">
        <f t="shared" si="12"/>
        <v>1.0309278350515465</v>
      </c>
      <c r="K77" s="28">
        <v>1</v>
      </c>
      <c r="L77" s="267">
        <f t="shared" si="16" ref="L77:L80">J77*K77</f>
        <v>1.0309278350515465</v>
      </c>
      <c r="M77" s="433">
        <f t="shared" si="14"/>
        <v>181.44329896907217</v>
      </c>
      <c r="N77" s="434">
        <v>176</v>
      </c>
      <c r="O77" s="435">
        <f t="shared" si="15"/>
        <v>1.0309278350515465</v>
      </c>
      <c r="P77" s="268" t="s">
        <v>1743</v>
      </c>
    </row>
    <row r="78" spans="1:16" ht="15">
      <c r="A78" s="13" t="s">
        <v>208</v>
      </c>
      <c r="B78" s="56" t="s">
        <v>56</v>
      </c>
      <c r="C78" s="13" t="s">
        <v>29</v>
      </c>
      <c r="D78" s="13">
        <v>13</v>
      </c>
      <c r="E78" s="13"/>
      <c r="F78" s="13" t="s">
        <v>13</v>
      </c>
      <c r="G78" s="31">
        <v>9.6999999999999993</v>
      </c>
      <c r="H78" s="440">
        <v>10</v>
      </c>
      <c r="I78" s="28">
        <v>1</v>
      </c>
      <c r="J78" s="441">
        <f t="shared" si="12"/>
        <v>1.0309278350515465</v>
      </c>
      <c r="K78" s="28">
        <v>1</v>
      </c>
      <c r="L78" s="267">
        <f t="shared" si="16"/>
        <v>1.0309278350515465</v>
      </c>
      <c r="M78" s="433">
        <f t="shared" si="14"/>
        <v>181.44329896907217</v>
      </c>
      <c r="N78" s="434">
        <v>176</v>
      </c>
      <c r="O78" s="435">
        <f t="shared" si="15"/>
        <v>1.0309278350515465</v>
      </c>
      <c r="P78" s="268" t="s">
        <v>1743</v>
      </c>
    </row>
    <row r="79" spans="1:16" ht="30">
      <c r="A79" s="13" t="s">
        <v>209</v>
      </c>
      <c r="B79" s="27" t="s">
        <v>892</v>
      </c>
      <c r="C79" s="13" t="s">
        <v>14</v>
      </c>
      <c r="D79" s="13">
        <v>13</v>
      </c>
      <c r="E79" s="13"/>
      <c r="F79" s="13" t="s">
        <v>58</v>
      </c>
      <c r="G79" s="28">
        <v>61</v>
      </c>
      <c r="H79" s="440">
        <v>10</v>
      </c>
      <c r="I79" s="28">
        <v>1</v>
      </c>
      <c r="J79" s="441">
        <f t="shared" si="12"/>
        <v>0.16393442622950818</v>
      </c>
      <c r="K79" s="28">
        <v>2.40</v>
      </c>
      <c r="L79" s="267">
        <f t="shared" si="16"/>
        <v>0.39344262295081961</v>
      </c>
      <c r="M79" s="433">
        <f t="shared" si="14"/>
        <v>78.688524590163922</v>
      </c>
      <c r="N79" s="434">
        <v>200</v>
      </c>
      <c r="O79" s="435">
        <f t="shared" si="15"/>
        <v>0.39344262295081961</v>
      </c>
      <c r="P79" s="268" t="s">
        <v>1735</v>
      </c>
    </row>
    <row r="80" spans="1:16" ht="30">
      <c r="A80" s="13" t="s">
        <v>210</v>
      </c>
      <c r="B80" s="27" t="s">
        <v>114</v>
      </c>
      <c r="C80" s="13" t="s">
        <v>54</v>
      </c>
      <c r="D80" s="13">
        <v>13</v>
      </c>
      <c r="E80" s="13"/>
      <c r="F80" s="13" t="s">
        <v>13</v>
      </c>
      <c r="G80" s="439">
        <v>3.20</v>
      </c>
      <c r="H80" s="440">
        <v>10</v>
      </c>
      <c r="I80" s="28">
        <v>2</v>
      </c>
      <c r="J80" s="441">
        <f t="shared" si="12"/>
        <v>6.25</v>
      </c>
      <c r="K80" s="28">
        <v>1</v>
      </c>
      <c r="L80" s="267">
        <f t="shared" si="16"/>
        <v>6.25</v>
      </c>
      <c r="M80" s="433">
        <f t="shared" si="14"/>
        <v>1250</v>
      </c>
      <c r="N80" s="434">
        <v>200</v>
      </c>
      <c r="O80" s="435">
        <f t="shared" si="15"/>
        <v>3.125</v>
      </c>
      <c r="P80" s="268" t="s">
        <v>1735</v>
      </c>
    </row>
    <row r="81" spans="1:16" ht="30">
      <c r="A81" s="13" t="s">
        <v>211</v>
      </c>
      <c r="B81" s="56" t="s">
        <v>60</v>
      </c>
      <c r="C81" s="13" t="s">
        <v>14</v>
      </c>
      <c r="D81" s="13">
        <v>226</v>
      </c>
      <c r="E81" s="13"/>
      <c r="F81" s="4" t="s">
        <v>58</v>
      </c>
      <c r="G81" s="477">
        <v>2.94</v>
      </c>
      <c r="H81" s="440">
        <v>10</v>
      </c>
      <c r="I81" s="28">
        <v>1</v>
      </c>
      <c r="J81" s="441">
        <f t="shared" si="12"/>
        <v>3.4013605442176873</v>
      </c>
      <c r="K81" s="28">
        <v>1</v>
      </c>
      <c r="L81" s="267">
        <f>J81*K81</f>
        <v>3.4013605442176873</v>
      </c>
      <c r="M81" s="433">
        <f t="shared" si="14"/>
        <v>680.27210884353747</v>
      </c>
      <c r="N81" s="434">
        <v>200</v>
      </c>
      <c r="O81" s="435">
        <f t="shared" si="15"/>
        <v>3.4013605442176873</v>
      </c>
      <c r="P81" s="268" t="s">
        <v>1735</v>
      </c>
    </row>
    <row r="82" spans="1:15" ht="15">
      <c r="A82" s="39"/>
      <c r="B82" s="649" t="s">
        <v>140</v>
      </c>
      <c r="C82" s="649"/>
      <c r="D82" s="649"/>
      <c r="E82" s="649"/>
      <c r="F82" s="649"/>
      <c r="G82" s="649"/>
      <c r="H82" s="649"/>
      <c r="I82" s="649"/>
      <c r="J82" s="649"/>
      <c r="K82" s="649"/>
      <c r="L82" s="267"/>
      <c r="M82" s="262">
        <f>SUM(M83:M88)</f>
        <v>2529.2369642377007</v>
      </c>
      <c r="N82" s="263"/>
      <c r="O82" s="264">
        <f>SUM(O83:O88)</f>
        <v>8.3477701466845069</v>
      </c>
    </row>
    <row r="83" spans="1:16" ht="15">
      <c r="A83" s="57" t="s">
        <v>893</v>
      </c>
      <c r="B83" s="27" t="s">
        <v>881</v>
      </c>
      <c r="C83" s="13" t="s">
        <v>880</v>
      </c>
      <c r="D83" s="13">
        <v>224</v>
      </c>
      <c r="E83" s="13"/>
      <c r="F83" s="13" t="s">
        <v>353</v>
      </c>
      <c r="G83" s="436">
        <f>600/20</f>
        <v>30</v>
      </c>
      <c r="H83" s="440">
        <v>10</v>
      </c>
      <c r="I83" s="28">
        <v>1</v>
      </c>
      <c r="J83" s="441">
        <f t="shared" si="17" ref="J83:J88">H83/G83*I83</f>
        <v>0.33333333333333331</v>
      </c>
      <c r="K83" s="432">
        <v>1</v>
      </c>
      <c r="L83" s="435">
        <f t="shared" si="18" ref="L83:L88">J83*K83</f>
        <v>0.33333333333333331</v>
      </c>
      <c r="M83" s="266">
        <f t="shared" si="19" ref="M83:M88">L83*N83</f>
        <v>66.666666666666657</v>
      </c>
      <c r="N83" s="433">
        <v>200</v>
      </c>
      <c r="O83" s="435">
        <f t="shared" si="20" ref="O83:O88">J83/I83*K83</f>
        <v>0.33333333333333331</v>
      </c>
      <c r="P83" s="268" t="s">
        <v>1708</v>
      </c>
    </row>
    <row r="84" spans="1:16" ht="15">
      <c r="A84" s="57" t="s">
        <v>212</v>
      </c>
      <c r="B84" s="56" t="s">
        <v>1421</v>
      </c>
      <c r="C84" s="13" t="s">
        <v>862</v>
      </c>
      <c r="D84" s="13">
        <v>224</v>
      </c>
      <c r="E84" s="13"/>
      <c r="F84" s="17"/>
      <c r="G84" s="28">
        <f>(600-25)/10</f>
        <v>57.50</v>
      </c>
      <c r="H84" s="440">
        <v>10</v>
      </c>
      <c r="I84" s="28">
        <v>2</v>
      </c>
      <c r="J84" s="441">
        <f t="shared" si="17"/>
        <v>0.34782608695652173</v>
      </c>
      <c r="K84" s="28">
        <v>1</v>
      </c>
      <c r="L84" s="267">
        <f t="shared" si="18"/>
        <v>0.34782608695652173</v>
      </c>
      <c r="M84" s="433">
        <f t="shared" si="19"/>
        <v>69.565217391304344</v>
      </c>
      <c r="N84" s="434">
        <v>200</v>
      </c>
      <c r="O84" s="435">
        <f t="shared" si="20"/>
        <v>0.17391304347826086</v>
      </c>
      <c r="P84" s="268" t="s">
        <v>1709</v>
      </c>
    </row>
    <row r="85" spans="1:16" ht="15">
      <c r="A85" s="57" t="s">
        <v>878</v>
      </c>
      <c r="B85" s="27" t="s">
        <v>882</v>
      </c>
      <c r="C85" s="13" t="s">
        <v>1197</v>
      </c>
      <c r="D85" s="13">
        <v>14</v>
      </c>
      <c r="E85" s="13"/>
      <c r="F85" s="13" t="s">
        <v>353</v>
      </c>
      <c r="G85" s="28">
        <v>34.60</v>
      </c>
      <c r="H85" s="440">
        <v>10</v>
      </c>
      <c r="I85" s="28">
        <v>1</v>
      </c>
      <c r="J85" s="441">
        <f t="shared" si="17"/>
        <v>0.28901734104046239</v>
      </c>
      <c r="K85" s="432">
        <v>1</v>
      </c>
      <c r="L85" s="435">
        <f t="shared" si="18"/>
        <v>0.28901734104046239</v>
      </c>
      <c r="M85" s="266">
        <f t="shared" si="19"/>
        <v>57.803468208092482</v>
      </c>
      <c r="N85" s="433">
        <v>200</v>
      </c>
      <c r="O85" s="435">
        <f t="shared" si="20"/>
        <v>0.28901734104046239</v>
      </c>
      <c r="P85" s="268" t="s">
        <v>1710</v>
      </c>
    </row>
    <row r="86" spans="1:16" ht="15">
      <c r="A86" s="57" t="s">
        <v>214</v>
      </c>
      <c r="B86" s="56" t="s">
        <v>883</v>
      </c>
      <c r="C86" s="13" t="s">
        <v>33</v>
      </c>
      <c r="D86" s="13">
        <v>14</v>
      </c>
      <c r="E86" s="13"/>
      <c r="F86" s="13" t="s">
        <v>510</v>
      </c>
      <c r="G86" s="28">
        <v>40</v>
      </c>
      <c r="H86" s="440">
        <v>10</v>
      </c>
      <c r="I86" s="28">
        <v>2</v>
      </c>
      <c r="J86" s="441">
        <f t="shared" si="17"/>
        <v>0.50</v>
      </c>
      <c r="K86" s="432">
        <v>2</v>
      </c>
      <c r="L86" s="267">
        <f t="shared" si="18"/>
        <v>1</v>
      </c>
      <c r="M86" s="433">
        <f t="shared" si="19"/>
        <v>200</v>
      </c>
      <c r="N86" s="434">
        <v>200</v>
      </c>
      <c r="O86" s="435">
        <f t="shared" si="20"/>
        <v>0.50</v>
      </c>
      <c r="P86" s="268" t="s">
        <v>1744</v>
      </c>
    </row>
    <row r="87" spans="1:16" ht="15">
      <c r="A87" s="13" t="s">
        <v>219</v>
      </c>
      <c r="B87" s="56" t="s">
        <v>91</v>
      </c>
      <c r="C87" s="13" t="s">
        <v>54</v>
      </c>
      <c r="D87" s="13">
        <v>14</v>
      </c>
      <c r="E87" s="13"/>
      <c r="F87" s="4" t="s">
        <v>59</v>
      </c>
      <c r="G87" s="30">
        <v>2.7589999999999999</v>
      </c>
      <c r="H87" s="440">
        <v>10</v>
      </c>
      <c r="I87" s="28">
        <v>2</v>
      </c>
      <c r="J87" s="441">
        <f t="shared" si="17"/>
        <v>7.2490032620514686</v>
      </c>
      <c r="K87" s="432">
        <v>1</v>
      </c>
      <c r="L87" s="267">
        <f t="shared" si="18"/>
        <v>7.2490032620514686</v>
      </c>
      <c r="M87" s="433">
        <f t="shared" si="19"/>
        <v>1449.8006524102937</v>
      </c>
      <c r="N87" s="434">
        <v>200</v>
      </c>
      <c r="O87" s="435">
        <f t="shared" si="20"/>
        <v>3.6245016310257343</v>
      </c>
      <c r="P87" s="268" t="s">
        <v>1745</v>
      </c>
    </row>
    <row r="88" spans="1:16" ht="15">
      <c r="A88" s="13" t="s">
        <v>220</v>
      </c>
      <c r="B88" s="56" t="s">
        <v>92</v>
      </c>
      <c r="C88" s="13" t="s">
        <v>54</v>
      </c>
      <c r="D88" s="13">
        <v>14</v>
      </c>
      <c r="E88" s="13"/>
      <c r="F88" s="4" t="s">
        <v>59</v>
      </c>
      <c r="G88" s="30">
        <v>2.9180000000000001</v>
      </c>
      <c r="H88" s="440">
        <v>10</v>
      </c>
      <c r="I88" s="28">
        <v>1</v>
      </c>
      <c r="J88" s="441">
        <f t="shared" si="17"/>
        <v>3.4270047978067169</v>
      </c>
      <c r="K88" s="432">
        <v>1</v>
      </c>
      <c r="L88" s="267">
        <f t="shared" si="18"/>
        <v>3.4270047978067169</v>
      </c>
      <c r="M88" s="433">
        <f t="shared" si="19"/>
        <v>685.40095956134337</v>
      </c>
      <c r="N88" s="434">
        <v>200</v>
      </c>
      <c r="O88" s="435">
        <f t="shared" si="20"/>
        <v>3.4270047978067169</v>
      </c>
      <c r="P88" s="268" t="s">
        <v>1745</v>
      </c>
    </row>
    <row r="89" spans="1:15" ht="15">
      <c r="A89" s="39"/>
      <c r="B89" s="649" t="s">
        <v>135</v>
      </c>
      <c r="C89" s="649"/>
      <c r="D89" s="649"/>
      <c r="E89" s="649"/>
      <c r="F89" s="649"/>
      <c r="G89" s="649"/>
      <c r="H89" s="649"/>
      <c r="I89" s="649"/>
      <c r="J89" s="649"/>
      <c r="K89" s="649"/>
      <c r="L89" s="435"/>
      <c r="M89" s="262">
        <f>SUM(M90:M92)</f>
        <v>542.1416234887738</v>
      </c>
      <c r="N89" s="263"/>
      <c r="O89" s="264">
        <f>SUM(O90:O92)</f>
        <v>1.4607081174438687</v>
      </c>
    </row>
    <row r="90" spans="1:15" ht="15">
      <c r="A90" s="13" t="s">
        <v>136</v>
      </c>
      <c r="B90" s="56" t="s">
        <v>137</v>
      </c>
      <c r="C90" s="13" t="s">
        <v>138</v>
      </c>
      <c r="D90" s="13">
        <v>14</v>
      </c>
      <c r="E90" s="13"/>
      <c r="F90" s="4" t="s">
        <v>139</v>
      </c>
      <c r="G90" s="28">
        <v>10</v>
      </c>
      <c r="H90" s="440">
        <v>10</v>
      </c>
      <c r="I90" s="28">
        <v>2</v>
      </c>
      <c r="J90" s="441">
        <f>H90/G90*I90</f>
        <v>2</v>
      </c>
      <c r="K90" s="28">
        <v>1</v>
      </c>
      <c r="L90" s="435">
        <f t="shared" si="21" ref="L90:L92">J90*K90</f>
        <v>2</v>
      </c>
      <c r="M90" s="266">
        <f>L90*N90</f>
        <v>400</v>
      </c>
      <c r="N90" s="433">
        <v>200</v>
      </c>
      <c r="O90" s="435">
        <f>J90/I90*K90</f>
        <v>1</v>
      </c>
    </row>
    <row r="91" spans="1:15" ht="15">
      <c r="A91" s="13" t="s">
        <v>346</v>
      </c>
      <c r="B91" s="56" t="s">
        <v>347</v>
      </c>
      <c r="C91" s="13" t="s">
        <v>14</v>
      </c>
      <c r="D91" s="13">
        <v>226</v>
      </c>
      <c r="E91" s="13"/>
      <c r="F91" s="13" t="s">
        <v>58</v>
      </c>
      <c r="G91" s="28">
        <v>23.16</v>
      </c>
      <c r="H91" s="440">
        <v>10</v>
      </c>
      <c r="I91" s="28">
        <v>1</v>
      </c>
      <c r="J91" s="441">
        <f>H91/G91*I91</f>
        <v>0.43177892918825561</v>
      </c>
      <c r="K91" s="28">
        <f>0.122*4</f>
        <v>0.48799999999999999</v>
      </c>
      <c r="L91" s="435">
        <f t="shared" si="21"/>
        <v>0.21070811744386872</v>
      </c>
      <c r="M91" s="266">
        <f>L91*N91</f>
        <v>42.141623488773746</v>
      </c>
      <c r="N91" s="433">
        <v>200</v>
      </c>
      <c r="O91" s="435">
        <f>J91/I91*K91</f>
        <v>0.21070811744386872</v>
      </c>
    </row>
    <row r="92" spans="1:15" ht="15">
      <c r="A92" s="13" t="s">
        <v>344</v>
      </c>
      <c r="B92" s="56" t="s">
        <v>345</v>
      </c>
      <c r="C92" s="13" t="s">
        <v>24</v>
      </c>
      <c r="D92" s="13">
        <v>219</v>
      </c>
      <c r="E92" s="13"/>
      <c r="F92" s="4" t="s">
        <v>139</v>
      </c>
      <c r="G92" s="28">
        <v>40</v>
      </c>
      <c r="H92" s="440">
        <v>10</v>
      </c>
      <c r="I92" s="28">
        <v>2</v>
      </c>
      <c r="J92" s="441">
        <f>H92/G92*I92</f>
        <v>0.50</v>
      </c>
      <c r="K92" s="28">
        <v>1</v>
      </c>
      <c r="L92" s="435">
        <f t="shared" si="21"/>
        <v>0.50</v>
      </c>
      <c r="M92" s="266">
        <f>L92*N92</f>
        <v>100</v>
      </c>
      <c r="N92" s="433">
        <v>200</v>
      </c>
      <c r="O92" s="435">
        <f>J92/I92*K92</f>
        <v>0.25</v>
      </c>
    </row>
    <row r="93" spans="1:15" ht="15">
      <c r="A93" s="39"/>
      <c r="B93" s="649" t="s">
        <v>133</v>
      </c>
      <c r="C93" s="649"/>
      <c r="D93" s="649"/>
      <c r="E93" s="649"/>
      <c r="F93" s="649"/>
      <c r="G93" s="649"/>
      <c r="H93" s="649"/>
      <c r="I93" s="649"/>
      <c r="J93" s="649"/>
      <c r="K93" s="649"/>
      <c r="L93" s="267"/>
      <c r="M93" s="262">
        <f>SUM(M94:M141)</f>
        <v>21006.855010459338</v>
      </c>
      <c r="N93" s="263"/>
      <c r="O93" s="264">
        <f>SUM(O94:O141)</f>
        <v>67.749408118669862</v>
      </c>
    </row>
    <row r="94" spans="1:16" ht="15">
      <c r="A94" s="13" t="s">
        <v>221</v>
      </c>
      <c r="B94" s="56" t="s">
        <v>715</v>
      </c>
      <c r="C94" s="13" t="s">
        <v>24</v>
      </c>
      <c r="D94" s="13">
        <v>12</v>
      </c>
      <c r="E94" s="13"/>
      <c r="F94" s="13" t="s">
        <v>11</v>
      </c>
      <c r="G94" s="432">
        <v>7</v>
      </c>
      <c r="H94" s="440">
        <v>10</v>
      </c>
      <c r="I94" s="28">
        <v>2</v>
      </c>
      <c r="J94" s="441">
        <f t="shared" si="22" ref="J94:J141">H94/G94*I94</f>
        <v>2.8571428571428572</v>
      </c>
      <c r="K94" s="28">
        <v>1</v>
      </c>
      <c r="L94" s="267">
        <f t="shared" si="23" ref="L94:L141">J94*K94</f>
        <v>2.8571428571428572</v>
      </c>
      <c r="M94" s="433">
        <f t="shared" si="24" ref="M94:M141">L94*N94</f>
        <v>571.42857142857144</v>
      </c>
      <c r="N94" s="434">
        <v>200</v>
      </c>
      <c r="O94" s="435">
        <f t="shared" si="25" ref="O94:O141">J94/I94*K94</f>
        <v>1.4285714285714286</v>
      </c>
      <c r="P94" s="268" t="s">
        <v>1733</v>
      </c>
    </row>
    <row r="95" spans="1:16" ht="15">
      <c r="A95" s="13" t="s">
        <v>1293</v>
      </c>
      <c r="B95" s="56" t="s">
        <v>1294</v>
      </c>
      <c r="C95" s="13" t="s">
        <v>160</v>
      </c>
      <c r="D95" s="13">
        <v>12</v>
      </c>
      <c r="E95" s="13" t="s">
        <v>53</v>
      </c>
      <c r="F95" s="13" t="s">
        <v>1295</v>
      </c>
      <c r="G95" s="28">
        <v>40</v>
      </c>
      <c r="H95" s="431">
        <v>10</v>
      </c>
      <c r="I95" s="28">
        <v>1</v>
      </c>
      <c r="J95" s="473">
        <f t="shared" si="22"/>
        <v>0.25</v>
      </c>
      <c r="K95" s="442">
        <f>650*3.1415*2/1000</f>
        <v>4.0839500000000006</v>
      </c>
      <c r="L95" s="267">
        <f t="shared" si="23"/>
        <v>1.0209875000000002</v>
      </c>
      <c r="M95" s="433">
        <f t="shared" si="24"/>
        <v>204.19750000000002</v>
      </c>
      <c r="N95" s="478">
        <v>200</v>
      </c>
      <c r="O95" s="435">
        <f t="shared" si="25"/>
        <v>1.0209875000000002</v>
      </c>
      <c r="P95" s="268" t="s">
        <v>1738</v>
      </c>
    </row>
    <row r="96" spans="1:16" ht="30">
      <c r="A96" s="13" t="s">
        <v>225</v>
      </c>
      <c r="B96" s="27" t="s">
        <v>230</v>
      </c>
      <c r="C96" s="13" t="s">
        <v>226</v>
      </c>
      <c r="D96" s="13">
        <v>302</v>
      </c>
      <c r="E96" s="13"/>
      <c r="F96" s="13" t="s">
        <v>227</v>
      </c>
      <c r="G96" s="28">
        <f>600/2.5</f>
        <v>240</v>
      </c>
      <c r="H96" s="440">
        <v>10</v>
      </c>
      <c r="I96" s="28">
        <v>2</v>
      </c>
      <c r="J96" s="441">
        <f t="shared" si="22"/>
        <v>0.083333333333333329</v>
      </c>
      <c r="K96" s="28">
        <v>64</v>
      </c>
      <c r="L96" s="435">
        <f t="shared" si="23"/>
        <v>5.333333333333333</v>
      </c>
      <c r="M96" s="433">
        <f t="shared" si="24"/>
        <v>1066.6666666666665</v>
      </c>
      <c r="N96" s="433">
        <v>200</v>
      </c>
      <c r="O96" s="435">
        <f t="shared" si="25"/>
        <v>2.6666666666666665</v>
      </c>
      <c r="P96" s="268" t="s">
        <v>1711</v>
      </c>
    </row>
    <row r="97" spans="1:16" ht="30">
      <c r="A97" s="13" t="s">
        <v>228</v>
      </c>
      <c r="B97" s="27" t="s">
        <v>1282</v>
      </c>
      <c r="C97" s="13" t="s">
        <v>24</v>
      </c>
      <c r="D97" s="13">
        <v>12</v>
      </c>
      <c r="E97" s="13"/>
      <c r="F97" s="13" t="s">
        <v>63</v>
      </c>
      <c r="G97" s="28">
        <f>10*40</f>
        <v>400</v>
      </c>
      <c r="H97" s="440">
        <v>10</v>
      </c>
      <c r="I97" s="28">
        <v>2</v>
      </c>
      <c r="J97" s="441">
        <f t="shared" si="22"/>
        <v>0.05</v>
      </c>
      <c r="K97" s="28">
        <v>64</v>
      </c>
      <c r="L97" s="435">
        <f t="shared" si="23"/>
        <v>3.20</v>
      </c>
      <c r="M97" s="433">
        <f t="shared" si="24"/>
        <v>486.40</v>
      </c>
      <c r="N97" s="433">
        <v>152</v>
      </c>
      <c r="O97" s="435">
        <f t="shared" si="25"/>
        <v>1.60</v>
      </c>
      <c r="P97" s="268" t="s">
        <v>1711</v>
      </c>
    </row>
    <row r="98" spans="1:16" ht="15">
      <c r="A98" s="13" t="s">
        <v>232</v>
      </c>
      <c r="B98" s="27" t="s">
        <v>61</v>
      </c>
      <c r="C98" s="13" t="s">
        <v>62</v>
      </c>
      <c r="D98" s="13">
        <v>12</v>
      </c>
      <c r="E98" s="13"/>
      <c r="F98" s="13" t="s">
        <v>63</v>
      </c>
      <c r="G98" s="28">
        <v>200</v>
      </c>
      <c r="H98" s="440">
        <v>10</v>
      </c>
      <c r="I98" s="28">
        <v>2</v>
      </c>
      <c r="J98" s="441">
        <f t="shared" si="22"/>
        <v>0.10000000000000001</v>
      </c>
      <c r="K98" s="28">
        <v>64</v>
      </c>
      <c r="L98" s="267">
        <f t="shared" si="23"/>
        <v>6.40</v>
      </c>
      <c r="M98" s="433">
        <f t="shared" si="24"/>
        <v>972.80</v>
      </c>
      <c r="N98" s="434">
        <v>152</v>
      </c>
      <c r="O98" s="435">
        <f t="shared" si="25"/>
        <v>3.20</v>
      </c>
      <c r="P98" s="268" t="s">
        <v>1733</v>
      </c>
    </row>
    <row r="99" spans="1:16" ht="15">
      <c r="A99" s="13" t="s">
        <v>536</v>
      </c>
      <c r="B99" s="27" t="s">
        <v>537</v>
      </c>
      <c r="C99" s="13" t="s">
        <v>538</v>
      </c>
      <c r="D99" s="13">
        <v>13</v>
      </c>
      <c r="E99" s="13"/>
      <c r="F99" s="13" t="s">
        <v>63</v>
      </c>
      <c r="G99" s="28">
        <v>1200</v>
      </c>
      <c r="H99" s="440">
        <v>10</v>
      </c>
      <c r="I99" s="28">
        <v>1</v>
      </c>
      <c r="J99" s="441">
        <f t="shared" si="22"/>
        <v>0.0083333333333333332</v>
      </c>
      <c r="K99" s="28">
        <v>64</v>
      </c>
      <c r="L99" s="267">
        <f t="shared" si="23"/>
        <v>0.53333333333333333</v>
      </c>
      <c r="M99" s="433">
        <f t="shared" si="24"/>
        <v>106.66666666666667</v>
      </c>
      <c r="N99" s="434">
        <v>200</v>
      </c>
      <c r="O99" s="435">
        <f t="shared" si="25"/>
        <v>0.53333333333333333</v>
      </c>
      <c r="P99" s="268" t="s">
        <v>1733</v>
      </c>
    </row>
    <row r="100" spans="1:16" ht="30">
      <c r="A100" s="13" t="s">
        <v>233</v>
      </c>
      <c r="B100" s="27" t="s">
        <v>66</v>
      </c>
      <c r="C100" s="13" t="s">
        <v>48</v>
      </c>
      <c r="D100" s="13">
        <v>12</v>
      </c>
      <c r="E100" s="13"/>
      <c r="F100" s="13" t="s">
        <v>67</v>
      </c>
      <c r="G100" s="28">
        <v>80</v>
      </c>
      <c r="H100" s="440">
        <v>10</v>
      </c>
      <c r="I100" s="28">
        <v>2</v>
      </c>
      <c r="J100" s="441">
        <f t="shared" si="22"/>
        <v>0.25</v>
      </c>
      <c r="K100" s="28">
        <v>4</v>
      </c>
      <c r="L100" s="267">
        <f t="shared" si="23"/>
        <v>1</v>
      </c>
      <c r="M100" s="433">
        <f t="shared" si="24"/>
        <v>200</v>
      </c>
      <c r="N100" s="434">
        <v>200</v>
      </c>
      <c r="O100" s="435">
        <f t="shared" si="25"/>
        <v>0.50</v>
      </c>
      <c r="P100" s="268" t="s">
        <v>1733</v>
      </c>
    </row>
    <row r="101" spans="1:16" ht="15">
      <c r="A101" s="637" t="s">
        <v>234</v>
      </c>
      <c r="B101" s="648" t="s">
        <v>235</v>
      </c>
      <c r="C101" s="13" t="s">
        <v>72</v>
      </c>
      <c r="D101" s="13">
        <v>13</v>
      </c>
      <c r="E101" s="13"/>
      <c r="F101" s="13" t="s">
        <v>236</v>
      </c>
      <c r="G101" s="28">
        <v>20</v>
      </c>
      <c r="H101" s="440">
        <v>10</v>
      </c>
      <c r="I101" s="28">
        <v>2</v>
      </c>
      <c r="J101" s="441">
        <f t="shared" si="22"/>
        <v>1</v>
      </c>
      <c r="K101" s="28">
        <v>5</v>
      </c>
      <c r="L101" s="267">
        <f t="shared" si="23"/>
        <v>5</v>
      </c>
      <c r="M101" s="433">
        <f t="shared" si="24"/>
        <v>1000</v>
      </c>
      <c r="N101" s="434">
        <v>200</v>
      </c>
      <c r="O101" s="435">
        <f t="shared" si="25"/>
        <v>2.50</v>
      </c>
      <c r="P101" s="268" t="s">
        <v>1716</v>
      </c>
    </row>
    <row r="102" spans="1:16" ht="15">
      <c r="A102" s="637"/>
      <c r="B102" s="648"/>
      <c r="C102" s="13" t="s">
        <v>48</v>
      </c>
      <c r="D102" s="13">
        <v>13</v>
      </c>
      <c r="E102" s="13" t="s">
        <v>73</v>
      </c>
      <c r="F102" s="13" t="s">
        <v>10</v>
      </c>
      <c r="G102" s="28">
        <v>40</v>
      </c>
      <c r="H102" s="440">
        <v>10</v>
      </c>
      <c r="I102" s="28">
        <v>1</v>
      </c>
      <c r="J102" s="441">
        <f t="shared" si="22"/>
        <v>0.25</v>
      </c>
      <c r="K102" s="442">
        <f>(750+1374+2147+288+1342)*2/1000</f>
        <v>11.802</v>
      </c>
      <c r="L102" s="267">
        <f t="shared" si="23"/>
        <v>2.9504999999999999</v>
      </c>
      <c r="M102" s="433">
        <f t="shared" si="24"/>
        <v>590.10</v>
      </c>
      <c r="N102" s="434">
        <v>200</v>
      </c>
      <c r="O102" s="435">
        <f t="shared" si="25"/>
        <v>2.9504999999999999</v>
      </c>
      <c r="P102" s="268" t="s">
        <v>1716</v>
      </c>
    </row>
    <row r="103" spans="1:16" ht="15">
      <c r="A103" s="13" t="s">
        <v>237</v>
      </c>
      <c r="B103" s="56" t="s">
        <v>238</v>
      </c>
      <c r="C103" s="13" t="s">
        <v>69</v>
      </c>
      <c r="D103" s="13">
        <v>12</v>
      </c>
      <c r="E103" s="13"/>
      <c r="F103" s="13" t="s">
        <v>34</v>
      </c>
      <c r="G103" s="28">
        <v>10</v>
      </c>
      <c r="H103" s="440">
        <v>10</v>
      </c>
      <c r="I103" s="28">
        <v>2</v>
      </c>
      <c r="J103" s="441">
        <f t="shared" si="22"/>
        <v>2</v>
      </c>
      <c r="K103" s="28">
        <v>1</v>
      </c>
      <c r="L103" s="267">
        <f t="shared" si="23"/>
        <v>2</v>
      </c>
      <c r="M103" s="433">
        <f t="shared" si="24"/>
        <v>400</v>
      </c>
      <c r="N103" s="434">
        <v>200</v>
      </c>
      <c r="O103" s="435">
        <f t="shared" si="25"/>
        <v>1</v>
      </c>
      <c r="P103" s="268" t="s">
        <v>1733</v>
      </c>
    </row>
    <row r="104" spans="1:16" ht="30">
      <c r="A104" s="13" t="s">
        <v>896</v>
      </c>
      <c r="B104" s="56" t="s">
        <v>894</v>
      </c>
      <c r="C104" s="13" t="s">
        <v>138</v>
      </c>
      <c r="D104" s="13">
        <v>12</v>
      </c>
      <c r="E104" s="13"/>
      <c r="F104" s="13" t="s">
        <v>12</v>
      </c>
      <c r="G104" s="28">
        <v>20</v>
      </c>
      <c r="H104" s="440">
        <v>10</v>
      </c>
      <c r="I104" s="28">
        <v>2</v>
      </c>
      <c r="J104" s="441">
        <f t="shared" si="22"/>
        <v>1</v>
      </c>
      <c r="K104" s="28">
        <v>1</v>
      </c>
      <c r="L104" s="267">
        <f t="shared" si="23"/>
        <v>1</v>
      </c>
      <c r="M104" s="433">
        <f t="shared" si="24"/>
        <v>200</v>
      </c>
      <c r="N104" s="434">
        <v>200</v>
      </c>
      <c r="O104" s="435">
        <f t="shared" si="25"/>
        <v>0.50</v>
      </c>
      <c r="P104" s="268" t="s">
        <v>1733</v>
      </c>
    </row>
    <row r="105" spans="1:16" ht="30">
      <c r="A105" s="13" t="s">
        <v>243</v>
      </c>
      <c r="B105" s="56" t="s">
        <v>244</v>
      </c>
      <c r="C105" s="13" t="s">
        <v>25</v>
      </c>
      <c r="D105" s="13">
        <v>12</v>
      </c>
      <c r="E105" s="13" t="s">
        <v>53</v>
      </c>
      <c r="F105" s="13" t="s">
        <v>10</v>
      </c>
      <c r="G105" s="28">
        <v>40</v>
      </c>
      <c r="H105" s="440">
        <v>10</v>
      </c>
      <c r="I105" s="28">
        <v>1</v>
      </c>
      <c r="J105" s="441">
        <f t="shared" si="22"/>
        <v>0.25</v>
      </c>
      <c r="K105" s="28">
        <f>3765*2/1000</f>
        <v>7.53</v>
      </c>
      <c r="L105" s="267">
        <f t="shared" si="23"/>
        <v>1.8825</v>
      </c>
      <c r="M105" s="433">
        <f t="shared" si="24"/>
        <v>376.50</v>
      </c>
      <c r="N105" s="434">
        <v>200</v>
      </c>
      <c r="O105" s="435">
        <f t="shared" si="25"/>
        <v>1.8825</v>
      </c>
      <c r="P105" s="268" t="s">
        <v>1733</v>
      </c>
    </row>
    <row r="106" spans="1:16" ht="15">
      <c r="A106" s="13" t="s">
        <v>237</v>
      </c>
      <c r="B106" s="56" t="s">
        <v>71</v>
      </c>
      <c r="C106" s="13" t="s">
        <v>68</v>
      </c>
      <c r="D106" s="13">
        <v>12</v>
      </c>
      <c r="E106" s="13"/>
      <c r="F106" s="13" t="s">
        <v>34</v>
      </c>
      <c r="G106" s="28">
        <v>20</v>
      </c>
      <c r="H106" s="440">
        <v>10</v>
      </c>
      <c r="I106" s="28">
        <v>2</v>
      </c>
      <c r="J106" s="441">
        <f t="shared" si="22"/>
        <v>1</v>
      </c>
      <c r="K106" s="28">
        <v>1</v>
      </c>
      <c r="L106" s="267">
        <f t="shared" si="23"/>
        <v>1</v>
      </c>
      <c r="M106" s="433">
        <f t="shared" si="24"/>
        <v>200</v>
      </c>
      <c r="N106" s="434">
        <v>200</v>
      </c>
      <c r="O106" s="435">
        <f t="shared" si="25"/>
        <v>0.50</v>
      </c>
      <c r="P106" s="268" t="s">
        <v>1733</v>
      </c>
    </row>
    <row r="107" spans="1:16" ht="30">
      <c r="A107" s="13" t="s">
        <v>897</v>
      </c>
      <c r="B107" s="56" t="s">
        <v>895</v>
      </c>
      <c r="C107" s="13" t="s">
        <v>138</v>
      </c>
      <c r="D107" s="13">
        <v>12</v>
      </c>
      <c r="E107" s="13"/>
      <c r="F107" s="13" t="s">
        <v>12</v>
      </c>
      <c r="G107" s="28">
        <v>20</v>
      </c>
      <c r="H107" s="440">
        <v>10</v>
      </c>
      <c r="I107" s="28">
        <v>2</v>
      </c>
      <c r="J107" s="441">
        <f t="shared" si="22"/>
        <v>1</v>
      </c>
      <c r="K107" s="28">
        <v>1</v>
      </c>
      <c r="L107" s="267">
        <f t="shared" si="23"/>
        <v>1</v>
      </c>
      <c r="M107" s="433">
        <f t="shared" si="24"/>
        <v>200</v>
      </c>
      <c r="N107" s="434">
        <v>200</v>
      </c>
      <c r="O107" s="435">
        <f t="shared" si="25"/>
        <v>0.50</v>
      </c>
      <c r="P107" s="268" t="s">
        <v>1733</v>
      </c>
    </row>
    <row r="108" spans="1:16" ht="30">
      <c r="A108" s="13" t="s">
        <v>249</v>
      </c>
      <c r="B108" s="56" t="s">
        <v>248</v>
      </c>
      <c r="C108" s="13" t="s">
        <v>25</v>
      </c>
      <c r="D108" s="13">
        <v>12</v>
      </c>
      <c r="E108" s="13" t="s">
        <v>53</v>
      </c>
      <c r="F108" s="13" t="s">
        <v>10</v>
      </c>
      <c r="G108" s="28">
        <v>40</v>
      </c>
      <c r="H108" s="440">
        <v>10</v>
      </c>
      <c r="I108" s="28">
        <v>1</v>
      </c>
      <c r="J108" s="441">
        <f t="shared" si="22"/>
        <v>0.25</v>
      </c>
      <c r="K108" s="28">
        <f>3765*2/1000</f>
        <v>7.53</v>
      </c>
      <c r="L108" s="267">
        <f t="shared" si="23"/>
        <v>1.8825</v>
      </c>
      <c r="M108" s="433">
        <f t="shared" si="24"/>
        <v>376.50</v>
      </c>
      <c r="N108" s="434">
        <v>200</v>
      </c>
      <c r="O108" s="435">
        <f t="shared" si="25"/>
        <v>1.8825</v>
      </c>
      <c r="P108" s="268" t="s">
        <v>1746</v>
      </c>
    </row>
    <row r="109" spans="1:16" ht="15">
      <c r="A109" s="13" t="s">
        <v>237</v>
      </c>
      <c r="B109" s="56" t="s">
        <v>71</v>
      </c>
      <c r="C109" s="13" t="s">
        <v>68</v>
      </c>
      <c r="D109" s="13">
        <v>12</v>
      </c>
      <c r="E109" s="13"/>
      <c r="F109" s="13" t="s">
        <v>34</v>
      </c>
      <c r="G109" s="28">
        <v>20</v>
      </c>
      <c r="H109" s="440">
        <v>10</v>
      </c>
      <c r="I109" s="28">
        <v>2</v>
      </c>
      <c r="J109" s="441">
        <f t="shared" si="22"/>
        <v>1</v>
      </c>
      <c r="K109" s="28">
        <v>1</v>
      </c>
      <c r="L109" s="267">
        <f t="shared" si="23"/>
        <v>1</v>
      </c>
      <c r="M109" s="433">
        <f t="shared" si="24"/>
        <v>200</v>
      </c>
      <c r="N109" s="434">
        <v>200</v>
      </c>
      <c r="O109" s="435">
        <f t="shared" si="25"/>
        <v>0.50</v>
      </c>
      <c r="P109" s="268" t="s">
        <v>1733</v>
      </c>
    </row>
    <row r="110" spans="1:16" ht="30">
      <c r="A110" s="13" t="s">
        <v>239</v>
      </c>
      <c r="B110" s="56" t="s">
        <v>240</v>
      </c>
      <c r="C110" s="13" t="s">
        <v>25</v>
      </c>
      <c r="D110" s="13">
        <v>15</v>
      </c>
      <c r="E110" s="13"/>
      <c r="F110" s="13" t="s">
        <v>63</v>
      </c>
      <c r="G110" s="432">
        <v>112</v>
      </c>
      <c r="H110" s="440">
        <v>10</v>
      </c>
      <c r="I110" s="28">
        <v>1</v>
      </c>
      <c r="J110" s="441">
        <f t="shared" si="22"/>
        <v>0.089285714285714288</v>
      </c>
      <c r="K110" s="28">
        <v>64</v>
      </c>
      <c r="L110" s="267">
        <f t="shared" si="23"/>
        <v>5.7142857142857144</v>
      </c>
      <c r="M110" s="433">
        <f t="shared" si="24"/>
        <v>1485.7142857142858</v>
      </c>
      <c r="N110" s="434">
        <v>260</v>
      </c>
      <c r="O110" s="435">
        <f t="shared" si="25"/>
        <v>5.7142857142857144</v>
      </c>
      <c r="P110" s="268" t="s">
        <v>1733</v>
      </c>
    </row>
    <row r="111" spans="1:16" ht="30">
      <c r="A111" s="13" t="s">
        <v>317</v>
      </c>
      <c r="B111" s="56" t="s">
        <v>316</v>
      </c>
      <c r="C111" s="13" t="s">
        <v>25</v>
      </c>
      <c r="D111" s="13">
        <v>15</v>
      </c>
      <c r="E111" s="13" t="s">
        <v>70</v>
      </c>
      <c r="F111" s="13" t="s">
        <v>10</v>
      </c>
      <c r="G111" s="28">
        <v>40</v>
      </c>
      <c r="H111" s="440">
        <v>10</v>
      </c>
      <c r="I111" s="28">
        <v>1</v>
      </c>
      <c r="J111" s="441">
        <f t="shared" si="22"/>
        <v>0.25</v>
      </c>
      <c r="K111" s="436">
        <f>720/1000*3.1415</f>
        <v>2.2618800000000001</v>
      </c>
      <c r="L111" s="267">
        <f t="shared" si="23"/>
        <v>0.56547000000000003</v>
      </c>
      <c r="M111" s="433">
        <f t="shared" si="24"/>
        <v>113.09400000000001</v>
      </c>
      <c r="N111" s="434">
        <v>200</v>
      </c>
      <c r="O111" s="435">
        <f t="shared" si="25"/>
        <v>0.56547000000000003</v>
      </c>
      <c r="P111" s="268" t="s">
        <v>1733</v>
      </c>
    </row>
    <row r="112" spans="1:16" ht="30">
      <c r="A112" s="13" t="s">
        <v>245</v>
      </c>
      <c r="B112" s="56" t="s">
        <v>246</v>
      </c>
      <c r="C112" s="13" t="s">
        <v>25</v>
      </c>
      <c r="D112" s="13">
        <v>15</v>
      </c>
      <c r="E112" s="13"/>
      <c r="F112" s="13" t="s">
        <v>63</v>
      </c>
      <c r="G112" s="432">
        <v>112</v>
      </c>
      <c r="H112" s="440">
        <v>10</v>
      </c>
      <c r="I112" s="28">
        <v>1</v>
      </c>
      <c r="J112" s="441">
        <f t="shared" si="22"/>
        <v>0.089285714285714288</v>
      </c>
      <c r="K112" s="28">
        <v>64</v>
      </c>
      <c r="L112" s="267">
        <f t="shared" si="23"/>
        <v>5.7142857142857144</v>
      </c>
      <c r="M112" s="433">
        <f t="shared" si="24"/>
        <v>1485.7142857142858</v>
      </c>
      <c r="N112" s="434">
        <v>260</v>
      </c>
      <c r="O112" s="435">
        <f t="shared" si="25"/>
        <v>5.7142857142857144</v>
      </c>
      <c r="P112" s="268" t="s">
        <v>1733</v>
      </c>
    </row>
    <row r="113" spans="1:16" ht="15">
      <c r="A113" s="13" t="s">
        <v>741</v>
      </c>
      <c r="B113" s="56" t="s">
        <v>1281</v>
      </c>
      <c r="C113" s="13" t="s">
        <v>33</v>
      </c>
      <c r="D113" s="13">
        <v>13</v>
      </c>
      <c r="E113" s="13"/>
      <c r="F113" s="13"/>
      <c r="G113" s="28">
        <v>5</v>
      </c>
      <c r="H113" s="440">
        <v>10</v>
      </c>
      <c r="I113" s="28">
        <v>1</v>
      </c>
      <c r="J113" s="441">
        <f t="shared" si="22"/>
        <v>2</v>
      </c>
      <c r="K113" s="28">
        <v>1</v>
      </c>
      <c r="L113" s="267">
        <f t="shared" si="23"/>
        <v>2</v>
      </c>
      <c r="M113" s="433">
        <f t="shared" si="24"/>
        <v>400</v>
      </c>
      <c r="N113" s="434">
        <v>200</v>
      </c>
      <c r="O113" s="435">
        <f t="shared" si="25"/>
        <v>2</v>
      </c>
      <c r="P113" s="268" t="s">
        <v>1733</v>
      </c>
    </row>
    <row r="114" spans="1:16" ht="15">
      <c r="A114" s="637" t="s">
        <v>254</v>
      </c>
      <c r="B114" s="638" t="s">
        <v>884</v>
      </c>
      <c r="C114" s="13" t="s">
        <v>76</v>
      </c>
      <c r="D114" s="13">
        <v>13</v>
      </c>
      <c r="E114" s="13"/>
      <c r="F114" s="13" t="s">
        <v>78</v>
      </c>
      <c r="G114" s="28">
        <v>20</v>
      </c>
      <c r="H114" s="440">
        <v>10</v>
      </c>
      <c r="I114" s="28">
        <v>2</v>
      </c>
      <c r="J114" s="441">
        <f t="shared" si="22"/>
        <v>1</v>
      </c>
      <c r="K114" s="28">
        <v>2</v>
      </c>
      <c r="L114" s="267">
        <f t="shared" si="23"/>
        <v>2</v>
      </c>
      <c r="M114" s="433">
        <f t="shared" si="24"/>
        <v>400</v>
      </c>
      <c r="N114" s="434">
        <v>200</v>
      </c>
      <c r="O114" s="435">
        <f t="shared" si="25"/>
        <v>1</v>
      </c>
      <c r="P114" s="268" t="s">
        <v>1747</v>
      </c>
    </row>
    <row r="115" spans="1:16" ht="15">
      <c r="A115" s="637"/>
      <c r="B115" s="638"/>
      <c r="C115" s="13" t="s">
        <v>77</v>
      </c>
      <c r="D115" s="13">
        <v>13</v>
      </c>
      <c r="E115" s="13" t="s">
        <v>79</v>
      </c>
      <c r="F115" s="13" t="s">
        <v>10</v>
      </c>
      <c r="G115" s="28">
        <v>40</v>
      </c>
      <c r="H115" s="440">
        <v>10</v>
      </c>
      <c r="I115" s="28">
        <v>1</v>
      </c>
      <c r="J115" s="441">
        <f t="shared" si="22"/>
        <v>0.25</v>
      </c>
      <c r="K115" s="442">
        <f>(116*2*4+130*4)/1000</f>
        <v>1.448</v>
      </c>
      <c r="L115" s="267">
        <f t="shared" si="23"/>
        <v>0.36199999999999999</v>
      </c>
      <c r="M115" s="433">
        <f t="shared" si="24"/>
        <v>72.399999999999991</v>
      </c>
      <c r="N115" s="434">
        <v>200</v>
      </c>
      <c r="O115" s="435">
        <f t="shared" si="25"/>
        <v>0.36199999999999999</v>
      </c>
      <c r="P115" s="268" t="s">
        <v>1747</v>
      </c>
    </row>
    <row r="116" spans="1:16" ht="15">
      <c r="A116" s="637" t="s">
        <v>257</v>
      </c>
      <c r="B116" s="638" t="s">
        <v>258</v>
      </c>
      <c r="C116" s="13" t="s">
        <v>950</v>
      </c>
      <c r="D116" s="13">
        <v>231</v>
      </c>
      <c r="E116" s="13" t="s">
        <v>260</v>
      </c>
      <c r="F116" s="13" t="s">
        <v>261</v>
      </c>
      <c r="G116" s="442">
        <v>18</v>
      </c>
      <c r="H116" s="468">
        <v>10</v>
      </c>
      <c r="I116" s="432">
        <v>2</v>
      </c>
      <c r="J116" s="468">
        <f t="shared" si="22"/>
        <v>1.1111111111111112</v>
      </c>
      <c r="K116" s="442">
        <v>1</v>
      </c>
      <c r="L116" s="267">
        <f t="shared" si="23"/>
        <v>1.1111111111111112</v>
      </c>
      <c r="M116" s="266">
        <f t="shared" si="24"/>
        <v>222.22222222222223</v>
      </c>
      <c r="N116" s="433">
        <v>200</v>
      </c>
      <c r="O116" s="267">
        <f t="shared" si="25"/>
        <v>0.55555555555555558</v>
      </c>
      <c r="P116" s="268" t="s">
        <v>1748</v>
      </c>
    </row>
    <row r="117" spans="1:16" ht="15">
      <c r="A117" s="637"/>
      <c r="B117" s="638"/>
      <c r="C117" s="13" t="s">
        <v>1198</v>
      </c>
      <c r="D117" s="13">
        <v>231</v>
      </c>
      <c r="E117" s="13" t="s">
        <v>260</v>
      </c>
      <c r="F117" s="17" t="s">
        <v>261</v>
      </c>
      <c r="G117" s="31">
        <v>40</v>
      </c>
      <c r="H117" s="252">
        <v>10</v>
      </c>
      <c r="I117" s="16">
        <v>2</v>
      </c>
      <c r="J117" s="253">
        <f t="shared" si="22"/>
        <v>0.50</v>
      </c>
      <c r="K117" s="31">
        <v>2</v>
      </c>
      <c r="L117" s="8">
        <f t="shared" si="23"/>
        <v>1</v>
      </c>
      <c r="M117" s="42">
        <f t="shared" si="24"/>
        <v>200</v>
      </c>
      <c r="N117" s="43">
        <v>200</v>
      </c>
      <c r="O117" s="8">
        <f t="shared" si="25"/>
        <v>0.50</v>
      </c>
      <c r="P117" s="268" t="s">
        <v>1717</v>
      </c>
    </row>
    <row r="118" spans="1:16" ht="15">
      <c r="A118" s="637"/>
      <c r="B118" s="638"/>
      <c r="C118" s="13" t="s">
        <v>263</v>
      </c>
      <c r="D118" s="13">
        <v>231</v>
      </c>
      <c r="E118" s="13" t="s">
        <v>260</v>
      </c>
      <c r="F118" s="13" t="s">
        <v>261</v>
      </c>
      <c r="G118" s="442">
        <v>90</v>
      </c>
      <c r="H118" s="431">
        <v>10</v>
      </c>
      <c r="I118" s="28">
        <v>2</v>
      </c>
      <c r="J118" s="473">
        <f t="shared" si="22"/>
        <v>0.22222222222222221</v>
      </c>
      <c r="K118" s="442">
        <v>4</v>
      </c>
      <c r="L118" s="435">
        <f t="shared" si="23"/>
        <v>0.88888888888888884</v>
      </c>
      <c r="M118" s="266">
        <f t="shared" si="24"/>
        <v>177.77777777777777</v>
      </c>
      <c r="N118" s="433">
        <v>200</v>
      </c>
      <c r="O118" s="435">
        <f t="shared" si="25"/>
        <v>0.44444444444444442</v>
      </c>
      <c r="P118" s="268" t="s">
        <v>1749</v>
      </c>
    </row>
    <row r="119" spans="1:16" ht="15">
      <c r="A119" s="637" t="s">
        <v>265</v>
      </c>
      <c r="B119" s="638" t="s">
        <v>266</v>
      </c>
      <c r="C119" s="13" t="s">
        <v>76</v>
      </c>
      <c r="D119" s="13">
        <v>13</v>
      </c>
      <c r="E119" s="13"/>
      <c r="F119" s="13" t="s">
        <v>82</v>
      </c>
      <c r="G119" s="28">
        <v>7</v>
      </c>
      <c r="H119" s="440">
        <v>10</v>
      </c>
      <c r="I119" s="28">
        <v>2</v>
      </c>
      <c r="J119" s="441">
        <f t="shared" si="22"/>
        <v>2.8571428571428572</v>
      </c>
      <c r="K119" s="28">
        <v>1</v>
      </c>
      <c r="L119" s="267">
        <f t="shared" si="23"/>
        <v>2.8571428571428572</v>
      </c>
      <c r="M119" s="433">
        <f t="shared" si="24"/>
        <v>571.42857142857144</v>
      </c>
      <c r="N119" s="434">
        <v>200</v>
      </c>
      <c r="O119" s="435">
        <f t="shared" si="25"/>
        <v>1.4285714285714286</v>
      </c>
      <c r="P119" s="268" t="s">
        <v>1716</v>
      </c>
    </row>
    <row r="120" spans="1:16" ht="15">
      <c r="A120" s="637"/>
      <c r="B120" s="638"/>
      <c r="C120" s="13" t="s">
        <v>77</v>
      </c>
      <c r="D120" s="13">
        <v>13</v>
      </c>
      <c r="E120" s="13" t="s">
        <v>264</v>
      </c>
      <c r="F120" s="13" t="s">
        <v>10</v>
      </c>
      <c r="G120" s="28">
        <v>40</v>
      </c>
      <c r="H120" s="440">
        <v>10</v>
      </c>
      <c r="I120" s="28">
        <v>1</v>
      </c>
      <c r="J120" s="441">
        <f t="shared" si="22"/>
        <v>0.25</v>
      </c>
      <c r="K120" s="442">
        <f>(108*3.1415*2+219*3.1415)*3/1000</f>
        <v>4.0996575000000011</v>
      </c>
      <c r="L120" s="267">
        <f t="shared" si="23"/>
        <v>1.0249143750000003</v>
      </c>
      <c r="M120" s="433">
        <f t="shared" si="24"/>
        <v>204.98287500000006</v>
      </c>
      <c r="N120" s="434">
        <v>200</v>
      </c>
      <c r="O120" s="435">
        <f t="shared" si="25"/>
        <v>1.0249143750000003</v>
      </c>
      <c r="P120" s="268" t="s">
        <v>1716</v>
      </c>
    </row>
    <row r="121" spans="1:16" ht="30">
      <c r="A121" s="13" t="s">
        <v>267</v>
      </c>
      <c r="B121" s="27" t="s">
        <v>519</v>
      </c>
      <c r="C121" s="13" t="s">
        <v>77</v>
      </c>
      <c r="D121" s="13">
        <v>13</v>
      </c>
      <c r="E121" s="13"/>
      <c r="F121" s="13" t="s">
        <v>67</v>
      </c>
      <c r="G121" s="28">
        <v>10</v>
      </c>
      <c r="H121" s="440">
        <v>10</v>
      </c>
      <c r="I121" s="28">
        <v>2</v>
      </c>
      <c r="J121" s="441">
        <f t="shared" si="22"/>
        <v>2</v>
      </c>
      <c r="K121" s="28">
        <v>1</v>
      </c>
      <c r="L121" s="267">
        <f t="shared" si="23"/>
        <v>2</v>
      </c>
      <c r="M121" s="433">
        <f t="shared" si="24"/>
        <v>400</v>
      </c>
      <c r="N121" s="434">
        <v>200</v>
      </c>
      <c r="O121" s="435">
        <f t="shared" si="25"/>
        <v>1</v>
      </c>
      <c r="P121" s="268" t="s">
        <v>1750</v>
      </c>
    </row>
    <row r="122" spans="1:16" ht="15">
      <c r="A122" s="13" t="s">
        <v>268</v>
      </c>
      <c r="B122" s="27" t="s">
        <v>334</v>
      </c>
      <c r="C122" s="13" t="s">
        <v>83</v>
      </c>
      <c r="D122" s="13">
        <v>13</v>
      </c>
      <c r="E122" s="13"/>
      <c r="F122" s="4" t="s">
        <v>84</v>
      </c>
      <c r="G122" s="16">
        <v>11.34</v>
      </c>
      <c r="H122" s="440">
        <v>10</v>
      </c>
      <c r="I122" s="28">
        <v>2</v>
      </c>
      <c r="J122" s="441">
        <f t="shared" si="22"/>
        <v>1.7636684303350971</v>
      </c>
      <c r="K122" s="28">
        <v>1</v>
      </c>
      <c r="L122" s="267">
        <f t="shared" si="23"/>
        <v>1.7636684303350971</v>
      </c>
      <c r="M122" s="433">
        <f t="shared" si="24"/>
        <v>352.73368606701945</v>
      </c>
      <c r="N122" s="434">
        <v>200</v>
      </c>
      <c r="O122" s="435">
        <f t="shared" si="25"/>
        <v>0.88183421516754856</v>
      </c>
      <c r="P122" s="268" t="s">
        <v>1749</v>
      </c>
    </row>
    <row r="123" spans="1:16" ht="15">
      <c r="A123" s="13" t="s">
        <v>335</v>
      </c>
      <c r="B123" s="27" t="s">
        <v>336</v>
      </c>
      <c r="C123" s="13" t="s">
        <v>83</v>
      </c>
      <c r="D123" s="13">
        <v>13</v>
      </c>
      <c r="E123" s="13"/>
      <c r="F123" s="4" t="s">
        <v>84</v>
      </c>
      <c r="G123" s="16">
        <v>5.2830000000000004</v>
      </c>
      <c r="H123" s="440">
        <v>10</v>
      </c>
      <c r="I123" s="28">
        <v>2</v>
      </c>
      <c r="J123" s="441">
        <f t="shared" si="22"/>
        <v>3.785727806170736</v>
      </c>
      <c r="K123" s="28">
        <v>1</v>
      </c>
      <c r="L123" s="267">
        <f t="shared" si="23"/>
        <v>3.785727806170736</v>
      </c>
      <c r="M123" s="433">
        <f t="shared" si="24"/>
        <v>757.14556123414718</v>
      </c>
      <c r="N123" s="434">
        <v>200</v>
      </c>
      <c r="O123" s="435">
        <f t="shared" si="25"/>
        <v>1.892863903085368</v>
      </c>
      <c r="P123" s="268" t="s">
        <v>1749</v>
      </c>
    </row>
    <row r="124" spans="1:16" ht="15">
      <c r="A124" s="13" t="s">
        <v>526</v>
      </c>
      <c r="B124" s="56" t="s">
        <v>524</v>
      </c>
      <c r="C124" s="13" t="s">
        <v>523</v>
      </c>
      <c r="D124" s="13">
        <v>224</v>
      </c>
      <c r="E124" s="13"/>
      <c r="F124" s="4" t="s">
        <v>525</v>
      </c>
      <c r="G124" s="28">
        <v>600</v>
      </c>
      <c r="H124" s="431">
        <v>10</v>
      </c>
      <c r="I124" s="28">
        <v>1</v>
      </c>
      <c r="J124" s="441">
        <f t="shared" si="22"/>
        <v>0.016666666666666666</v>
      </c>
      <c r="K124" s="28">
        <v>4</v>
      </c>
      <c r="L124" s="267">
        <f t="shared" si="23"/>
        <v>0.066666666666666666</v>
      </c>
      <c r="M124" s="433">
        <f t="shared" si="24"/>
        <v>11.733333333333333</v>
      </c>
      <c r="N124" s="434">
        <v>176</v>
      </c>
      <c r="O124" s="435">
        <f t="shared" si="25"/>
        <v>0.066666666666666666</v>
      </c>
      <c r="P124" s="268" t="s">
        <v>1712</v>
      </c>
    </row>
    <row r="125" spans="1:16" ht="15">
      <c r="A125" s="13" t="s">
        <v>269</v>
      </c>
      <c r="B125" s="56" t="s">
        <v>270</v>
      </c>
      <c r="C125" s="13" t="s">
        <v>523</v>
      </c>
      <c r="D125" s="13">
        <v>224</v>
      </c>
      <c r="E125" s="13"/>
      <c r="F125" s="4" t="s">
        <v>88</v>
      </c>
      <c r="G125" s="28">
        <v>300</v>
      </c>
      <c r="H125" s="431">
        <v>10</v>
      </c>
      <c r="I125" s="28">
        <v>1</v>
      </c>
      <c r="J125" s="441">
        <f t="shared" si="22"/>
        <v>0.033333333333333333</v>
      </c>
      <c r="K125" s="28">
        <v>2</v>
      </c>
      <c r="L125" s="267">
        <f t="shared" si="23"/>
        <v>0.066666666666666666</v>
      </c>
      <c r="M125" s="433">
        <f t="shared" si="24"/>
        <v>11.733333333333333</v>
      </c>
      <c r="N125" s="434">
        <v>176</v>
      </c>
      <c r="O125" s="435">
        <f t="shared" si="25"/>
        <v>0.066666666666666666</v>
      </c>
      <c r="P125" s="268" t="s">
        <v>1713</v>
      </c>
    </row>
    <row r="126" spans="1:16" ht="15">
      <c r="A126" s="13" t="s">
        <v>918</v>
      </c>
      <c r="B126" s="56" t="s">
        <v>898</v>
      </c>
      <c r="C126" s="13" t="s">
        <v>523</v>
      </c>
      <c r="D126" s="13">
        <v>224</v>
      </c>
      <c r="E126" s="13"/>
      <c r="F126" s="4" t="s">
        <v>88</v>
      </c>
      <c r="G126" s="28">
        <v>600</v>
      </c>
      <c r="H126" s="431">
        <v>10</v>
      </c>
      <c r="I126" s="28">
        <v>1</v>
      </c>
      <c r="J126" s="441">
        <f t="shared" si="22"/>
        <v>0.016666666666666666</v>
      </c>
      <c r="K126" s="28">
        <v>1</v>
      </c>
      <c r="L126" s="267">
        <f t="shared" si="23"/>
        <v>0.016666666666666666</v>
      </c>
      <c r="M126" s="433">
        <f t="shared" si="24"/>
        <v>2.9333333333333331</v>
      </c>
      <c r="N126" s="434">
        <v>176</v>
      </c>
      <c r="O126" s="435">
        <f t="shared" si="25"/>
        <v>0.016666666666666666</v>
      </c>
      <c r="P126" s="268" t="s">
        <v>1714</v>
      </c>
    </row>
    <row r="127" spans="1:16" ht="30">
      <c r="A127" s="13" t="s">
        <v>271</v>
      </c>
      <c r="B127" s="56" t="s">
        <v>85</v>
      </c>
      <c r="C127" s="13" t="s">
        <v>83</v>
      </c>
      <c r="D127" s="13">
        <v>13</v>
      </c>
      <c r="E127" s="13"/>
      <c r="F127" s="13" t="s">
        <v>12</v>
      </c>
      <c r="G127" s="28">
        <v>2.10</v>
      </c>
      <c r="H127" s="440">
        <v>10</v>
      </c>
      <c r="I127" s="28">
        <v>2</v>
      </c>
      <c r="J127" s="441">
        <f t="shared" si="22"/>
        <v>9.5238095238095237</v>
      </c>
      <c r="K127" s="28">
        <v>1</v>
      </c>
      <c r="L127" s="267">
        <f t="shared" si="23"/>
        <v>9.5238095238095237</v>
      </c>
      <c r="M127" s="433">
        <f t="shared" si="24"/>
        <v>1904.7619047619048</v>
      </c>
      <c r="N127" s="434">
        <v>200</v>
      </c>
      <c r="O127" s="435">
        <f t="shared" si="25"/>
        <v>4.7619047619047619</v>
      </c>
      <c r="P127" s="268" t="s">
        <v>1731</v>
      </c>
    </row>
    <row r="128" spans="1:16" ht="15">
      <c r="A128" s="13" t="s">
        <v>272</v>
      </c>
      <c r="B128" s="27" t="s">
        <v>337</v>
      </c>
      <c r="C128" s="13" t="s">
        <v>83</v>
      </c>
      <c r="D128" s="13">
        <v>13</v>
      </c>
      <c r="E128" s="13"/>
      <c r="F128" s="4" t="s">
        <v>89</v>
      </c>
      <c r="G128" s="28">
        <v>10</v>
      </c>
      <c r="H128" s="440">
        <v>10</v>
      </c>
      <c r="I128" s="28">
        <v>2</v>
      </c>
      <c r="J128" s="441">
        <f t="shared" si="22"/>
        <v>2</v>
      </c>
      <c r="K128" s="28">
        <v>1</v>
      </c>
      <c r="L128" s="267">
        <f t="shared" si="23"/>
        <v>2</v>
      </c>
      <c r="M128" s="433">
        <f t="shared" si="24"/>
        <v>400</v>
      </c>
      <c r="N128" s="434">
        <v>200</v>
      </c>
      <c r="O128" s="435">
        <f t="shared" si="25"/>
        <v>1</v>
      </c>
      <c r="P128" s="268" t="s">
        <v>1732</v>
      </c>
    </row>
    <row r="129" spans="1:16" ht="30">
      <c r="A129" s="13" t="s">
        <v>339</v>
      </c>
      <c r="B129" s="27" t="s">
        <v>338</v>
      </c>
      <c r="C129" s="13" t="s">
        <v>83</v>
      </c>
      <c r="D129" s="13">
        <v>13</v>
      </c>
      <c r="E129" s="13"/>
      <c r="F129" s="4" t="s">
        <v>89</v>
      </c>
      <c r="G129" s="28">
        <v>5.33</v>
      </c>
      <c r="H129" s="440">
        <v>10</v>
      </c>
      <c r="I129" s="28">
        <v>2</v>
      </c>
      <c r="J129" s="441">
        <f t="shared" si="22"/>
        <v>3.75234521575985</v>
      </c>
      <c r="K129" s="28">
        <v>1</v>
      </c>
      <c r="L129" s="267">
        <f t="shared" si="23"/>
        <v>3.75234521575985</v>
      </c>
      <c r="M129" s="433">
        <f t="shared" si="24"/>
        <v>750.46904315197003</v>
      </c>
      <c r="N129" s="434">
        <v>200</v>
      </c>
      <c r="O129" s="435">
        <f t="shared" si="25"/>
        <v>1.876172607879925</v>
      </c>
      <c r="P129" s="268" t="s">
        <v>1751</v>
      </c>
    </row>
    <row r="130" spans="1:16" ht="30">
      <c r="A130" s="13" t="s">
        <v>273</v>
      </c>
      <c r="B130" s="27" t="s">
        <v>125</v>
      </c>
      <c r="C130" s="13" t="s">
        <v>54</v>
      </c>
      <c r="D130" s="13">
        <v>13</v>
      </c>
      <c r="E130" s="13"/>
      <c r="F130" s="4" t="s">
        <v>88</v>
      </c>
      <c r="G130" s="28">
        <v>14.423999999999999</v>
      </c>
      <c r="H130" s="440">
        <v>10</v>
      </c>
      <c r="I130" s="28">
        <v>2</v>
      </c>
      <c r="J130" s="441">
        <f t="shared" si="22"/>
        <v>1.3865779256794233</v>
      </c>
      <c r="K130" s="28">
        <v>2</v>
      </c>
      <c r="L130" s="267">
        <f t="shared" si="23"/>
        <v>2.7731558513588466</v>
      </c>
      <c r="M130" s="433">
        <f t="shared" si="24"/>
        <v>554.63117027176929</v>
      </c>
      <c r="N130" s="434">
        <v>200</v>
      </c>
      <c r="O130" s="435">
        <f t="shared" si="25"/>
        <v>1.3865779256794233</v>
      </c>
      <c r="P130" s="268" t="s">
        <v>1751</v>
      </c>
    </row>
    <row r="131" spans="1:16" ht="30">
      <c r="A131" s="523" t="s">
        <v>1668</v>
      </c>
      <c r="B131" s="522" t="s">
        <v>1670</v>
      </c>
      <c r="C131" s="523" t="s">
        <v>33</v>
      </c>
      <c r="D131" s="523">
        <v>13</v>
      </c>
      <c r="E131" s="523"/>
      <c r="F131" s="523" t="s">
        <v>1666</v>
      </c>
      <c r="G131" s="527">
        <v>11.47</v>
      </c>
      <c r="H131" s="530">
        <v>10</v>
      </c>
      <c r="I131" s="527">
        <v>2</v>
      </c>
      <c r="J131" s="531">
        <f t="shared" si="22"/>
        <v>1.7436791630340016</v>
      </c>
      <c r="K131" s="527">
        <v>1</v>
      </c>
      <c r="L131" s="267">
        <f t="shared" si="23"/>
        <v>1.7436791630340016</v>
      </c>
      <c r="M131" s="433">
        <f t="shared" si="24"/>
        <v>348.73583260680033</v>
      </c>
      <c r="N131" s="434">
        <v>200</v>
      </c>
      <c r="O131" s="435">
        <f t="shared" si="25"/>
        <v>0.87183958151700081</v>
      </c>
      <c r="P131" s="268" t="s">
        <v>1752</v>
      </c>
    </row>
    <row r="132" spans="1:16" ht="30">
      <c r="A132" s="523" t="s">
        <v>1669</v>
      </c>
      <c r="B132" s="522" t="s">
        <v>1671</v>
      </c>
      <c r="C132" s="523" t="s">
        <v>33</v>
      </c>
      <c r="D132" s="523">
        <v>13</v>
      </c>
      <c r="E132" s="523"/>
      <c r="F132" s="523" t="s">
        <v>10</v>
      </c>
      <c r="G132" s="527">
        <v>40</v>
      </c>
      <c r="H132" s="530">
        <v>10</v>
      </c>
      <c r="I132" s="527">
        <v>1</v>
      </c>
      <c r="J132" s="531">
        <f t="shared" si="22"/>
        <v>0.25</v>
      </c>
      <c r="K132" s="525">
        <f>3873/1000</f>
        <v>3.8730000000000002</v>
      </c>
      <c r="L132" s="267">
        <f t="shared" si="23"/>
        <v>0.96825000000000006</v>
      </c>
      <c r="M132" s="433">
        <f t="shared" si="24"/>
        <v>193.65</v>
      </c>
      <c r="N132" s="434">
        <v>200</v>
      </c>
      <c r="O132" s="435">
        <f t="shared" si="25"/>
        <v>0.96825000000000006</v>
      </c>
      <c r="P132" s="268" t="s">
        <v>1752</v>
      </c>
    </row>
    <row r="133" spans="1:16" ht="15">
      <c r="A133" s="13" t="s">
        <v>274</v>
      </c>
      <c r="B133" s="27" t="s">
        <v>275</v>
      </c>
      <c r="C133" s="13" t="s">
        <v>83</v>
      </c>
      <c r="D133" s="13">
        <v>13</v>
      </c>
      <c r="E133" s="13"/>
      <c r="F133" s="4" t="s">
        <v>276</v>
      </c>
      <c r="G133" s="28">
        <v>20</v>
      </c>
      <c r="H133" s="440">
        <v>10</v>
      </c>
      <c r="I133" s="28">
        <v>2</v>
      </c>
      <c r="J133" s="441">
        <f t="shared" si="22"/>
        <v>1</v>
      </c>
      <c r="K133" s="28">
        <v>1</v>
      </c>
      <c r="L133" s="267">
        <f t="shared" si="23"/>
        <v>1</v>
      </c>
      <c r="M133" s="433">
        <f t="shared" si="24"/>
        <v>200</v>
      </c>
      <c r="N133" s="434">
        <v>200</v>
      </c>
      <c r="O133" s="435">
        <f t="shared" si="25"/>
        <v>0.50</v>
      </c>
      <c r="P133" s="268" t="s">
        <v>1730</v>
      </c>
    </row>
    <row r="134" spans="1:16" ht="15">
      <c r="A134" s="13" t="s">
        <v>277</v>
      </c>
      <c r="B134" s="27" t="s">
        <v>278</v>
      </c>
      <c r="C134" s="13" t="s">
        <v>83</v>
      </c>
      <c r="D134" s="13">
        <v>13</v>
      </c>
      <c r="E134" s="13"/>
      <c r="F134" s="4" t="s">
        <v>90</v>
      </c>
      <c r="G134" s="28">
        <v>13</v>
      </c>
      <c r="H134" s="440">
        <v>10</v>
      </c>
      <c r="I134" s="28">
        <v>2</v>
      </c>
      <c r="J134" s="441">
        <f t="shared" si="22"/>
        <v>1.5384615384615385</v>
      </c>
      <c r="K134" s="28">
        <v>1</v>
      </c>
      <c r="L134" s="267">
        <f t="shared" si="23"/>
        <v>1.5384615384615385</v>
      </c>
      <c r="M134" s="433">
        <f t="shared" si="24"/>
        <v>307.69230769230774</v>
      </c>
      <c r="N134" s="434">
        <v>200</v>
      </c>
      <c r="O134" s="435">
        <f t="shared" si="25"/>
        <v>0.76923076923076927</v>
      </c>
      <c r="P134" s="268" t="s">
        <v>1753</v>
      </c>
    </row>
    <row r="135" spans="1:16" ht="15">
      <c r="A135" s="13" t="s">
        <v>279</v>
      </c>
      <c r="B135" s="27" t="s">
        <v>280</v>
      </c>
      <c r="C135" s="13" t="s">
        <v>29</v>
      </c>
      <c r="D135" s="13">
        <v>13</v>
      </c>
      <c r="E135" s="13"/>
      <c r="F135" s="13" t="s">
        <v>12</v>
      </c>
      <c r="G135" s="28">
        <v>10</v>
      </c>
      <c r="H135" s="440">
        <v>10</v>
      </c>
      <c r="I135" s="28">
        <v>1</v>
      </c>
      <c r="J135" s="441">
        <f t="shared" si="22"/>
        <v>1</v>
      </c>
      <c r="K135" s="28">
        <v>1</v>
      </c>
      <c r="L135" s="435">
        <f t="shared" si="23"/>
        <v>1</v>
      </c>
      <c r="M135" s="266">
        <f t="shared" si="24"/>
        <v>176</v>
      </c>
      <c r="N135" s="433">
        <v>176</v>
      </c>
      <c r="O135" s="435">
        <f t="shared" si="25"/>
        <v>1</v>
      </c>
      <c r="P135" s="268" t="s">
        <v>1716</v>
      </c>
    </row>
    <row r="136" spans="1:16" ht="15">
      <c r="A136" s="13" t="s">
        <v>281</v>
      </c>
      <c r="B136" s="56" t="s">
        <v>30</v>
      </c>
      <c r="C136" s="13" t="s">
        <v>29</v>
      </c>
      <c r="D136" s="13">
        <v>13</v>
      </c>
      <c r="E136" s="13"/>
      <c r="F136" s="13" t="s">
        <v>12</v>
      </c>
      <c r="G136" s="436">
        <v>4.5979999999999999</v>
      </c>
      <c r="H136" s="440">
        <v>10</v>
      </c>
      <c r="I136" s="28">
        <v>1</v>
      </c>
      <c r="J136" s="441">
        <f t="shared" si="22"/>
        <v>2.1748586341887779</v>
      </c>
      <c r="K136" s="28">
        <v>1</v>
      </c>
      <c r="L136" s="267">
        <f t="shared" si="23"/>
        <v>2.1748586341887779</v>
      </c>
      <c r="M136" s="433">
        <f t="shared" si="24"/>
        <v>382.7751196172249</v>
      </c>
      <c r="N136" s="434">
        <v>176</v>
      </c>
      <c r="O136" s="435">
        <f t="shared" si="25"/>
        <v>2.1748586341887779</v>
      </c>
      <c r="P136" s="268" t="s">
        <v>1716</v>
      </c>
    </row>
    <row r="137" spans="1:16" ht="30">
      <c r="A137" s="13" t="s">
        <v>282</v>
      </c>
      <c r="B137" s="56" t="s">
        <v>283</v>
      </c>
      <c r="C137" s="13" t="s">
        <v>29</v>
      </c>
      <c r="D137" s="13">
        <v>13</v>
      </c>
      <c r="E137" s="13"/>
      <c r="F137" s="13" t="s">
        <v>12</v>
      </c>
      <c r="G137" s="436">
        <v>5.635</v>
      </c>
      <c r="H137" s="440">
        <v>10</v>
      </c>
      <c r="I137" s="28">
        <v>1</v>
      </c>
      <c r="J137" s="441">
        <f t="shared" si="22"/>
        <v>1.7746228926353151</v>
      </c>
      <c r="K137" s="28">
        <v>1</v>
      </c>
      <c r="L137" s="267">
        <f t="shared" si="23"/>
        <v>1.7746228926353151</v>
      </c>
      <c r="M137" s="433">
        <f t="shared" si="24"/>
        <v>312.33362910381544</v>
      </c>
      <c r="N137" s="434">
        <v>176</v>
      </c>
      <c r="O137" s="435">
        <f t="shared" si="25"/>
        <v>1.7746228926353151</v>
      </c>
      <c r="P137" s="268" t="s">
        <v>1716</v>
      </c>
    </row>
    <row r="138" spans="1:16" ht="15">
      <c r="A138" s="13" t="s">
        <v>902</v>
      </c>
      <c r="B138" s="56" t="s">
        <v>1227</v>
      </c>
      <c r="C138" s="13" t="s">
        <v>523</v>
      </c>
      <c r="D138" s="13">
        <v>224</v>
      </c>
      <c r="E138" s="13"/>
      <c r="F138" s="4" t="s">
        <v>900</v>
      </c>
      <c r="G138" s="28">
        <v>600</v>
      </c>
      <c r="H138" s="431">
        <v>10</v>
      </c>
      <c r="I138" s="28">
        <v>1</v>
      </c>
      <c r="J138" s="441">
        <f t="shared" si="22"/>
        <v>0.016666666666666666</v>
      </c>
      <c r="K138" s="28">
        <v>1</v>
      </c>
      <c r="L138" s="267">
        <f t="shared" si="23"/>
        <v>0.016666666666666666</v>
      </c>
      <c r="M138" s="433">
        <f t="shared" si="24"/>
        <v>2.9333333333333331</v>
      </c>
      <c r="N138" s="434">
        <v>176</v>
      </c>
      <c r="O138" s="435">
        <f t="shared" si="25"/>
        <v>0.016666666666666666</v>
      </c>
      <c r="P138" s="268" t="s">
        <v>1729</v>
      </c>
    </row>
    <row r="139" spans="1:16" ht="15">
      <c r="A139" s="13" t="s">
        <v>284</v>
      </c>
      <c r="B139" s="56" t="s">
        <v>126</v>
      </c>
      <c r="C139" s="13" t="s">
        <v>83</v>
      </c>
      <c r="D139" s="13">
        <v>13</v>
      </c>
      <c r="E139" s="13"/>
      <c r="F139" s="13" t="s">
        <v>127</v>
      </c>
      <c r="G139" s="28">
        <v>5</v>
      </c>
      <c r="H139" s="437">
        <v>10</v>
      </c>
      <c r="I139" s="28">
        <v>2</v>
      </c>
      <c r="J139" s="438">
        <f t="shared" si="22"/>
        <v>4</v>
      </c>
      <c r="K139" s="28">
        <v>1</v>
      </c>
      <c r="L139" s="267">
        <f t="shared" si="23"/>
        <v>4</v>
      </c>
      <c r="M139" s="433">
        <f t="shared" si="24"/>
        <v>800</v>
      </c>
      <c r="N139" s="478">
        <v>200</v>
      </c>
      <c r="O139" s="435">
        <f t="shared" si="25"/>
        <v>2</v>
      </c>
      <c r="P139" s="268" t="s">
        <v>1716</v>
      </c>
    </row>
    <row r="140" spans="1:16" ht="15">
      <c r="A140" s="13" t="s">
        <v>285</v>
      </c>
      <c r="B140" s="56" t="s">
        <v>901</v>
      </c>
      <c r="C140" s="13" t="s">
        <v>83</v>
      </c>
      <c r="D140" s="13">
        <v>13</v>
      </c>
      <c r="E140" s="13"/>
      <c r="F140" s="13" t="s">
        <v>12</v>
      </c>
      <c r="G140" s="28">
        <v>8</v>
      </c>
      <c r="H140" s="440">
        <v>10</v>
      </c>
      <c r="I140" s="28">
        <v>2</v>
      </c>
      <c r="J140" s="441">
        <f t="shared" si="22"/>
        <v>2.50</v>
      </c>
      <c r="K140" s="28">
        <v>1</v>
      </c>
      <c r="L140" s="267">
        <f t="shared" si="23"/>
        <v>2.50</v>
      </c>
      <c r="M140" s="433">
        <f t="shared" si="24"/>
        <v>500</v>
      </c>
      <c r="N140" s="434">
        <v>200</v>
      </c>
      <c r="O140" s="435">
        <f t="shared" si="25"/>
        <v>1.25</v>
      </c>
      <c r="P140" s="268" t="s">
        <v>1716</v>
      </c>
    </row>
    <row r="141" spans="1:16" ht="15">
      <c r="A141" s="13" t="s">
        <v>286</v>
      </c>
      <c r="B141" s="27" t="s">
        <v>288</v>
      </c>
      <c r="C141" s="13" t="s">
        <v>287</v>
      </c>
      <c r="D141" s="13">
        <v>13</v>
      </c>
      <c r="E141" s="13"/>
      <c r="F141" s="13" t="s">
        <v>67</v>
      </c>
      <c r="G141" s="28">
        <v>40</v>
      </c>
      <c r="H141" s="440">
        <v>10</v>
      </c>
      <c r="I141" s="28">
        <v>1</v>
      </c>
      <c r="J141" s="441">
        <f t="shared" si="22"/>
        <v>0.25</v>
      </c>
      <c r="K141" s="28">
        <v>4</v>
      </c>
      <c r="L141" s="267">
        <f t="shared" si="23"/>
        <v>1</v>
      </c>
      <c r="M141" s="433">
        <f t="shared" si="24"/>
        <v>152</v>
      </c>
      <c r="N141" s="434">
        <v>152</v>
      </c>
      <c r="O141" s="435">
        <f t="shared" si="25"/>
        <v>1</v>
      </c>
      <c r="P141" s="268" t="s">
        <v>1716</v>
      </c>
    </row>
    <row r="142" spans="1:15" ht="15">
      <c r="A142" s="39"/>
      <c r="B142" s="649" t="s">
        <v>134</v>
      </c>
      <c r="C142" s="649"/>
      <c r="D142" s="649"/>
      <c r="E142" s="649"/>
      <c r="F142" s="649"/>
      <c r="G142" s="649"/>
      <c r="H142" s="649"/>
      <c r="I142" s="649"/>
      <c r="J142" s="649"/>
      <c r="K142" s="649"/>
      <c r="L142" s="267"/>
      <c r="M142" s="262">
        <f>SUM(M143:M163)</f>
        <v>8501.5793152303031</v>
      </c>
      <c r="N142" s="263"/>
      <c r="O142" s="264">
        <f>SUM(O143:O163)</f>
        <v>32.079765390839164</v>
      </c>
    </row>
    <row r="143" spans="1:16" ht="30">
      <c r="A143" s="13" t="s">
        <v>297</v>
      </c>
      <c r="B143" s="56" t="s">
        <v>298</v>
      </c>
      <c r="C143" s="13" t="s">
        <v>33</v>
      </c>
      <c r="D143" s="13">
        <v>13</v>
      </c>
      <c r="E143" s="13"/>
      <c r="F143" s="13" t="s">
        <v>96</v>
      </c>
      <c r="G143" s="432">
        <v>10</v>
      </c>
      <c r="H143" s="440">
        <v>10</v>
      </c>
      <c r="I143" s="28">
        <v>2</v>
      </c>
      <c r="J143" s="441">
        <f t="shared" si="26" ref="J143:J163">H143/G143*I143</f>
        <v>2</v>
      </c>
      <c r="K143" s="28">
        <v>1</v>
      </c>
      <c r="L143" s="267">
        <f t="shared" si="27" ref="L143:L163">J143*K143</f>
        <v>2</v>
      </c>
      <c r="M143" s="433">
        <f t="shared" si="28" ref="M143:M163">L143*N143</f>
        <v>400</v>
      </c>
      <c r="N143" s="434">
        <v>200</v>
      </c>
      <c r="O143" s="435">
        <f t="shared" si="29" ref="O143:O163">J143/I143*K143</f>
        <v>1</v>
      </c>
      <c r="P143" s="268" t="s">
        <v>1755</v>
      </c>
    </row>
    <row r="144" spans="1:16" ht="30">
      <c r="A144" s="523" t="s">
        <v>1663</v>
      </c>
      <c r="B144" s="522" t="s">
        <v>1665</v>
      </c>
      <c r="C144" s="523" t="s">
        <v>33</v>
      </c>
      <c r="D144" s="523">
        <v>13</v>
      </c>
      <c r="E144" s="523"/>
      <c r="F144" s="523" t="s">
        <v>1666</v>
      </c>
      <c r="G144" s="527">
        <v>11.22</v>
      </c>
      <c r="H144" s="530">
        <v>10</v>
      </c>
      <c r="I144" s="527">
        <v>2</v>
      </c>
      <c r="J144" s="531">
        <f t="shared" si="26"/>
        <v>1.7825311942959001</v>
      </c>
      <c r="K144" s="527">
        <v>1</v>
      </c>
      <c r="L144" s="267">
        <f t="shared" si="27"/>
        <v>1.7825311942959001</v>
      </c>
      <c r="M144" s="433">
        <f t="shared" si="28"/>
        <v>356.50623885918003</v>
      </c>
      <c r="N144" s="434">
        <v>200</v>
      </c>
      <c r="O144" s="435">
        <f t="shared" si="29"/>
        <v>0.89126559714795006</v>
      </c>
      <c r="P144" s="268" t="s">
        <v>1754</v>
      </c>
    </row>
    <row r="145" spans="1:16" ht="30">
      <c r="A145" s="523" t="s">
        <v>1664</v>
      </c>
      <c r="B145" s="522" t="s">
        <v>1667</v>
      </c>
      <c r="C145" s="523" t="s">
        <v>33</v>
      </c>
      <c r="D145" s="523">
        <v>13</v>
      </c>
      <c r="E145" s="523"/>
      <c r="F145" s="523" t="s">
        <v>10</v>
      </c>
      <c r="G145" s="527">
        <v>40</v>
      </c>
      <c r="H145" s="530">
        <v>10</v>
      </c>
      <c r="I145" s="527">
        <v>1</v>
      </c>
      <c r="J145" s="531">
        <f t="shared" si="26"/>
        <v>0.25</v>
      </c>
      <c r="K145" s="525">
        <f>3828/1000</f>
        <v>3.8279999999999998</v>
      </c>
      <c r="L145" s="267">
        <f t="shared" si="27"/>
        <v>0.95699999999999996</v>
      </c>
      <c r="M145" s="433">
        <f t="shared" si="28"/>
        <v>191.40</v>
      </c>
      <c r="N145" s="434">
        <v>200</v>
      </c>
      <c r="O145" s="435">
        <f t="shared" si="29"/>
        <v>0.95699999999999996</v>
      </c>
      <c r="P145" s="268" t="s">
        <v>1754</v>
      </c>
    </row>
    <row r="146" spans="1:16" ht="30">
      <c r="A146" s="13" t="s">
        <v>299</v>
      </c>
      <c r="B146" s="56" t="s">
        <v>300</v>
      </c>
      <c r="C146" s="13" t="s">
        <v>33</v>
      </c>
      <c r="D146" s="13">
        <v>13</v>
      </c>
      <c r="E146" s="13"/>
      <c r="F146" s="13" t="s">
        <v>96</v>
      </c>
      <c r="G146" s="442">
        <v>6.49</v>
      </c>
      <c r="H146" s="440">
        <v>10</v>
      </c>
      <c r="I146" s="28">
        <v>2</v>
      </c>
      <c r="J146" s="441">
        <f t="shared" si="26"/>
        <v>3.0816640986132509</v>
      </c>
      <c r="K146" s="28">
        <v>1</v>
      </c>
      <c r="L146" s="267">
        <f t="shared" si="27"/>
        <v>3.0816640986132509</v>
      </c>
      <c r="M146" s="433">
        <f t="shared" si="28"/>
        <v>616.33281972265013</v>
      </c>
      <c r="N146" s="434">
        <v>200</v>
      </c>
      <c r="O146" s="435">
        <f t="shared" si="29"/>
        <v>1.5408320493066254</v>
      </c>
      <c r="P146" s="268" t="s">
        <v>1755</v>
      </c>
    </row>
    <row r="147" spans="1:16" ht="30">
      <c r="A147" s="13" t="s">
        <v>301</v>
      </c>
      <c r="B147" s="27" t="s">
        <v>97</v>
      </c>
      <c r="C147" s="13" t="s">
        <v>83</v>
      </c>
      <c r="D147" s="13">
        <v>13</v>
      </c>
      <c r="E147" s="13"/>
      <c r="F147" s="13" t="s">
        <v>12</v>
      </c>
      <c r="G147" s="442">
        <v>3.42</v>
      </c>
      <c r="H147" s="440">
        <v>10</v>
      </c>
      <c r="I147" s="28">
        <v>2</v>
      </c>
      <c r="J147" s="441">
        <f t="shared" si="26"/>
        <v>5.8479532163742691</v>
      </c>
      <c r="K147" s="28">
        <v>1</v>
      </c>
      <c r="L147" s="267">
        <f t="shared" si="27"/>
        <v>5.8479532163742691</v>
      </c>
      <c r="M147" s="433">
        <f t="shared" si="28"/>
        <v>1169.5906432748538</v>
      </c>
      <c r="N147" s="434">
        <v>200</v>
      </c>
      <c r="O147" s="435">
        <f t="shared" si="29"/>
        <v>2.9239766081871346</v>
      </c>
      <c r="P147" s="268" t="s">
        <v>1756</v>
      </c>
    </row>
    <row r="148" spans="1:16" ht="15">
      <c r="A148" s="57" t="s">
        <v>530</v>
      </c>
      <c r="B148" s="269" t="s">
        <v>531</v>
      </c>
      <c r="C148" s="13" t="s">
        <v>33</v>
      </c>
      <c r="D148" s="13">
        <v>226</v>
      </c>
      <c r="E148" s="13"/>
      <c r="F148" s="13" t="s">
        <v>12</v>
      </c>
      <c r="G148" s="28">
        <v>10</v>
      </c>
      <c r="H148" s="440">
        <v>10</v>
      </c>
      <c r="I148" s="28">
        <v>1</v>
      </c>
      <c r="J148" s="441">
        <f t="shared" si="26"/>
        <v>1</v>
      </c>
      <c r="K148" s="442">
        <v>1</v>
      </c>
      <c r="L148" s="267">
        <f t="shared" si="27"/>
        <v>1</v>
      </c>
      <c r="M148" s="266">
        <f t="shared" si="28"/>
        <v>200</v>
      </c>
      <c r="N148" s="433">
        <v>200</v>
      </c>
      <c r="O148" s="435">
        <f t="shared" si="29"/>
        <v>1</v>
      </c>
      <c r="P148" s="268" t="s">
        <v>1757</v>
      </c>
    </row>
    <row r="149" spans="1:16" ht="15">
      <c r="A149" s="13" t="s">
        <v>290</v>
      </c>
      <c r="B149" s="27" t="s">
        <v>31</v>
      </c>
      <c r="C149" s="13" t="s">
        <v>14</v>
      </c>
      <c r="D149" s="13">
        <v>226</v>
      </c>
      <c r="E149" s="13"/>
      <c r="F149" s="13" t="s">
        <v>58</v>
      </c>
      <c r="G149" s="28">
        <v>61</v>
      </c>
      <c r="H149" s="440">
        <v>10</v>
      </c>
      <c r="I149" s="28">
        <v>1</v>
      </c>
      <c r="J149" s="441">
        <f t="shared" si="26"/>
        <v>0.16393442622950818</v>
      </c>
      <c r="K149" s="28">
        <v>11.30</v>
      </c>
      <c r="L149" s="267">
        <f t="shared" si="27"/>
        <v>1.8524590163934427</v>
      </c>
      <c r="M149" s="433">
        <f t="shared" si="28"/>
        <v>370.49180327868851</v>
      </c>
      <c r="N149" s="434">
        <v>200</v>
      </c>
      <c r="O149" s="435">
        <f t="shared" si="29"/>
        <v>1.8524590163934427</v>
      </c>
      <c r="P149" s="268" t="s">
        <v>1757</v>
      </c>
    </row>
    <row r="150" spans="1:16" ht="15">
      <c r="A150" s="13" t="s">
        <v>302</v>
      </c>
      <c r="B150" s="27" t="s">
        <v>903</v>
      </c>
      <c r="C150" s="13" t="s">
        <v>523</v>
      </c>
      <c r="D150" s="13">
        <v>224</v>
      </c>
      <c r="E150" s="13"/>
      <c r="F150" s="13" t="s">
        <v>400</v>
      </c>
      <c r="G150" s="442">
        <v>50</v>
      </c>
      <c r="H150" s="440">
        <v>10</v>
      </c>
      <c r="I150" s="28">
        <v>2</v>
      </c>
      <c r="J150" s="441">
        <f t="shared" si="26"/>
        <v>0.40</v>
      </c>
      <c r="K150" s="28">
        <v>2</v>
      </c>
      <c r="L150" s="267">
        <f t="shared" si="27"/>
        <v>0.80</v>
      </c>
      <c r="M150" s="433">
        <f t="shared" si="28"/>
        <v>140.80000000000001</v>
      </c>
      <c r="N150" s="434">
        <v>176</v>
      </c>
      <c r="O150" s="435">
        <f t="shared" si="29"/>
        <v>0.40</v>
      </c>
      <c r="P150" s="268" t="s">
        <v>1715</v>
      </c>
    </row>
    <row r="151" spans="1:16" ht="15">
      <c r="A151" s="13" t="s">
        <v>292</v>
      </c>
      <c r="B151" s="27" t="s">
        <v>21</v>
      </c>
      <c r="C151" s="13" t="s">
        <v>33</v>
      </c>
      <c r="D151" s="13">
        <v>219</v>
      </c>
      <c r="E151" s="13"/>
      <c r="F151" s="13" t="s">
        <v>12</v>
      </c>
      <c r="G151" s="569">
        <f>2.404*2</f>
        <v>4.8079999999999998</v>
      </c>
      <c r="H151" s="440">
        <v>10</v>
      </c>
      <c r="I151" s="28">
        <v>2</v>
      </c>
      <c r="J151" s="441">
        <f t="shared" si="26"/>
        <v>4.1597337770382694</v>
      </c>
      <c r="K151" s="28">
        <v>1</v>
      </c>
      <c r="L151" s="267">
        <f t="shared" si="27"/>
        <v>4.1597337770382694</v>
      </c>
      <c r="M151" s="433">
        <f t="shared" si="28"/>
        <v>690.51580698835278</v>
      </c>
      <c r="N151" s="434">
        <v>166</v>
      </c>
      <c r="O151" s="435">
        <f t="shared" si="29"/>
        <v>2.0798668885191347</v>
      </c>
      <c r="P151" s="268" t="s">
        <v>1758</v>
      </c>
    </row>
    <row r="152" spans="1:16" ht="30">
      <c r="A152" s="13" t="s">
        <v>406</v>
      </c>
      <c r="B152" s="27" t="s">
        <v>407</v>
      </c>
      <c r="C152" s="13" t="s">
        <v>14</v>
      </c>
      <c r="D152" s="13">
        <v>226</v>
      </c>
      <c r="E152" s="13"/>
      <c r="F152" s="13" t="s">
        <v>12</v>
      </c>
      <c r="G152" s="442">
        <v>61</v>
      </c>
      <c r="H152" s="440">
        <v>10</v>
      </c>
      <c r="I152" s="28">
        <v>1</v>
      </c>
      <c r="J152" s="441">
        <f t="shared" si="26"/>
        <v>0.16393442622950818</v>
      </c>
      <c r="K152" s="28">
        <v>1.70</v>
      </c>
      <c r="L152" s="435">
        <f t="shared" si="27"/>
        <v>0.27868852459016391</v>
      </c>
      <c r="M152" s="266">
        <f t="shared" si="28"/>
        <v>55.737704918032783</v>
      </c>
      <c r="N152" s="433">
        <v>200</v>
      </c>
      <c r="O152" s="435">
        <f t="shared" si="29"/>
        <v>0.27868852459016391</v>
      </c>
      <c r="P152" s="268" t="s">
        <v>1715</v>
      </c>
    </row>
    <row r="153" spans="1:16" ht="15">
      <c r="A153" s="13" t="s">
        <v>291</v>
      </c>
      <c r="B153" s="27" t="s">
        <v>101</v>
      </c>
      <c r="C153" s="13" t="s">
        <v>33</v>
      </c>
      <c r="D153" s="13">
        <v>219</v>
      </c>
      <c r="E153" s="13"/>
      <c r="F153" s="13" t="s">
        <v>12</v>
      </c>
      <c r="G153" s="442">
        <v>6.20</v>
      </c>
      <c r="H153" s="440">
        <v>10</v>
      </c>
      <c r="I153" s="28">
        <v>2</v>
      </c>
      <c r="J153" s="441">
        <f t="shared" si="26"/>
        <v>3.225806451612903</v>
      </c>
      <c r="K153" s="28">
        <v>1</v>
      </c>
      <c r="L153" s="267">
        <f t="shared" si="27"/>
        <v>3.225806451612903</v>
      </c>
      <c r="M153" s="433">
        <f t="shared" si="28"/>
        <v>645.16129032258061</v>
      </c>
      <c r="N153" s="434">
        <v>200</v>
      </c>
      <c r="O153" s="435">
        <f t="shared" si="29"/>
        <v>1.6129032258064515</v>
      </c>
      <c r="P153" s="268" t="s">
        <v>1757</v>
      </c>
    </row>
    <row r="154" spans="1:16" ht="15">
      <c r="A154" s="13" t="s">
        <v>303</v>
      </c>
      <c r="B154" s="27" t="s">
        <v>304</v>
      </c>
      <c r="C154" s="13" t="s">
        <v>226</v>
      </c>
      <c r="D154" s="13">
        <v>302</v>
      </c>
      <c r="E154" s="13"/>
      <c r="F154" s="13" t="s">
        <v>103</v>
      </c>
      <c r="G154" s="432">
        <v>105</v>
      </c>
      <c r="H154" s="440">
        <v>10</v>
      </c>
      <c r="I154" s="28">
        <v>1</v>
      </c>
      <c r="J154" s="441">
        <f t="shared" si="26"/>
        <v>0.095238095238095233</v>
      </c>
      <c r="K154" s="28">
        <v>64</v>
      </c>
      <c r="L154" s="267">
        <f t="shared" si="27"/>
        <v>6.0952380952380949</v>
      </c>
      <c r="M154" s="433">
        <f t="shared" si="28"/>
        <v>1072.7619047619046</v>
      </c>
      <c r="N154" s="434">
        <v>176</v>
      </c>
      <c r="O154" s="435">
        <f t="shared" si="29"/>
        <v>6.0952380952380949</v>
      </c>
      <c r="P154" s="268" t="s">
        <v>1759</v>
      </c>
    </row>
    <row r="155" spans="1:16" ht="15">
      <c r="A155" s="13" t="s">
        <v>293</v>
      </c>
      <c r="B155" s="27" t="s">
        <v>102</v>
      </c>
      <c r="C155" s="13" t="s">
        <v>33</v>
      </c>
      <c r="D155" s="13">
        <v>219</v>
      </c>
      <c r="E155" s="13"/>
      <c r="F155" s="13" t="s">
        <v>103</v>
      </c>
      <c r="G155" s="28">
        <f>10*60/1</f>
        <v>600</v>
      </c>
      <c r="H155" s="440">
        <v>10</v>
      </c>
      <c r="I155" s="28">
        <v>1</v>
      </c>
      <c r="J155" s="441">
        <f t="shared" si="26"/>
        <v>0.016666666666666666</v>
      </c>
      <c r="K155" s="28">
        <v>64</v>
      </c>
      <c r="L155" s="267">
        <f t="shared" si="27"/>
        <v>1.0666666666666667</v>
      </c>
      <c r="M155" s="433">
        <f t="shared" si="28"/>
        <v>162.13333333333333</v>
      </c>
      <c r="N155" s="434">
        <v>152</v>
      </c>
      <c r="O155" s="435">
        <f t="shared" si="29"/>
        <v>1.0666666666666667</v>
      </c>
      <c r="P155" s="268" t="s">
        <v>1728</v>
      </c>
    </row>
    <row r="156" spans="1:16" ht="15">
      <c r="A156" s="13" t="s">
        <v>305</v>
      </c>
      <c r="B156" s="27" t="s">
        <v>343</v>
      </c>
      <c r="C156" s="13" t="s">
        <v>14</v>
      </c>
      <c r="D156" s="13">
        <v>226</v>
      </c>
      <c r="E156" s="13"/>
      <c r="F156" s="13" t="s">
        <v>58</v>
      </c>
      <c r="G156" s="28">
        <v>55.20</v>
      </c>
      <c r="H156" s="440">
        <v>10</v>
      </c>
      <c r="I156" s="28">
        <v>1</v>
      </c>
      <c r="J156" s="441">
        <f t="shared" si="26"/>
        <v>0.18115942028985507</v>
      </c>
      <c r="K156" s="28">
        <v>1.78</v>
      </c>
      <c r="L156" s="435">
        <f t="shared" si="27"/>
        <v>0.32246376811594202</v>
      </c>
      <c r="M156" s="266">
        <f t="shared" si="28"/>
        <v>64.492753623188406</v>
      </c>
      <c r="N156" s="433">
        <v>200</v>
      </c>
      <c r="O156" s="435">
        <f t="shared" si="29"/>
        <v>0.32246376811594202</v>
      </c>
      <c r="P156" s="268" t="s">
        <v>1755</v>
      </c>
    </row>
    <row r="157" spans="1:16" ht="30">
      <c r="A157" s="13" t="s">
        <v>306</v>
      </c>
      <c r="B157" s="27" t="s">
        <v>307</v>
      </c>
      <c r="C157" s="13" t="s">
        <v>14</v>
      </c>
      <c r="D157" s="13">
        <v>226</v>
      </c>
      <c r="E157" s="13"/>
      <c r="F157" s="13" t="s">
        <v>12</v>
      </c>
      <c r="G157" s="28">
        <v>5.30</v>
      </c>
      <c r="H157" s="440">
        <v>10</v>
      </c>
      <c r="I157" s="28">
        <v>1</v>
      </c>
      <c r="J157" s="441">
        <f t="shared" si="26"/>
        <v>1.8867924528301887</v>
      </c>
      <c r="K157" s="28">
        <v>1</v>
      </c>
      <c r="L157" s="435">
        <f t="shared" si="27"/>
        <v>1.8867924528301887</v>
      </c>
      <c r="M157" s="266">
        <f t="shared" si="28"/>
        <v>377.35849056603774</v>
      </c>
      <c r="N157" s="433">
        <v>200</v>
      </c>
      <c r="O157" s="435">
        <f t="shared" si="29"/>
        <v>1.8867924528301887</v>
      </c>
      <c r="P157" s="268" t="s">
        <v>1757</v>
      </c>
    </row>
    <row r="158" spans="1:16" ht="15">
      <c r="A158" s="13" t="s">
        <v>296</v>
      </c>
      <c r="B158" s="56" t="s">
        <v>105</v>
      </c>
      <c r="C158" s="13" t="s">
        <v>33</v>
      </c>
      <c r="D158" s="13">
        <v>219</v>
      </c>
      <c r="E158" s="13"/>
      <c r="F158" s="13" t="s">
        <v>96</v>
      </c>
      <c r="G158" s="28">
        <v>10.50</v>
      </c>
      <c r="H158" s="440">
        <v>10</v>
      </c>
      <c r="I158" s="28">
        <v>2</v>
      </c>
      <c r="J158" s="441">
        <f t="shared" si="26"/>
        <v>1.9047619047619047</v>
      </c>
      <c r="K158" s="28">
        <v>1</v>
      </c>
      <c r="L158" s="267">
        <f t="shared" si="27"/>
        <v>1.9047619047619047</v>
      </c>
      <c r="M158" s="433">
        <f t="shared" si="28"/>
        <v>380.95238095238091</v>
      </c>
      <c r="N158" s="434">
        <v>200</v>
      </c>
      <c r="O158" s="435">
        <f t="shared" si="29"/>
        <v>0.95238095238095233</v>
      </c>
      <c r="P158" s="268" t="s">
        <v>1760</v>
      </c>
    </row>
    <row r="159" spans="1:16" ht="15">
      <c r="A159" s="523" t="s">
        <v>1695</v>
      </c>
      <c r="B159" s="522" t="s">
        <v>1696</v>
      </c>
      <c r="C159" s="523" t="s">
        <v>33</v>
      </c>
      <c r="D159" s="523">
        <v>13</v>
      </c>
      <c r="E159" s="523"/>
      <c r="F159" s="523" t="s">
        <v>12</v>
      </c>
      <c r="G159" s="527">
        <v>20</v>
      </c>
      <c r="H159" s="530">
        <v>10</v>
      </c>
      <c r="I159" s="527">
        <v>1</v>
      </c>
      <c r="J159" s="531">
        <f t="shared" si="26"/>
        <v>0.50</v>
      </c>
      <c r="K159" s="527">
        <v>1</v>
      </c>
      <c r="L159" s="267">
        <f t="shared" si="27"/>
        <v>0.50</v>
      </c>
      <c r="M159" s="433">
        <f t="shared" si="28"/>
        <v>100</v>
      </c>
      <c r="N159" s="434">
        <v>200</v>
      </c>
      <c r="O159" s="435">
        <f t="shared" si="29"/>
        <v>0.50</v>
      </c>
      <c r="P159" s="268" t="s">
        <v>1757</v>
      </c>
    </row>
    <row r="160" spans="1:16" ht="15">
      <c r="A160" s="13" t="s">
        <v>308</v>
      </c>
      <c r="B160" s="27" t="s">
        <v>309</v>
      </c>
      <c r="C160" s="13" t="s">
        <v>14</v>
      </c>
      <c r="D160" s="13">
        <v>226</v>
      </c>
      <c r="E160" s="13"/>
      <c r="F160" s="13" t="s">
        <v>58</v>
      </c>
      <c r="G160" s="442">
        <v>12</v>
      </c>
      <c r="H160" s="440">
        <v>10</v>
      </c>
      <c r="I160" s="28">
        <v>1</v>
      </c>
      <c r="J160" s="441">
        <f t="shared" si="26"/>
        <v>0.83333333333333337</v>
      </c>
      <c r="K160" s="28">
        <v>1</v>
      </c>
      <c r="L160" s="435">
        <f t="shared" si="27"/>
        <v>0.83333333333333337</v>
      </c>
      <c r="M160" s="266">
        <f t="shared" si="28"/>
        <v>126.66666666666667</v>
      </c>
      <c r="N160" s="433">
        <v>152</v>
      </c>
      <c r="O160" s="435">
        <f t="shared" si="29"/>
        <v>0.83333333333333337</v>
      </c>
      <c r="P160" s="268" t="s">
        <v>1757</v>
      </c>
    </row>
    <row r="161" spans="1:16" ht="15">
      <c r="A161" s="13" t="s">
        <v>294</v>
      </c>
      <c r="B161" s="27" t="s">
        <v>521</v>
      </c>
      <c r="C161" s="13" t="s">
        <v>14</v>
      </c>
      <c r="D161" s="13">
        <v>226</v>
      </c>
      <c r="E161" s="13"/>
      <c r="F161" s="13" t="s">
        <v>58</v>
      </c>
      <c r="G161" s="28">
        <v>23.16</v>
      </c>
      <c r="H161" s="440">
        <v>10</v>
      </c>
      <c r="I161" s="28">
        <v>1</v>
      </c>
      <c r="J161" s="441">
        <f t="shared" si="26"/>
        <v>0.43177892918825561</v>
      </c>
      <c r="K161" s="28">
        <v>9.10</v>
      </c>
      <c r="L161" s="267">
        <f t="shared" si="27"/>
        <v>3.9291882556131261</v>
      </c>
      <c r="M161" s="433">
        <f t="shared" si="28"/>
        <v>785.83765112262518</v>
      </c>
      <c r="N161" s="434">
        <v>200</v>
      </c>
      <c r="O161" s="435">
        <f t="shared" si="29"/>
        <v>3.9291882556131261</v>
      </c>
      <c r="P161" s="268" t="s">
        <v>1757</v>
      </c>
    </row>
    <row r="162" spans="1:16" ht="15">
      <c r="A162" s="13" t="s">
        <v>1639</v>
      </c>
      <c r="B162" s="27" t="s">
        <v>1640</v>
      </c>
      <c r="C162" s="13" t="s">
        <v>33</v>
      </c>
      <c r="D162" s="13">
        <v>219</v>
      </c>
      <c r="E162" s="13"/>
      <c r="F162" s="13" t="s">
        <v>12</v>
      </c>
      <c r="G162" s="442">
        <v>30</v>
      </c>
      <c r="H162" s="440">
        <v>10</v>
      </c>
      <c r="I162" s="28">
        <v>2</v>
      </c>
      <c r="J162" s="441">
        <f t="shared" si="26"/>
        <v>0.66666666666666663</v>
      </c>
      <c r="K162" s="28">
        <v>1</v>
      </c>
      <c r="L162" s="267">
        <f t="shared" si="27"/>
        <v>0.66666666666666663</v>
      </c>
      <c r="M162" s="433">
        <f t="shared" si="28"/>
        <v>101.33333333333333</v>
      </c>
      <c r="N162" s="434">
        <v>152</v>
      </c>
      <c r="O162" s="435">
        <f t="shared" si="29"/>
        <v>0.33333333333333331</v>
      </c>
      <c r="P162" s="268" t="s">
        <v>1757</v>
      </c>
    </row>
    <row r="163" spans="1:16" ht="15">
      <c r="A163" s="13" t="s">
        <v>295</v>
      </c>
      <c r="B163" s="27" t="s">
        <v>104</v>
      </c>
      <c r="C163" s="13" t="s">
        <v>33</v>
      </c>
      <c r="D163" s="13">
        <v>219</v>
      </c>
      <c r="E163" s="13"/>
      <c r="F163" s="13" t="s">
        <v>12</v>
      </c>
      <c r="G163" s="28">
        <v>6.16</v>
      </c>
      <c r="H163" s="440">
        <v>10</v>
      </c>
      <c r="I163" s="28">
        <v>2</v>
      </c>
      <c r="J163" s="441">
        <f t="shared" si="26"/>
        <v>3.2467532467532467</v>
      </c>
      <c r="K163" s="28">
        <v>1</v>
      </c>
      <c r="L163" s="267">
        <f t="shared" si="27"/>
        <v>3.2467532467532467</v>
      </c>
      <c r="M163" s="433">
        <f t="shared" si="28"/>
        <v>493.50649350649348</v>
      </c>
      <c r="N163" s="434">
        <v>152</v>
      </c>
      <c r="O163" s="435">
        <f t="shared" si="29"/>
        <v>1.6233766233766234</v>
      </c>
      <c r="P163" s="268" t="s">
        <v>1761</v>
      </c>
    </row>
    <row r="164" spans="1:15" s="22" customFormat="1" ht="15">
      <c r="A164" s="579"/>
      <c r="B164" s="580" t="s">
        <v>15</v>
      </c>
      <c r="C164" s="579"/>
      <c r="D164" s="579"/>
      <c r="E164" s="579"/>
      <c r="F164" s="581"/>
      <c r="G164" s="579"/>
      <c r="H164" s="582"/>
      <c r="I164" s="579"/>
      <c r="J164" s="583"/>
      <c r="K164" s="579"/>
      <c r="L164" s="584">
        <f>SUM(L6:L163)</f>
        <v>249.45912214286597</v>
      </c>
      <c r="M164" s="585">
        <f>M17+M52+M69+M82+M93+M142+M89+M5</f>
        <v>49123.089783830234</v>
      </c>
      <c r="N164" s="586"/>
      <c r="O164" s="587">
        <f>O17+O52+O69+O82+O93+O142+O89+O5</f>
        <v>175.72329359002569</v>
      </c>
    </row>
    <row r="165" spans="12:15" ht="15">
      <c r="L165" s="448" t="s">
        <v>16</v>
      </c>
      <c r="O165" s="448" t="s">
        <v>17</v>
      </c>
    </row>
    <row r="166" spans="6:15" ht="15">
      <c r="F166" s="107"/>
      <c r="J166" s="450"/>
      <c r="K166" s="451" t="s">
        <v>18</v>
      </c>
      <c r="L166" s="452">
        <f>L164/G2</f>
        <v>121.68737665505658</v>
      </c>
      <c r="M166" s="450" t="s">
        <v>19</v>
      </c>
      <c r="N166" s="450"/>
      <c r="O166" s="450"/>
    </row>
    <row r="167" spans="6:6" ht="15">
      <c r="F167" s="107"/>
    </row>
    <row r="168" spans="2:8" ht="15">
      <c r="B168" s="493" t="s">
        <v>858</v>
      </c>
      <c r="F168" s="107"/>
      <c r="H168" s="268"/>
    </row>
    <row r="169" spans="6:6" ht="15">
      <c r="F169" s="107"/>
    </row>
    <row r="170" spans="2:2" ht="15">
      <c r="B170" s="493" t="s">
        <v>848</v>
      </c>
    </row>
    <row r="172" spans="2:2" ht="15">
      <c r="B172" s="493" t="s">
        <v>849</v>
      </c>
    </row>
    <row r="176" spans="1:8" ht="15" hidden="1">
      <c r="A176" s="21" t="s">
        <v>328</v>
      </c>
      <c r="B176" s="590" t="s">
        <v>329</v>
      </c>
      <c r="C176" s="21" t="s">
        <v>330</v>
      </c>
      <c r="D176" s="21" t="s">
        <v>331</v>
      </c>
      <c r="E176" s="21" t="s">
        <v>332</v>
      </c>
      <c r="F176" s="21" t="s">
        <v>333</v>
      </c>
      <c r="G176" s="427"/>
      <c r="H176" s="268"/>
    </row>
    <row r="177" spans="1:8" ht="75" hidden="1">
      <c r="A177" s="68">
        <v>1</v>
      </c>
      <c r="B177" s="493" t="s">
        <v>1283</v>
      </c>
      <c r="C177" s="68">
        <v>600</v>
      </c>
      <c r="D177" s="68">
        <v>400</v>
      </c>
      <c r="E177" s="68" t="s">
        <v>954</v>
      </c>
      <c r="F177" s="513">
        <v>44602</v>
      </c>
      <c r="G177" s="427"/>
      <c r="H177" s="268"/>
    </row>
    <row r="178" spans="1:8" ht="30" hidden="1">
      <c r="A178" s="68">
        <v>2</v>
      </c>
      <c r="B178" s="493" t="s">
        <v>1284</v>
      </c>
      <c r="E178" s="68" t="s">
        <v>954</v>
      </c>
      <c r="F178" s="513">
        <v>44602</v>
      </c>
      <c r="G178" s="427"/>
      <c r="H178" s="268"/>
    </row>
    <row r="179" spans="1:8" ht="30" hidden="1">
      <c r="A179" s="68">
        <v>3</v>
      </c>
      <c r="B179" s="493" t="s">
        <v>1296</v>
      </c>
      <c r="E179" s="68" t="s">
        <v>954</v>
      </c>
      <c r="F179" s="513">
        <v>44616</v>
      </c>
      <c r="G179" s="513"/>
      <c r="H179" s="268"/>
    </row>
    <row r="180" spans="1:8" ht="30" hidden="1">
      <c r="A180" s="68">
        <v>4</v>
      </c>
      <c r="B180" s="493" t="s">
        <v>1323</v>
      </c>
      <c r="E180" s="68" t="s">
        <v>954</v>
      </c>
      <c r="F180" s="513">
        <v>44616</v>
      </c>
      <c r="G180" s="513"/>
      <c r="H180" s="268"/>
    </row>
    <row r="181" spans="1:8" ht="30" hidden="1">
      <c r="A181" s="68">
        <v>5</v>
      </c>
      <c r="B181" s="493" t="s">
        <v>1298</v>
      </c>
      <c r="E181" s="68" t="s">
        <v>954</v>
      </c>
      <c r="F181" s="513">
        <v>44616</v>
      </c>
      <c r="G181" s="513"/>
      <c r="H181" s="268"/>
    </row>
    <row r="182" spans="1:8" ht="30" hidden="1">
      <c r="A182" s="68">
        <v>6</v>
      </c>
      <c r="B182" s="493" t="s">
        <v>1299</v>
      </c>
      <c r="E182" s="68" t="s">
        <v>954</v>
      </c>
      <c r="F182" s="513">
        <v>44616</v>
      </c>
      <c r="G182" s="513"/>
      <c r="H182" s="268"/>
    </row>
    <row r="183" spans="1:8" ht="30" hidden="1">
      <c r="A183" s="68">
        <v>7</v>
      </c>
      <c r="B183" s="493" t="s">
        <v>1300</v>
      </c>
      <c r="E183" s="68" t="s">
        <v>954</v>
      </c>
      <c r="F183" s="513">
        <v>44616</v>
      </c>
      <c r="G183" s="513"/>
      <c r="H183" s="268"/>
    </row>
    <row r="184" spans="1:8" ht="30" hidden="1">
      <c r="A184" s="68">
        <v>8</v>
      </c>
      <c r="B184" s="493" t="s">
        <v>1301</v>
      </c>
      <c r="E184" s="68" t="s">
        <v>954</v>
      </c>
      <c r="F184" s="513">
        <v>44616</v>
      </c>
      <c r="G184" s="513"/>
      <c r="H184" s="268"/>
    </row>
    <row r="185" spans="1:8" ht="30" hidden="1">
      <c r="A185" s="68">
        <v>9</v>
      </c>
      <c r="B185" s="493" t="s">
        <v>1302</v>
      </c>
      <c r="E185" s="68" t="s">
        <v>954</v>
      </c>
      <c r="F185" s="513">
        <v>44616</v>
      </c>
      <c r="G185" s="513"/>
      <c r="H185" s="268"/>
    </row>
    <row r="186" spans="1:8" ht="30" hidden="1">
      <c r="A186" s="68">
        <v>10</v>
      </c>
      <c r="B186" s="493" t="s">
        <v>1303</v>
      </c>
      <c r="E186" s="68" t="s">
        <v>954</v>
      </c>
      <c r="F186" s="513">
        <v>44616</v>
      </c>
      <c r="G186" s="513"/>
      <c r="H186" s="268"/>
    </row>
    <row r="187" spans="1:8" ht="30" hidden="1">
      <c r="A187" s="68">
        <v>11</v>
      </c>
      <c r="B187" s="493" t="s">
        <v>1304</v>
      </c>
      <c r="E187" s="68" t="s">
        <v>954</v>
      </c>
      <c r="F187" s="513">
        <v>44616</v>
      </c>
      <c r="G187" s="513"/>
      <c r="H187" s="268"/>
    </row>
    <row r="188" spans="1:8" ht="30" hidden="1">
      <c r="A188" s="68">
        <v>12</v>
      </c>
      <c r="B188" s="493" t="s">
        <v>1305</v>
      </c>
      <c r="E188" s="68" t="s">
        <v>954</v>
      </c>
      <c r="F188" s="513">
        <v>44616</v>
      </c>
      <c r="G188" s="513"/>
      <c r="H188" s="268"/>
    </row>
    <row r="189" spans="1:8" ht="30" hidden="1">
      <c r="A189" s="68">
        <v>13</v>
      </c>
      <c r="B189" s="493" t="s">
        <v>1306</v>
      </c>
      <c r="E189" s="68" t="s">
        <v>954</v>
      </c>
      <c r="F189" s="513">
        <v>44616</v>
      </c>
      <c r="G189" s="513"/>
      <c r="H189" s="268"/>
    </row>
    <row r="190" spans="1:8" ht="30" hidden="1">
      <c r="A190" s="68">
        <v>14</v>
      </c>
      <c r="B190" s="493" t="s">
        <v>1307</v>
      </c>
      <c r="E190" s="68" t="s">
        <v>954</v>
      </c>
      <c r="F190" s="513">
        <v>44616</v>
      </c>
      <c r="G190" s="513"/>
      <c r="H190" s="268"/>
    </row>
    <row r="191" spans="1:6" ht="45" hidden="1">
      <c r="A191" s="68">
        <v>15</v>
      </c>
      <c r="B191" s="493" t="s">
        <v>1466</v>
      </c>
      <c r="E191" s="68" t="s">
        <v>954</v>
      </c>
      <c r="F191" s="513">
        <v>44634</v>
      </c>
    </row>
    <row r="192" spans="1:6" ht="45" hidden="1">
      <c r="A192" s="68">
        <v>16</v>
      </c>
      <c r="B192" s="493" t="s">
        <v>1465</v>
      </c>
      <c r="E192" s="68" t="s">
        <v>954</v>
      </c>
      <c r="F192" s="513">
        <v>44634</v>
      </c>
    </row>
    <row r="193" spans="1:6" ht="45" hidden="1">
      <c r="A193" s="68">
        <v>17</v>
      </c>
      <c r="B193" s="493" t="s">
        <v>1464</v>
      </c>
      <c r="E193" s="68" t="s">
        <v>954</v>
      </c>
      <c r="F193" s="513">
        <v>44634</v>
      </c>
    </row>
    <row r="194" spans="1:6" ht="45" hidden="1">
      <c r="A194" s="68">
        <v>18</v>
      </c>
      <c r="B194" s="493" t="s">
        <v>1474</v>
      </c>
      <c r="E194" s="68" t="s">
        <v>954</v>
      </c>
      <c r="F194" s="513">
        <v>44634</v>
      </c>
    </row>
    <row r="195" spans="1:6" ht="60" hidden="1">
      <c r="A195" s="68">
        <v>19</v>
      </c>
      <c r="B195" s="493" t="s">
        <v>1473</v>
      </c>
      <c r="E195" s="68" t="s">
        <v>954</v>
      </c>
      <c r="F195" s="513">
        <v>44634</v>
      </c>
    </row>
    <row r="196" spans="1:6" ht="60" hidden="1">
      <c r="A196" s="68">
        <v>20</v>
      </c>
      <c r="B196" s="493" t="s">
        <v>1472</v>
      </c>
      <c r="E196" s="68" t="s">
        <v>954</v>
      </c>
      <c r="F196" s="513">
        <v>44634</v>
      </c>
    </row>
    <row r="197" spans="1:6" ht="60" hidden="1">
      <c r="A197" s="68">
        <v>21</v>
      </c>
      <c r="B197" s="493" t="s">
        <v>1463</v>
      </c>
      <c r="E197" s="68" t="s">
        <v>954</v>
      </c>
      <c r="F197" s="513">
        <v>44634</v>
      </c>
    </row>
    <row r="198" spans="1:6" ht="60" hidden="1">
      <c r="A198" s="68">
        <v>22</v>
      </c>
      <c r="B198" s="493" t="s">
        <v>1462</v>
      </c>
      <c r="E198" s="68" t="s">
        <v>954</v>
      </c>
      <c r="F198" s="513">
        <v>44634</v>
      </c>
    </row>
    <row r="199" spans="1:6" ht="45" hidden="1">
      <c r="A199" s="68">
        <v>23</v>
      </c>
      <c r="B199" s="493" t="s">
        <v>1406</v>
      </c>
      <c r="E199" s="68" t="s">
        <v>954</v>
      </c>
      <c r="F199" s="513">
        <v>44634</v>
      </c>
    </row>
    <row r="200" spans="1:6" ht="45" hidden="1">
      <c r="A200" s="68">
        <v>24</v>
      </c>
      <c r="B200" s="493" t="s">
        <v>1422</v>
      </c>
      <c r="E200" s="68" t="s">
        <v>954</v>
      </c>
      <c r="F200" s="513">
        <v>44634</v>
      </c>
    </row>
    <row r="201" spans="1:6" ht="15">
      <c r="A201" s="68"/>
      <c r="E201" s="68"/>
      <c r="F201" s="513"/>
    </row>
    <row r="202" spans="1:6" ht="15.75" thickBot="1">
      <c r="A202" s="68"/>
      <c r="E202" s="68"/>
      <c r="F202" s="513"/>
    </row>
    <row r="203" spans="1:15" ht="15">
      <c r="A203" s="675" t="s">
        <v>1646</v>
      </c>
      <c r="B203" s="673"/>
      <c r="C203" s="673"/>
      <c r="D203" s="673"/>
      <c r="E203" s="673"/>
      <c r="F203" s="673"/>
      <c r="G203" s="593"/>
      <c r="H203" s="594"/>
      <c r="I203" s="594"/>
      <c r="J203" s="594"/>
      <c r="K203" s="594"/>
      <c r="L203" s="594"/>
      <c r="M203" s="594"/>
      <c r="N203" s="594"/>
      <c r="O203" s="595"/>
    </row>
    <row r="204" spans="1:15" ht="15.75" thickBot="1">
      <c r="A204" s="596" t="s">
        <v>328</v>
      </c>
      <c r="B204" s="677" t="s">
        <v>1593</v>
      </c>
      <c r="C204" s="677"/>
      <c r="D204" s="677"/>
      <c r="E204" s="597" t="s">
        <v>332</v>
      </c>
      <c r="F204" s="597" t="s">
        <v>333</v>
      </c>
      <c r="G204" s="598"/>
      <c r="H204" s="599"/>
      <c r="I204" s="599"/>
      <c r="J204" s="599"/>
      <c r="K204" s="599"/>
      <c r="L204" s="599"/>
      <c r="M204" s="599"/>
      <c r="N204" s="599"/>
      <c r="O204" s="600"/>
    </row>
    <row r="205" spans="1:15" ht="15">
      <c r="A205" s="90">
        <v>1</v>
      </c>
      <c r="B205" s="678" t="s">
        <v>1605</v>
      </c>
      <c r="C205" s="678"/>
      <c r="D205" s="678"/>
      <c r="E205" s="90" t="s">
        <v>1334</v>
      </c>
      <c r="F205" s="591">
        <v>44677</v>
      </c>
      <c r="G205" s="588"/>
      <c r="H205" s="589"/>
      <c r="I205" s="589"/>
      <c r="J205" s="589"/>
      <c r="K205" s="589"/>
      <c r="L205" s="589"/>
      <c r="M205" s="589"/>
      <c r="N205" s="589"/>
      <c r="O205" s="592"/>
    </row>
    <row r="206" spans="1:15" ht="15.75" thickBot="1">
      <c r="A206" s="54" t="s">
        <v>1639</v>
      </c>
      <c r="B206" s="476" t="s">
        <v>1640</v>
      </c>
      <c r="C206" s="54" t="s">
        <v>33</v>
      </c>
      <c r="D206" s="54" t="s">
        <v>1333</v>
      </c>
      <c r="E206" s="54"/>
      <c r="F206" s="54" t="s">
        <v>12</v>
      </c>
      <c r="G206" s="601">
        <v>30</v>
      </c>
      <c r="H206" s="602">
        <v>10</v>
      </c>
      <c r="I206" s="172">
        <v>2</v>
      </c>
      <c r="J206" s="603">
        <f t="shared" si="30" ref="J206">H206/G206*I206</f>
        <v>0.66666666666666663</v>
      </c>
      <c r="K206" s="172">
        <v>1</v>
      </c>
      <c r="L206" s="604">
        <f t="shared" si="31" ref="L206">J206*K206</f>
        <v>0.66666666666666663</v>
      </c>
      <c r="M206" s="605">
        <f t="shared" si="32" ref="M206">L206*N206</f>
        <v>101.33333333333333</v>
      </c>
      <c r="N206" s="606">
        <v>152</v>
      </c>
      <c r="O206" s="607">
        <f t="shared" si="33" ref="O206">J206/I206*K206</f>
        <v>0.33333333333333331</v>
      </c>
    </row>
    <row r="207" spans="1:15" ht="15">
      <c r="A207" s="500" t="s">
        <v>328</v>
      </c>
      <c r="B207" s="673" t="s">
        <v>1593</v>
      </c>
      <c r="C207" s="673"/>
      <c r="D207" s="673"/>
      <c r="E207" s="501" t="s">
        <v>332</v>
      </c>
      <c r="F207" s="501" t="s">
        <v>333</v>
      </c>
      <c r="G207" s="593"/>
      <c r="H207" s="594"/>
      <c r="I207" s="594"/>
      <c r="J207" s="594"/>
      <c r="K207" s="594"/>
      <c r="L207" s="594"/>
      <c r="M207" s="594"/>
      <c r="N207" s="594"/>
      <c r="O207" s="613"/>
    </row>
    <row r="208" spans="1:15" ht="15.75" thickBot="1">
      <c r="A208" s="504">
        <v>2</v>
      </c>
      <c r="B208" s="674" t="s">
        <v>1657</v>
      </c>
      <c r="C208" s="674"/>
      <c r="D208" s="674"/>
      <c r="E208" s="505" t="s">
        <v>1250</v>
      </c>
      <c r="F208" s="614">
        <v>44728</v>
      </c>
      <c r="G208" s="598"/>
      <c r="H208" s="599"/>
      <c r="I208" s="599"/>
      <c r="J208" s="599"/>
      <c r="K208" s="599"/>
      <c r="L208" s="599"/>
      <c r="M208" s="599"/>
      <c r="N208" s="599"/>
      <c r="O208" s="600"/>
    </row>
    <row r="209" spans="1:15" ht="15">
      <c r="A209" s="644" t="s">
        <v>651</v>
      </c>
      <c r="B209" s="676" t="s">
        <v>311</v>
      </c>
      <c r="C209" s="90" t="s">
        <v>1052</v>
      </c>
      <c r="D209" s="90">
        <v>106</v>
      </c>
      <c r="E209" s="90"/>
      <c r="F209" s="90" t="s">
        <v>1053</v>
      </c>
      <c r="G209" s="608">
        <v>20</v>
      </c>
      <c r="H209" s="588">
        <v>10</v>
      </c>
      <c r="I209" s="589">
        <v>2</v>
      </c>
      <c r="J209" s="609">
        <f t="shared" si="34" ref="J209:J220">H209/G209*I209</f>
        <v>1</v>
      </c>
      <c r="K209" s="608">
        <v>1</v>
      </c>
      <c r="L209" s="610">
        <f t="shared" si="35" ref="L209:L220">J209*K209</f>
        <v>1</v>
      </c>
      <c r="M209" s="611">
        <f t="shared" si="36" ref="M209:M220">L209*N209</f>
        <v>200</v>
      </c>
      <c r="N209" s="612">
        <v>200</v>
      </c>
      <c r="O209" s="610">
        <f t="shared" si="37" ref="O209:O220">J209/I209*K209</f>
        <v>0.50</v>
      </c>
    </row>
    <row r="210" spans="1:15" ht="15">
      <c r="A210" s="650"/>
      <c r="B210" s="656"/>
      <c r="C210" s="13" t="s">
        <v>1217</v>
      </c>
      <c r="D210" s="13">
        <v>106</v>
      </c>
      <c r="E210" s="13"/>
      <c r="F210" s="13" t="s">
        <v>10</v>
      </c>
      <c r="G210" s="442">
        <v>40</v>
      </c>
      <c r="H210" s="437">
        <v>10</v>
      </c>
      <c r="I210" s="28">
        <v>1</v>
      </c>
      <c r="J210" s="468">
        <f t="shared" si="34"/>
        <v>0.25</v>
      </c>
      <c r="K210" s="442">
        <f>(1884)/1000</f>
        <v>1.8839999999999999</v>
      </c>
      <c r="L210" s="267">
        <f t="shared" si="35"/>
        <v>0.47099999999999997</v>
      </c>
      <c r="M210" s="266">
        <f t="shared" si="36"/>
        <v>94.199999999999989</v>
      </c>
      <c r="N210" s="433">
        <v>200</v>
      </c>
      <c r="O210" s="267">
        <f t="shared" si="37"/>
        <v>0.47099999999999997</v>
      </c>
    </row>
    <row r="211" spans="1:15" ht="15">
      <c r="A211" s="650"/>
      <c r="B211" s="656"/>
      <c r="C211" s="13" t="s">
        <v>1218</v>
      </c>
      <c r="D211" s="13">
        <v>106</v>
      </c>
      <c r="E211" s="13" t="s">
        <v>44</v>
      </c>
      <c r="F211" s="13" t="s">
        <v>10</v>
      </c>
      <c r="G211" s="442">
        <v>27</v>
      </c>
      <c r="H211" s="437">
        <v>10</v>
      </c>
      <c r="I211" s="28">
        <v>1</v>
      </c>
      <c r="J211" s="468">
        <f t="shared" si="34"/>
        <v>0.37037037037037035</v>
      </c>
      <c r="K211" s="442">
        <f>(1884)*2/1000+0.2</f>
        <v>3.968</v>
      </c>
      <c r="L211" s="267">
        <f t="shared" si="35"/>
        <v>1.4696296296296296</v>
      </c>
      <c r="M211" s="266">
        <f t="shared" si="36"/>
        <v>293.92592592592592</v>
      </c>
      <c r="N211" s="433">
        <v>200</v>
      </c>
      <c r="O211" s="267">
        <f t="shared" si="37"/>
        <v>1.4696296296296296</v>
      </c>
    </row>
    <row r="212" spans="1:15" ht="15">
      <c r="A212" s="650"/>
      <c r="B212" s="656"/>
      <c r="C212" s="13" t="s">
        <v>1052</v>
      </c>
      <c r="D212" s="13">
        <v>106</v>
      </c>
      <c r="E212" s="13"/>
      <c r="F212" s="13" t="s">
        <v>1053</v>
      </c>
      <c r="G212" s="442">
        <v>20</v>
      </c>
      <c r="H212" s="437">
        <v>10</v>
      </c>
      <c r="I212" s="28">
        <v>2</v>
      </c>
      <c r="J212" s="468">
        <f t="shared" si="34"/>
        <v>1</v>
      </c>
      <c r="K212" s="442">
        <v>1</v>
      </c>
      <c r="L212" s="267">
        <f t="shared" si="35"/>
        <v>1</v>
      </c>
      <c r="M212" s="433">
        <f t="shared" si="36"/>
        <v>200</v>
      </c>
      <c r="N212" s="434">
        <v>200</v>
      </c>
      <c r="O212" s="267">
        <f t="shared" si="37"/>
        <v>0.50</v>
      </c>
    </row>
    <row r="213" spans="1:15" ht="15">
      <c r="A213" s="650"/>
      <c r="B213" s="656"/>
      <c r="C213" s="13" t="s">
        <v>1219</v>
      </c>
      <c r="D213" s="13">
        <v>106</v>
      </c>
      <c r="E213" s="13"/>
      <c r="F213" s="13" t="s">
        <v>10</v>
      </c>
      <c r="G213" s="442">
        <v>40</v>
      </c>
      <c r="H213" s="437">
        <v>10</v>
      </c>
      <c r="I213" s="28">
        <v>1</v>
      </c>
      <c r="J213" s="468">
        <f t="shared" si="34"/>
        <v>0.25</v>
      </c>
      <c r="K213" s="442">
        <f>(1884)/1000</f>
        <v>1.8839999999999999</v>
      </c>
      <c r="L213" s="267">
        <f t="shared" si="35"/>
        <v>0.47099999999999997</v>
      </c>
      <c r="M213" s="266">
        <f t="shared" si="36"/>
        <v>94.199999999999989</v>
      </c>
      <c r="N213" s="433">
        <v>200</v>
      </c>
      <c r="O213" s="267">
        <f t="shared" si="37"/>
        <v>0.47099999999999997</v>
      </c>
    </row>
    <row r="214" spans="1:15" ht="15">
      <c r="A214" s="650"/>
      <c r="B214" s="656"/>
      <c r="C214" s="13" t="s">
        <v>1220</v>
      </c>
      <c r="D214" s="13">
        <v>106</v>
      </c>
      <c r="E214" s="13" t="s">
        <v>44</v>
      </c>
      <c r="F214" s="13" t="s">
        <v>10</v>
      </c>
      <c r="G214" s="442">
        <v>27</v>
      </c>
      <c r="H214" s="437">
        <v>10</v>
      </c>
      <c r="I214" s="28">
        <v>1</v>
      </c>
      <c r="J214" s="468">
        <f t="shared" si="34"/>
        <v>0.37037037037037035</v>
      </c>
      <c r="K214" s="442">
        <f>(1884)*2/1000+0.2</f>
        <v>3.968</v>
      </c>
      <c r="L214" s="267">
        <f t="shared" si="35"/>
        <v>1.4696296296296296</v>
      </c>
      <c r="M214" s="266">
        <f t="shared" si="36"/>
        <v>293.92592592592592</v>
      </c>
      <c r="N214" s="433">
        <v>200</v>
      </c>
      <c r="O214" s="267">
        <f t="shared" si="37"/>
        <v>1.4696296296296296</v>
      </c>
    </row>
    <row r="215" spans="1:15" ht="15" customHeight="1">
      <c r="A215" s="650" t="s">
        <v>651</v>
      </c>
      <c r="B215" s="638" t="s">
        <v>1051</v>
      </c>
      <c r="C215" s="13" t="s">
        <v>1052</v>
      </c>
      <c r="D215" s="13">
        <v>106</v>
      </c>
      <c r="E215" s="13"/>
      <c r="F215" s="13" t="s">
        <v>1053</v>
      </c>
      <c r="G215" s="442">
        <v>20</v>
      </c>
      <c r="H215" s="437">
        <v>10</v>
      </c>
      <c r="I215" s="28">
        <v>2</v>
      </c>
      <c r="J215" s="468">
        <f t="shared" si="34"/>
        <v>1</v>
      </c>
      <c r="K215" s="442">
        <v>1</v>
      </c>
      <c r="L215" s="267">
        <f t="shared" si="35"/>
        <v>1</v>
      </c>
      <c r="M215" s="433">
        <f t="shared" si="36"/>
        <v>200</v>
      </c>
      <c r="N215" s="434">
        <v>200</v>
      </c>
      <c r="O215" s="267">
        <f t="shared" si="37"/>
        <v>0.50</v>
      </c>
    </row>
    <row r="216" spans="1:15" ht="15">
      <c r="A216" s="650"/>
      <c r="B216" s="638"/>
      <c r="C216" s="13" t="s">
        <v>1217</v>
      </c>
      <c r="D216" s="13">
        <v>106</v>
      </c>
      <c r="E216" s="13"/>
      <c r="F216" s="13" t="s">
        <v>10</v>
      </c>
      <c r="G216" s="442">
        <v>40</v>
      </c>
      <c r="H216" s="437">
        <v>10</v>
      </c>
      <c r="I216" s="28">
        <v>1</v>
      </c>
      <c r="J216" s="468">
        <f t="shared" si="34"/>
        <v>0.25</v>
      </c>
      <c r="K216" s="442">
        <f>(1884)/1000</f>
        <v>1.8839999999999999</v>
      </c>
      <c r="L216" s="267">
        <f t="shared" si="35"/>
        <v>0.47099999999999997</v>
      </c>
      <c r="M216" s="266">
        <f t="shared" si="36"/>
        <v>94.199999999999989</v>
      </c>
      <c r="N216" s="433">
        <v>200</v>
      </c>
      <c r="O216" s="267">
        <f t="shared" si="37"/>
        <v>0.47099999999999997</v>
      </c>
    </row>
    <row r="217" spans="1:15" ht="15">
      <c r="A217" s="650"/>
      <c r="B217" s="638"/>
      <c r="C217" s="13" t="s">
        <v>1218</v>
      </c>
      <c r="D217" s="13">
        <v>106</v>
      </c>
      <c r="E217" s="13" t="s">
        <v>44</v>
      </c>
      <c r="F217" s="13" t="s">
        <v>10</v>
      </c>
      <c r="G217" s="442">
        <v>27</v>
      </c>
      <c r="H217" s="437">
        <v>10</v>
      </c>
      <c r="I217" s="28">
        <v>1</v>
      </c>
      <c r="J217" s="468">
        <f t="shared" si="34"/>
        <v>0.37037037037037035</v>
      </c>
      <c r="K217" s="442">
        <f>(1884)*2/1000+0.2</f>
        <v>3.968</v>
      </c>
      <c r="L217" s="267">
        <f t="shared" si="35"/>
        <v>1.4696296296296296</v>
      </c>
      <c r="M217" s="266">
        <f t="shared" si="36"/>
        <v>293.92592592592592</v>
      </c>
      <c r="N217" s="433">
        <v>200</v>
      </c>
      <c r="O217" s="267">
        <f t="shared" si="37"/>
        <v>1.4696296296296296</v>
      </c>
    </row>
    <row r="218" spans="1:15" ht="15">
      <c r="A218" s="650"/>
      <c r="B218" s="638"/>
      <c r="C218" s="13" t="s">
        <v>1052</v>
      </c>
      <c r="D218" s="13">
        <v>106</v>
      </c>
      <c r="E218" s="13"/>
      <c r="F218" s="13" t="s">
        <v>1053</v>
      </c>
      <c r="G218" s="442">
        <v>20</v>
      </c>
      <c r="H218" s="437">
        <v>10</v>
      </c>
      <c r="I218" s="28">
        <v>2</v>
      </c>
      <c r="J218" s="468">
        <f t="shared" si="34"/>
        <v>1</v>
      </c>
      <c r="K218" s="442">
        <v>1</v>
      </c>
      <c r="L218" s="267">
        <f t="shared" si="35"/>
        <v>1</v>
      </c>
      <c r="M218" s="433">
        <f t="shared" si="36"/>
        <v>200</v>
      </c>
      <c r="N218" s="434">
        <v>200</v>
      </c>
      <c r="O218" s="267">
        <f t="shared" si="37"/>
        <v>0.50</v>
      </c>
    </row>
    <row r="219" spans="1:15" ht="15">
      <c r="A219" s="650"/>
      <c r="B219" s="638"/>
      <c r="C219" s="13" t="s">
        <v>1219</v>
      </c>
      <c r="D219" s="13">
        <v>106</v>
      </c>
      <c r="E219" s="13"/>
      <c r="F219" s="13" t="s">
        <v>10</v>
      </c>
      <c r="G219" s="442">
        <v>40</v>
      </c>
      <c r="H219" s="437">
        <v>10</v>
      </c>
      <c r="I219" s="28">
        <v>1</v>
      </c>
      <c r="J219" s="468">
        <f t="shared" si="34"/>
        <v>0.25</v>
      </c>
      <c r="K219" s="442">
        <f>(1884)/1000</f>
        <v>1.8839999999999999</v>
      </c>
      <c r="L219" s="267">
        <f t="shared" si="35"/>
        <v>0.47099999999999997</v>
      </c>
      <c r="M219" s="266">
        <f t="shared" si="36"/>
        <v>94.199999999999989</v>
      </c>
      <c r="N219" s="433">
        <v>200</v>
      </c>
      <c r="O219" s="267">
        <f t="shared" si="37"/>
        <v>0.47099999999999997</v>
      </c>
    </row>
    <row r="220" spans="1:15" ht="15">
      <c r="A220" s="650"/>
      <c r="B220" s="638"/>
      <c r="C220" s="13" t="s">
        <v>1220</v>
      </c>
      <c r="D220" s="13">
        <v>106</v>
      </c>
      <c r="E220" s="13" t="s">
        <v>44</v>
      </c>
      <c r="F220" s="13" t="s">
        <v>10</v>
      </c>
      <c r="G220" s="442">
        <v>27</v>
      </c>
      <c r="H220" s="437">
        <v>10</v>
      </c>
      <c r="I220" s="28">
        <v>1</v>
      </c>
      <c r="J220" s="468">
        <f t="shared" si="34"/>
        <v>0.37037037037037035</v>
      </c>
      <c r="K220" s="442">
        <f>(1884)*2/1000+0.2</f>
        <v>3.968</v>
      </c>
      <c r="L220" s="267">
        <f t="shared" si="35"/>
        <v>1.4696296296296296</v>
      </c>
      <c r="M220" s="266">
        <f t="shared" si="36"/>
        <v>293.92592592592592</v>
      </c>
      <c r="N220" s="433">
        <v>200</v>
      </c>
      <c r="O220" s="267">
        <f t="shared" si="37"/>
        <v>1.4696296296296296</v>
      </c>
    </row>
    <row r="221" spans="1:15" ht="15.75" thickBot="1">
      <c r="A221" s="172"/>
      <c r="B221" s="476"/>
      <c r="C221" s="172"/>
      <c r="D221" s="172"/>
      <c r="E221" s="172"/>
      <c r="F221" s="54"/>
      <c r="G221" s="172"/>
      <c r="H221" s="615"/>
      <c r="I221" s="172"/>
      <c r="J221" s="172"/>
      <c r="K221" s="172"/>
      <c r="L221" s="172"/>
      <c r="M221" s="172"/>
      <c r="N221" s="172"/>
      <c r="O221" s="172"/>
    </row>
    <row r="222" spans="1:15" ht="15">
      <c r="A222" s="500" t="s">
        <v>328</v>
      </c>
      <c r="B222" s="673" t="s">
        <v>1593</v>
      </c>
      <c r="C222" s="673"/>
      <c r="D222" s="673"/>
      <c r="E222" s="501" t="s">
        <v>332</v>
      </c>
      <c r="F222" s="501" t="s">
        <v>333</v>
      </c>
      <c r="G222" s="623"/>
      <c r="H222" s="593"/>
      <c r="I222" s="594"/>
      <c r="J222" s="594"/>
      <c r="K222" s="594"/>
      <c r="L222" s="594"/>
      <c r="M222" s="594"/>
      <c r="N222" s="594"/>
      <c r="O222" s="595"/>
    </row>
    <row r="223" spans="1:15" ht="15.75" thickBot="1">
      <c r="A223" s="504">
        <v>3</v>
      </c>
      <c r="B223" s="674" t="s">
        <v>1605</v>
      </c>
      <c r="C223" s="674"/>
      <c r="D223" s="674"/>
      <c r="E223" s="505" t="s">
        <v>1682</v>
      </c>
      <c r="F223" s="614">
        <v>44987</v>
      </c>
      <c r="G223" s="505"/>
      <c r="H223" s="598"/>
      <c r="I223" s="599"/>
      <c r="J223" s="599"/>
      <c r="K223" s="599"/>
      <c r="L223" s="599"/>
      <c r="M223" s="599"/>
      <c r="N223" s="599"/>
      <c r="O223" s="624"/>
    </row>
    <row r="224" spans="1:15" ht="30">
      <c r="A224" s="529" t="s">
        <v>1662</v>
      </c>
      <c r="B224" s="570" t="s">
        <v>1661</v>
      </c>
      <c r="C224" s="616" t="s">
        <v>9</v>
      </c>
      <c r="D224" s="616">
        <v>109</v>
      </c>
      <c r="E224" s="616"/>
      <c r="F224" s="617" t="s">
        <v>10</v>
      </c>
      <c r="G224" s="618">
        <v>33</v>
      </c>
      <c r="H224" s="619">
        <v>10</v>
      </c>
      <c r="I224" s="620">
        <v>1</v>
      </c>
      <c r="J224" s="621">
        <f t="shared" si="38" ref="J224:J228">H224/G224*I224</f>
        <v>0.30303030303030304</v>
      </c>
      <c r="K224" s="618">
        <f>(350*2)/1000</f>
        <v>0.70</v>
      </c>
      <c r="L224" s="610">
        <f t="shared" si="39" ref="L224:L228">J224*K224</f>
        <v>0.21212121212121213</v>
      </c>
      <c r="M224" s="622">
        <f t="shared" si="40" ref="M224:M228">L224*N224</f>
        <v>32.242424242424242</v>
      </c>
      <c r="N224" s="611">
        <v>152</v>
      </c>
      <c r="O224" s="610">
        <f t="shared" si="41" ref="O224:O228">J224/I224*K224</f>
        <v>0.21212121212121213</v>
      </c>
    </row>
    <row r="225" spans="1:15" ht="30">
      <c r="A225" s="523" t="s">
        <v>1668</v>
      </c>
      <c r="B225" s="522" t="s">
        <v>1670</v>
      </c>
      <c r="C225" s="523" t="s">
        <v>33</v>
      </c>
      <c r="D225" s="523">
        <v>116</v>
      </c>
      <c r="E225" s="523"/>
      <c r="F225" s="523" t="s">
        <v>1666</v>
      </c>
      <c r="G225" s="527">
        <v>11.47</v>
      </c>
      <c r="H225" s="530">
        <v>10</v>
      </c>
      <c r="I225" s="527">
        <v>2</v>
      </c>
      <c r="J225" s="531">
        <f t="shared" si="38"/>
        <v>1.7436791630340016</v>
      </c>
      <c r="K225" s="527">
        <v>1</v>
      </c>
      <c r="L225" s="267">
        <f t="shared" si="39"/>
        <v>1.7436791630340016</v>
      </c>
      <c r="M225" s="433">
        <f t="shared" si="40"/>
        <v>348.73583260680033</v>
      </c>
      <c r="N225" s="434">
        <v>200</v>
      </c>
      <c r="O225" s="435">
        <f t="shared" si="41"/>
        <v>0.87183958151700081</v>
      </c>
    </row>
    <row r="226" spans="1:15" ht="30">
      <c r="A226" s="523" t="s">
        <v>1669</v>
      </c>
      <c r="B226" s="522" t="s">
        <v>1671</v>
      </c>
      <c r="C226" s="523" t="s">
        <v>33</v>
      </c>
      <c r="D226" s="523">
        <v>116</v>
      </c>
      <c r="E226" s="523"/>
      <c r="F226" s="523" t="s">
        <v>10</v>
      </c>
      <c r="G226" s="527">
        <v>40</v>
      </c>
      <c r="H226" s="530">
        <v>10</v>
      </c>
      <c r="I226" s="527">
        <v>1</v>
      </c>
      <c r="J226" s="531">
        <f t="shared" si="38"/>
        <v>0.25</v>
      </c>
      <c r="K226" s="525">
        <f>3873/1000</f>
        <v>3.8730000000000002</v>
      </c>
      <c r="L226" s="267">
        <f t="shared" si="39"/>
        <v>0.96825000000000006</v>
      </c>
      <c r="M226" s="433">
        <f t="shared" si="40"/>
        <v>193.65</v>
      </c>
      <c r="N226" s="434">
        <v>200</v>
      </c>
      <c r="O226" s="435">
        <f t="shared" si="41"/>
        <v>0.96825000000000006</v>
      </c>
    </row>
    <row r="227" spans="1:15" ht="30">
      <c r="A227" s="523" t="s">
        <v>1663</v>
      </c>
      <c r="B227" s="522" t="s">
        <v>1665</v>
      </c>
      <c r="C227" s="523" t="s">
        <v>33</v>
      </c>
      <c r="D227" s="523">
        <v>116</v>
      </c>
      <c r="E227" s="523"/>
      <c r="F227" s="523" t="s">
        <v>1666</v>
      </c>
      <c r="G227" s="527">
        <v>11.22</v>
      </c>
      <c r="H227" s="530">
        <v>10</v>
      </c>
      <c r="I227" s="527">
        <v>2</v>
      </c>
      <c r="J227" s="531">
        <f t="shared" si="38"/>
        <v>1.7825311942959001</v>
      </c>
      <c r="K227" s="527">
        <v>1</v>
      </c>
      <c r="L227" s="267">
        <f t="shared" si="39"/>
        <v>1.7825311942959001</v>
      </c>
      <c r="M227" s="433">
        <f t="shared" si="40"/>
        <v>356.50623885918003</v>
      </c>
      <c r="N227" s="434">
        <v>200</v>
      </c>
      <c r="O227" s="435">
        <f t="shared" si="41"/>
        <v>0.89126559714795006</v>
      </c>
    </row>
    <row r="228" spans="1:15" ht="30">
      <c r="A228" s="523" t="s">
        <v>1664</v>
      </c>
      <c r="B228" s="522" t="s">
        <v>1667</v>
      </c>
      <c r="C228" s="523" t="s">
        <v>33</v>
      </c>
      <c r="D228" s="523">
        <v>116</v>
      </c>
      <c r="E228" s="523"/>
      <c r="F228" s="523" t="s">
        <v>10</v>
      </c>
      <c r="G228" s="527">
        <v>40</v>
      </c>
      <c r="H228" s="530">
        <v>10</v>
      </c>
      <c r="I228" s="527">
        <v>1</v>
      </c>
      <c r="J228" s="531">
        <f t="shared" si="38"/>
        <v>0.25</v>
      </c>
      <c r="K228" s="525">
        <f>3828/1000</f>
        <v>3.8279999999999998</v>
      </c>
      <c r="L228" s="267">
        <f t="shared" si="39"/>
        <v>0.95699999999999996</v>
      </c>
      <c r="M228" s="433">
        <f t="shared" si="40"/>
        <v>191.40</v>
      </c>
      <c r="N228" s="434">
        <v>200</v>
      </c>
      <c r="O228" s="435">
        <f t="shared" si="41"/>
        <v>0.95699999999999996</v>
      </c>
    </row>
    <row r="229" spans="1:15" ht="15.75" thickBot="1">
      <c r="A229" s="172"/>
      <c r="B229" s="476"/>
      <c r="C229" s="172"/>
      <c r="D229" s="172"/>
      <c r="E229" s="172"/>
      <c r="F229" s="54"/>
      <c r="G229" s="172"/>
      <c r="H229" s="615"/>
      <c r="I229" s="172"/>
      <c r="J229" s="172"/>
      <c r="K229" s="172"/>
      <c r="L229" s="172"/>
      <c r="M229" s="172"/>
      <c r="N229" s="172"/>
      <c r="O229" s="172"/>
    </row>
    <row r="230" spans="1:15" ht="15">
      <c r="A230" s="500" t="s">
        <v>328</v>
      </c>
      <c r="B230" s="673" t="s">
        <v>1593</v>
      </c>
      <c r="C230" s="673"/>
      <c r="D230" s="673"/>
      <c r="E230" s="501" t="s">
        <v>332</v>
      </c>
      <c r="F230" s="501" t="s">
        <v>333</v>
      </c>
      <c r="G230" s="594"/>
      <c r="H230" s="593"/>
      <c r="I230" s="594"/>
      <c r="J230" s="594"/>
      <c r="K230" s="594"/>
      <c r="L230" s="594"/>
      <c r="M230" s="594"/>
      <c r="N230" s="594"/>
      <c r="O230" s="595"/>
    </row>
    <row r="231" spans="1:15" ht="15.75" thickBot="1">
      <c r="A231" s="504">
        <v>4</v>
      </c>
      <c r="B231" s="674" t="s">
        <v>1605</v>
      </c>
      <c r="C231" s="674"/>
      <c r="D231" s="674"/>
      <c r="E231" s="505" t="s">
        <v>1682</v>
      </c>
      <c r="F231" s="614">
        <v>45055</v>
      </c>
      <c r="G231" s="599"/>
      <c r="H231" s="598"/>
      <c r="I231" s="599"/>
      <c r="J231" s="599"/>
      <c r="K231" s="599"/>
      <c r="L231" s="599"/>
      <c r="M231" s="599"/>
      <c r="N231" s="599"/>
      <c r="O231" s="624"/>
    </row>
    <row r="232" spans="1:15" ht="15">
      <c r="A232" s="616" t="s">
        <v>1695</v>
      </c>
      <c r="B232" s="570" t="s">
        <v>1696</v>
      </c>
      <c r="C232" s="616" t="s">
        <v>33</v>
      </c>
      <c r="D232" s="616">
        <v>226</v>
      </c>
      <c r="E232" s="616"/>
      <c r="F232" s="616" t="s">
        <v>12</v>
      </c>
      <c r="G232" s="620">
        <v>20</v>
      </c>
      <c r="H232" s="625">
        <v>10</v>
      </c>
      <c r="I232" s="620">
        <v>1</v>
      </c>
      <c r="J232" s="626">
        <f t="shared" si="42" ref="J232">H232/G232*I232</f>
        <v>0.50</v>
      </c>
      <c r="K232" s="620">
        <v>1</v>
      </c>
      <c r="L232" s="610">
        <f t="shared" si="43" ref="L232">J232*K232</f>
        <v>0.50</v>
      </c>
      <c r="M232" s="611">
        <f t="shared" si="44" ref="M232">L232*N232</f>
        <v>100</v>
      </c>
      <c r="N232" s="612">
        <v>200</v>
      </c>
      <c r="O232" s="627">
        <f t="shared" si="45" ref="O232">J232/I232*K232</f>
        <v>0.50</v>
      </c>
    </row>
    <row r="233" spans="1:15" ht="15.75" thickBot="1">
      <c r="A233" s="172"/>
      <c r="B233" s="476"/>
      <c r="C233" s="172"/>
      <c r="D233" s="172"/>
      <c r="E233" s="172"/>
      <c r="F233" s="54"/>
      <c r="G233" s="172"/>
      <c r="H233" s="615"/>
      <c r="I233" s="172"/>
      <c r="J233" s="172"/>
      <c r="K233" s="172"/>
      <c r="L233" s="172"/>
      <c r="M233" s="172"/>
      <c r="N233" s="172"/>
      <c r="O233" s="172"/>
    </row>
    <row r="234" spans="1:15" ht="15">
      <c r="A234" s="500" t="s">
        <v>328</v>
      </c>
      <c r="B234" s="673" t="s">
        <v>1593</v>
      </c>
      <c r="C234" s="673"/>
      <c r="D234" s="673"/>
      <c r="E234" s="501" t="s">
        <v>332</v>
      </c>
      <c r="F234" s="501" t="s">
        <v>333</v>
      </c>
      <c r="G234" s="594"/>
      <c r="H234" s="593"/>
      <c r="I234" s="594"/>
      <c r="J234" s="594"/>
      <c r="K234" s="594"/>
      <c r="L234" s="594"/>
      <c r="M234" s="594"/>
      <c r="N234" s="594"/>
      <c r="O234" s="595"/>
    </row>
    <row r="235" spans="1:15" ht="15.75" thickBot="1">
      <c r="A235" s="504">
        <v>5</v>
      </c>
      <c r="B235" s="674" t="s">
        <v>1657</v>
      </c>
      <c r="C235" s="674"/>
      <c r="D235" s="674"/>
      <c r="E235" s="505" t="s">
        <v>1697</v>
      </c>
      <c r="F235" s="614">
        <v>45142</v>
      </c>
      <c r="G235" s="599"/>
      <c r="H235" s="598"/>
      <c r="I235" s="599"/>
      <c r="J235" s="599"/>
      <c r="K235" s="599"/>
      <c r="L235" s="599"/>
      <c r="M235" s="599"/>
      <c r="N235" s="599"/>
      <c r="O235" s="624"/>
    </row>
    <row r="236" spans="1:15" ht="15">
      <c r="A236" s="90" t="s">
        <v>292</v>
      </c>
      <c r="B236" s="369" t="s">
        <v>21</v>
      </c>
      <c r="C236" s="90" t="s">
        <v>33</v>
      </c>
      <c r="D236" s="90">
        <v>219</v>
      </c>
      <c r="E236" s="90"/>
      <c r="F236" s="90" t="s">
        <v>12</v>
      </c>
      <c r="G236" s="628">
        <v>2.4039999999999999</v>
      </c>
      <c r="H236" s="629">
        <v>10</v>
      </c>
      <c r="I236" s="589">
        <v>2</v>
      </c>
      <c r="J236" s="630">
        <f t="shared" si="46" ref="J236:J237">H236/G236*I236</f>
        <v>8.3194675540765388</v>
      </c>
      <c r="K236" s="589">
        <v>1</v>
      </c>
      <c r="L236" s="610">
        <f t="shared" si="47" ref="L236:L237">J236*K236</f>
        <v>8.3194675540765388</v>
      </c>
      <c r="M236" s="611">
        <f t="shared" si="48" ref="M236:M237">L236*N236</f>
        <v>1381.0316139767056</v>
      </c>
      <c r="N236" s="612">
        <v>166</v>
      </c>
      <c r="O236" s="627">
        <f t="shared" si="49" ref="O236:O237">J236/I236*K236</f>
        <v>4.1597337770382694</v>
      </c>
    </row>
    <row r="237" spans="1:15" ht="15">
      <c r="A237" s="13" t="s">
        <v>292</v>
      </c>
      <c r="B237" s="27" t="s">
        <v>21</v>
      </c>
      <c r="C237" s="13" t="s">
        <v>33</v>
      </c>
      <c r="D237" s="13">
        <v>219</v>
      </c>
      <c r="E237" s="13"/>
      <c r="F237" s="13" t="s">
        <v>12</v>
      </c>
      <c r="G237" s="569">
        <f t="shared" si="50" ref="G237">2.404*2</f>
        <v>4.8079999999999998</v>
      </c>
      <c r="H237" s="440">
        <v>10</v>
      </c>
      <c r="I237" s="28">
        <v>2</v>
      </c>
      <c r="J237" s="441">
        <f t="shared" si="46"/>
        <v>4.1597337770382694</v>
      </c>
      <c r="K237" s="28">
        <v>1</v>
      </c>
      <c r="L237" s="267">
        <f t="shared" si="47"/>
        <v>4.1597337770382694</v>
      </c>
      <c r="M237" s="433">
        <f t="shared" si="48"/>
        <v>690.51580698835278</v>
      </c>
      <c r="N237" s="434">
        <v>166</v>
      </c>
      <c r="O237" s="435">
        <f t="shared" si="49"/>
        <v>2.0798668885191347</v>
      </c>
    </row>
  </sheetData>
  <autoFilter ref="A4:O166"/>
  <mergeCells count="54">
    <mergeCell ref="A30:A31"/>
    <mergeCell ref="B30:B31"/>
    <mergeCell ref="E30:E31"/>
    <mergeCell ref="B5:K5"/>
    <mergeCell ref="B17:K17"/>
    <mergeCell ref="A18:A20"/>
    <mergeCell ref="B18:B20"/>
    <mergeCell ref="A22:A23"/>
    <mergeCell ref="B22:B23"/>
    <mergeCell ref="E22:E23"/>
    <mergeCell ref="A32:A35"/>
    <mergeCell ref="B32:B35"/>
    <mergeCell ref="A38:A39"/>
    <mergeCell ref="B38:B39"/>
    <mergeCell ref="A40:A43"/>
    <mergeCell ref="B40:B43"/>
    <mergeCell ref="B52:K52"/>
    <mergeCell ref="A53:A58"/>
    <mergeCell ref="B53:B58"/>
    <mergeCell ref="A61:A62"/>
    <mergeCell ref="B61:B62"/>
    <mergeCell ref="E61:E62"/>
    <mergeCell ref="A101:A102"/>
    <mergeCell ref="B101:B102"/>
    <mergeCell ref="A65:A66"/>
    <mergeCell ref="B65:B66"/>
    <mergeCell ref="B69:K69"/>
    <mergeCell ref="A70:A72"/>
    <mergeCell ref="B70:B72"/>
    <mergeCell ref="B82:K82"/>
    <mergeCell ref="B89:K89"/>
    <mergeCell ref="B93:K93"/>
    <mergeCell ref="A215:A220"/>
    <mergeCell ref="B215:B220"/>
    <mergeCell ref="A203:F203"/>
    <mergeCell ref="B207:D207"/>
    <mergeCell ref="B208:D208"/>
    <mergeCell ref="A209:A214"/>
    <mergeCell ref="B209:B214"/>
    <mergeCell ref="B204:D204"/>
    <mergeCell ref="B205:D205"/>
    <mergeCell ref="B142:K142"/>
    <mergeCell ref="A114:A115"/>
    <mergeCell ref="B114:B115"/>
    <mergeCell ref="A116:A118"/>
    <mergeCell ref="B116:B118"/>
    <mergeCell ref="A119:A120"/>
    <mergeCell ref="B119:B120"/>
    <mergeCell ref="B234:D234"/>
    <mergeCell ref="B235:D235"/>
    <mergeCell ref="B230:D230"/>
    <mergeCell ref="B231:D231"/>
    <mergeCell ref="B222:D222"/>
    <mergeCell ref="B223:D223"/>
  </mergeCells>
  <pageMargins left="0.7" right="0.7" top="0.75" bottom="0.75" header="0.3" footer="0.3"/>
  <pageSetup orientation="portrait" paperSize="9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241"/>
  <sheetViews>
    <sheetView zoomScale="80" zoomScaleNormal="80" workbookViewId="0" topLeftCell="A1">
      <pane ySplit="4" topLeftCell="A225" activePane="bottomLeft" state="frozen"/>
      <selection pane="topLeft" activeCell="A1" sqref="A1"/>
      <selection pane="bottomLeft" activeCell="A238" sqref="A238:XFD239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5.857142857142854" style="268" bestFit="1" customWidth="1"/>
    <col min="4" max="4" width="25.285714285714285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 customHeight="1">
      <c r="B1" s="491">
        <v>44560</v>
      </c>
    </row>
    <row r="2" spans="2:9" ht="15" customHeight="1">
      <c r="B2" s="492" t="s">
        <v>1251</v>
      </c>
      <c r="F2" s="429" t="s">
        <v>22</v>
      </c>
      <c r="G2" s="268">
        <f>2466/1000</f>
        <v>2.4660000000000002</v>
      </c>
      <c r="H2" s="427" t="s">
        <v>23</v>
      </c>
      <c r="I2" s="268" t="s">
        <v>23</v>
      </c>
    </row>
    <row r="3" spans="2:5" ht="15" customHeight="1">
      <c r="B3" s="493" t="s">
        <v>1014</v>
      </c>
      <c r="C3" s="428"/>
      <c r="D3" s="428"/>
      <c r="E3" s="428"/>
    </row>
    <row r="4" spans="1:15" ht="65.25" customHeight="1">
      <c r="A4" s="13" t="s">
        <v>20</v>
      </c>
      <c r="B4" s="4" t="s">
        <v>0</v>
      </c>
      <c r="C4" s="13" t="s">
        <v>1327</v>
      </c>
      <c r="D4" s="13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SUM(M6:M16)</f>
        <v>695.81599999999992</v>
      </c>
      <c r="N5" s="263"/>
      <c r="O5" s="264">
        <f>SUM(O6:O16)</f>
        <v>3.9535000000000005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6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18</v>
      </c>
      <c r="L6" s="465">
        <f t="shared" si="1" ref="L6:L16">J6*K6</f>
        <v>0.35099999999999998</v>
      </c>
      <c r="M6" s="466">
        <f t="shared" si="2" ref="M6:M16">L6*N6</f>
        <v>61.775999999999996</v>
      </c>
      <c r="N6" s="466">
        <v>176</v>
      </c>
      <c r="O6" s="456">
        <f t="shared" si="3" ref="O6:O16">J6/I6*K6</f>
        <v>0.35099999999999998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200</v>
      </c>
      <c r="H8" s="462">
        <v>10</v>
      </c>
      <c r="I8" s="463">
        <v>1</v>
      </c>
      <c r="J8" s="464">
        <f>3/60</f>
        <v>0.05</v>
      </c>
      <c r="K8" s="461">
        <v>2</v>
      </c>
      <c r="L8" s="465">
        <f t="shared" si="1"/>
        <v>0.10000000000000001</v>
      </c>
      <c r="M8" s="466">
        <f t="shared" si="2"/>
        <v>17.60</v>
      </c>
      <c r="N8" s="466">
        <v>176</v>
      </c>
      <c r="O8" s="456">
        <f t="shared" si="3"/>
        <v>0.10000000000000001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3</v>
      </c>
      <c r="L9" s="465">
        <f t="shared" si="1"/>
        <v>0.051500000000000004</v>
      </c>
      <c r="M9" s="466">
        <f t="shared" si="2"/>
        <v>9.0640000000000001</v>
      </c>
      <c r="N9" s="466">
        <v>176</v>
      </c>
      <c r="O9" s="456">
        <f t="shared" si="3"/>
        <v>0.051500000000000004</v>
      </c>
    </row>
    <row r="10" spans="1:15" s="457" customFormat="1" ht="15">
      <c r="A10" s="459" t="s">
        <v>839</v>
      </c>
      <c r="B10" s="494" t="s">
        <v>957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88.888888888888886</v>
      </c>
      <c r="H10" s="462">
        <v>10</v>
      </c>
      <c r="I10" s="463">
        <v>1</v>
      </c>
      <c r="J10" s="464">
        <f>6.75/60</f>
        <v>0.1125</v>
      </c>
      <c r="K10" s="461">
        <v>2</v>
      </c>
      <c r="L10" s="465">
        <f t="shared" si="1"/>
        <v>0.225</v>
      </c>
      <c r="M10" s="466">
        <f t="shared" si="2"/>
        <v>39.60</v>
      </c>
      <c r="N10" s="466">
        <v>176</v>
      </c>
      <c r="O10" s="456">
        <f t="shared" si="3"/>
        <v>0.225</v>
      </c>
    </row>
    <row r="11" spans="1:15" s="457" customFormat="1" ht="15">
      <c r="A11" s="459" t="s">
        <v>840</v>
      </c>
      <c r="B11" s="494" t="s">
        <v>857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322.58064516129036</v>
      </c>
      <c r="H11" s="462">
        <v>10</v>
      </c>
      <c r="I11" s="463">
        <v>1</v>
      </c>
      <c r="J11" s="464">
        <f>1.86/60</f>
        <v>0.030999999999999996</v>
      </c>
      <c r="K11" s="461">
        <v>1</v>
      </c>
      <c r="L11" s="465">
        <f t="shared" si="1"/>
        <v>0.030999999999999996</v>
      </c>
      <c r="M11" s="466">
        <f t="shared" si="2"/>
        <v>5.4559999999999995</v>
      </c>
      <c r="N11" s="466">
        <v>176</v>
      </c>
      <c r="O11" s="456">
        <f t="shared" si="3"/>
        <v>0.030999999999999996</v>
      </c>
    </row>
    <row r="12" spans="1:15" s="457" customFormat="1" ht="15">
      <c r="A12" s="459" t="s">
        <v>841</v>
      </c>
      <c r="B12" s="494" t="s">
        <v>959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287.08133971291863</v>
      </c>
      <c r="H12" s="462">
        <v>10</v>
      </c>
      <c r="I12" s="463">
        <v>1</v>
      </c>
      <c r="J12" s="464">
        <f>2.09/60</f>
        <v>0.034833333333333334</v>
      </c>
      <c r="K12" s="461">
        <v>6</v>
      </c>
      <c r="L12" s="465">
        <f t="shared" si="1"/>
        <v>0.20900000000000002</v>
      </c>
      <c r="M12" s="466">
        <f t="shared" si="2"/>
        <v>36.784000000000006</v>
      </c>
      <c r="N12" s="466">
        <v>176</v>
      </c>
      <c r="O12" s="456">
        <f t="shared" si="3"/>
        <v>0.20900000000000002</v>
      </c>
    </row>
    <row r="13" spans="1:15" s="457" customFormat="1" ht="15">
      <c r="A13" s="459" t="s">
        <v>842</v>
      </c>
      <c r="B13" s="494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0.038833333333333338</v>
      </c>
      <c r="K13" s="461">
        <v>66</v>
      </c>
      <c r="L13" s="465">
        <f t="shared" si="1"/>
        <v>2.5630000000000002</v>
      </c>
      <c r="M13" s="466">
        <f t="shared" si="2"/>
        <v>451.08800000000002</v>
      </c>
      <c r="N13" s="466">
        <v>176</v>
      </c>
      <c r="O13" s="456">
        <f t="shared" si="3"/>
        <v>2.5630000000000002</v>
      </c>
    </row>
    <row r="14" spans="1:15" s="457" customFormat="1" ht="15">
      <c r="A14" s="459" t="s">
        <v>843</v>
      </c>
      <c r="B14" s="494" t="s">
        <v>854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631.57894736842115</v>
      </c>
      <c r="H14" s="462">
        <v>10</v>
      </c>
      <c r="I14" s="463">
        <v>1</v>
      </c>
      <c r="J14" s="464">
        <f>0.95/60</f>
        <v>0.015833333333333331</v>
      </c>
      <c r="K14" s="461">
        <v>8</v>
      </c>
      <c r="L14" s="465">
        <f t="shared" si="1"/>
        <v>0.12666666666666665</v>
      </c>
      <c r="M14" s="466">
        <f t="shared" si="2"/>
        <v>22.293333333333329</v>
      </c>
      <c r="N14" s="466">
        <v>176</v>
      </c>
      <c r="O14" s="456">
        <f t="shared" si="3"/>
        <v>0.12666666666666665</v>
      </c>
    </row>
    <row r="15" spans="1:15" s="457" customFormat="1" ht="15">
      <c r="A15" s="459" t="s">
        <v>844</v>
      </c>
      <c r="B15" s="494" t="s">
        <v>855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454.5454545454545</v>
      </c>
      <c r="H15" s="462">
        <v>10</v>
      </c>
      <c r="I15" s="463">
        <v>1</v>
      </c>
      <c r="J15" s="464">
        <f>1.32/60</f>
        <v>0.022000000000000002</v>
      </c>
      <c r="K15" s="461">
        <v>6</v>
      </c>
      <c r="L15" s="465">
        <f t="shared" si="1"/>
        <v>0.13200000000000001</v>
      </c>
      <c r="M15" s="466">
        <f t="shared" si="2"/>
        <v>23.231999999999999</v>
      </c>
      <c r="N15" s="466">
        <v>176</v>
      </c>
      <c r="O15" s="456">
        <f t="shared" si="3"/>
        <v>0.13200000000000001</v>
      </c>
    </row>
    <row r="16" spans="1:15" s="457" customFormat="1" ht="15">
      <c r="A16" s="459" t="s">
        <v>845</v>
      </c>
      <c r="B16" s="494" t="s">
        <v>960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179.1044776119403</v>
      </c>
      <c r="H16" s="462">
        <v>10</v>
      </c>
      <c r="I16" s="463">
        <v>1</v>
      </c>
      <c r="J16" s="464">
        <f>3.35/60</f>
        <v>0.055833333333333332</v>
      </c>
      <c r="K16" s="461">
        <v>2</v>
      </c>
      <c r="L16" s="465">
        <f t="shared" si="1"/>
        <v>0.11166666666666666</v>
      </c>
      <c r="M16" s="466">
        <f t="shared" si="2"/>
        <v>19.653333333333332</v>
      </c>
      <c r="N16" s="466">
        <v>176</v>
      </c>
      <c r="O16" s="456">
        <f t="shared" si="3"/>
        <v>0.11166666666666666</v>
      </c>
    </row>
    <row r="17" spans="1:15" ht="15" customHeight="1">
      <c r="A17" s="39"/>
      <c r="B17" s="649" t="s">
        <v>130</v>
      </c>
      <c r="C17" s="649"/>
      <c r="D17" s="649"/>
      <c r="E17" s="649"/>
      <c r="F17" s="649"/>
      <c r="G17" s="649"/>
      <c r="H17" s="649"/>
      <c r="I17" s="649"/>
      <c r="J17" s="649"/>
      <c r="K17" s="649"/>
      <c r="L17" s="265"/>
      <c r="M17" s="262">
        <f>SUM(M18:M61)</f>
        <v>7207.3964076005786</v>
      </c>
      <c r="N17" s="430"/>
      <c r="O17" s="264">
        <f>SUM(O18:O61)</f>
        <v>32.231005297107309</v>
      </c>
    </row>
    <row r="18" spans="1:15" ht="30" customHeight="1">
      <c r="A18" s="642" t="s">
        <v>601</v>
      </c>
      <c r="B18" s="680" t="s">
        <v>1128</v>
      </c>
      <c r="C18" s="13" t="s">
        <v>1052</v>
      </c>
      <c r="D18" s="13">
        <v>106</v>
      </c>
      <c r="E18" s="13"/>
      <c r="F18" s="13" t="s">
        <v>1053</v>
      </c>
      <c r="G18" s="442">
        <v>20</v>
      </c>
      <c r="H18" s="437">
        <v>10</v>
      </c>
      <c r="I18" s="28">
        <v>2</v>
      </c>
      <c r="J18" s="468">
        <f t="shared" si="4" ref="J18:J20">H18/G18*I18</f>
        <v>1</v>
      </c>
      <c r="K18" s="442">
        <v>1</v>
      </c>
      <c r="L18" s="267">
        <f t="shared" si="5" ref="L18:L61">J18*K18</f>
        <v>1</v>
      </c>
      <c r="M18" s="474">
        <f t="shared" si="6" ref="M18:M20">L18*N18</f>
        <v>200</v>
      </c>
      <c r="N18" s="475">
        <v>200</v>
      </c>
      <c r="O18" s="267">
        <f t="shared" si="7" ref="O18:O20">J18/I18*K18</f>
        <v>0.50</v>
      </c>
    </row>
    <row r="19" spans="1:15" ht="15">
      <c r="A19" s="643"/>
      <c r="B19" s="683"/>
      <c r="C19" s="13" t="s">
        <v>1252</v>
      </c>
      <c r="D19" s="13">
        <v>106</v>
      </c>
      <c r="E19" s="13"/>
      <c r="F19" s="13" t="s">
        <v>10</v>
      </c>
      <c r="G19" s="442">
        <v>40</v>
      </c>
      <c r="H19" s="437">
        <v>10</v>
      </c>
      <c r="I19" s="28">
        <v>1</v>
      </c>
      <c r="J19" s="468">
        <f t="shared" si="4"/>
        <v>0.25</v>
      </c>
      <c r="K19" s="442">
        <f>(1685)/1000</f>
        <v>1.685</v>
      </c>
      <c r="L19" s="267">
        <f t="shared" si="5"/>
        <v>0.42125</v>
      </c>
      <c r="M19" s="266">
        <f t="shared" si="6"/>
        <v>84.25</v>
      </c>
      <c r="N19" s="433">
        <v>200</v>
      </c>
      <c r="O19" s="267">
        <f t="shared" si="7"/>
        <v>0.42125</v>
      </c>
    </row>
    <row r="20" spans="1:15" ht="15">
      <c r="A20" s="644"/>
      <c r="B20" s="684"/>
      <c r="C20" s="13" t="s">
        <v>1253</v>
      </c>
      <c r="D20" s="13">
        <v>106</v>
      </c>
      <c r="E20" s="13" t="s">
        <v>44</v>
      </c>
      <c r="F20" s="13" t="s">
        <v>10</v>
      </c>
      <c r="G20" s="442">
        <v>27</v>
      </c>
      <c r="H20" s="437">
        <v>10</v>
      </c>
      <c r="I20" s="28">
        <v>1</v>
      </c>
      <c r="J20" s="468">
        <f t="shared" si="4"/>
        <v>0.37037037037037035</v>
      </c>
      <c r="K20" s="442">
        <f>(1685*2)/1000+0.2</f>
        <v>3.5700000000000003</v>
      </c>
      <c r="L20" s="267">
        <f t="shared" si="5"/>
        <v>1.3222222222222222</v>
      </c>
      <c r="M20" s="266">
        <f t="shared" si="6"/>
        <v>264.44444444444446</v>
      </c>
      <c r="N20" s="433">
        <v>200</v>
      </c>
      <c r="O20" s="267">
        <f t="shared" si="7"/>
        <v>1.3222222222222222</v>
      </c>
    </row>
    <row r="21" spans="1:15" s="0" customFormat="1" ht="15" customHeight="1">
      <c r="A21" s="58" t="s">
        <v>143</v>
      </c>
      <c r="B21" s="476" t="s">
        <v>144</v>
      </c>
      <c r="C21" s="13" t="s">
        <v>1254</v>
      </c>
      <c r="D21" s="13">
        <v>105</v>
      </c>
      <c r="E21" s="13"/>
      <c r="F21" s="17" t="s">
        <v>353</v>
      </c>
      <c r="G21" s="469">
        <v>15.80</v>
      </c>
      <c r="H21" s="252">
        <v>10</v>
      </c>
      <c r="I21" s="16">
        <v>1</v>
      </c>
      <c r="J21" s="253">
        <f>H21/G21*I21</f>
        <v>0.63291139240506322</v>
      </c>
      <c r="K21" s="52">
        <v>1</v>
      </c>
      <c r="L21" s="26">
        <f t="shared" si="5"/>
        <v>0.63291139240506322</v>
      </c>
      <c r="M21" s="37">
        <f>L21*N21</f>
        <v>126.58227848101265</v>
      </c>
      <c r="N21" s="85">
        <v>200</v>
      </c>
      <c r="O21" s="8">
        <f>J21/I21*K21</f>
        <v>0.63291139240506322</v>
      </c>
    </row>
    <row r="22" spans="1:15" s="0" customFormat="1" ht="15" customHeight="1">
      <c r="A22" s="642" t="s">
        <v>146</v>
      </c>
      <c r="B22" s="639" t="s">
        <v>411</v>
      </c>
      <c r="C22" s="13" t="s">
        <v>1255</v>
      </c>
      <c r="D22" s="54">
        <v>109</v>
      </c>
      <c r="E22" s="645" t="s">
        <v>911</v>
      </c>
      <c r="F22" s="17" t="s">
        <v>10</v>
      </c>
      <c r="G22" s="16">
        <v>40</v>
      </c>
      <c r="H22" s="252">
        <v>10</v>
      </c>
      <c r="I22" s="16">
        <v>1</v>
      </c>
      <c r="J22" s="253">
        <f t="shared" si="8" ref="J22:J61">H22/G22*I22</f>
        <v>0.25</v>
      </c>
      <c r="K22" s="260">
        <f>1685/1000+0.1</f>
        <v>1.785</v>
      </c>
      <c r="L22" s="26">
        <f t="shared" si="5"/>
        <v>0.44625000000000004</v>
      </c>
      <c r="M22" s="43">
        <f t="shared" si="9" ref="M22:M61">L22*N22</f>
        <v>89.25</v>
      </c>
      <c r="N22" s="85">
        <v>200</v>
      </c>
      <c r="O22" s="8">
        <f t="shared" si="10" ref="O22:O61">J22/I22*K22</f>
        <v>0.44625000000000004</v>
      </c>
    </row>
    <row r="23" spans="1:15" s="0" customFormat="1" ht="15" customHeight="1">
      <c r="A23" s="644"/>
      <c r="B23" s="641"/>
      <c r="C23" s="13" t="s">
        <v>1256</v>
      </c>
      <c r="D23" s="90">
        <v>109</v>
      </c>
      <c r="E23" s="647"/>
      <c r="F23" s="17" t="s">
        <v>10</v>
      </c>
      <c r="G23" s="16">
        <v>27</v>
      </c>
      <c r="H23" s="252">
        <v>10</v>
      </c>
      <c r="I23" s="16">
        <v>1</v>
      </c>
      <c r="J23" s="253">
        <f t="shared" si="8"/>
        <v>0.37037037037037035</v>
      </c>
      <c r="K23" s="260">
        <f>1685/1000+0.1</f>
        <v>1.785</v>
      </c>
      <c r="L23" s="26">
        <f t="shared" si="5"/>
        <v>0.66111111111111109</v>
      </c>
      <c r="M23" s="43">
        <f t="shared" si="9"/>
        <v>132.22222222222223</v>
      </c>
      <c r="N23" s="85">
        <v>200</v>
      </c>
      <c r="O23" s="8">
        <f t="shared" si="10"/>
        <v>0.66111111111111109</v>
      </c>
    </row>
    <row r="24" spans="1:15" s="0" customFormat="1" ht="15" customHeight="1">
      <c r="A24" s="642" t="s">
        <v>148</v>
      </c>
      <c r="B24" s="639" t="s">
        <v>412</v>
      </c>
      <c r="C24" s="13" t="s">
        <v>1257</v>
      </c>
      <c r="D24" s="13">
        <v>107</v>
      </c>
      <c r="E24" s="637" t="s">
        <v>43</v>
      </c>
      <c r="F24" s="17" t="s">
        <v>10</v>
      </c>
      <c r="G24" s="16">
        <v>40</v>
      </c>
      <c r="H24" s="252">
        <v>10</v>
      </c>
      <c r="I24" s="16">
        <v>1</v>
      </c>
      <c r="J24" s="253">
        <f t="shared" si="8"/>
        <v>0.25</v>
      </c>
      <c r="K24" s="30">
        <f>1685/1000+0.1</f>
        <v>1.785</v>
      </c>
      <c r="L24" s="26">
        <f t="shared" si="5"/>
        <v>0.44625000000000004</v>
      </c>
      <c r="M24" s="37">
        <f t="shared" si="9"/>
        <v>89.25</v>
      </c>
      <c r="N24" s="85">
        <v>200</v>
      </c>
      <c r="O24" s="8">
        <f t="shared" si="10"/>
        <v>0.44625000000000004</v>
      </c>
    </row>
    <row r="25" spans="1:15" s="0" customFormat="1" ht="15" customHeight="1">
      <c r="A25" s="643"/>
      <c r="B25" s="640"/>
      <c r="C25" s="13" t="s">
        <v>1258</v>
      </c>
      <c r="D25" s="13">
        <v>107</v>
      </c>
      <c r="E25" s="637"/>
      <c r="F25" s="17" t="s">
        <v>10</v>
      </c>
      <c r="G25" s="16">
        <v>25</v>
      </c>
      <c r="H25" s="252">
        <v>10</v>
      </c>
      <c r="I25" s="16">
        <v>1</v>
      </c>
      <c r="J25" s="253">
        <f t="shared" si="8"/>
        <v>0.40</v>
      </c>
      <c r="K25" s="30">
        <f>1685/1000</f>
        <v>1.685</v>
      </c>
      <c r="L25" s="26">
        <f t="shared" si="5"/>
        <v>0.67400000000000004</v>
      </c>
      <c r="M25" s="37">
        <f t="shared" si="9"/>
        <v>118.62400000000001</v>
      </c>
      <c r="N25" s="85">
        <v>176</v>
      </c>
      <c r="O25" s="8">
        <f t="shared" si="10"/>
        <v>0.67400000000000004</v>
      </c>
    </row>
    <row r="26" spans="1:15" s="0" customFormat="1" ht="15" customHeight="1">
      <c r="A26" s="644"/>
      <c r="B26" s="641"/>
      <c r="C26" s="13" t="s">
        <v>1259</v>
      </c>
      <c r="D26" s="13">
        <v>107</v>
      </c>
      <c r="E26" s="637"/>
      <c r="F26" s="17" t="s">
        <v>10</v>
      </c>
      <c r="G26" s="16">
        <v>28.50</v>
      </c>
      <c r="H26" s="252">
        <v>10</v>
      </c>
      <c r="I26" s="16">
        <v>1</v>
      </c>
      <c r="J26" s="253">
        <f t="shared" si="8"/>
        <v>0.35087719298245612</v>
      </c>
      <c r="K26" s="30">
        <f>1685/1000+0.1</f>
        <v>1.785</v>
      </c>
      <c r="L26" s="26">
        <f t="shared" si="5"/>
        <v>0.62631578947368427</v>
      </c>
      <c r="M26" s="37">
        <f t="shared" si="9"/>
        <v>125.26315789473685</v>
      </c>
      <c r="N26" s="85">
        <v>200</v>
      </c>
      <c r="O26" s="8">
        <f t="shared" si="10"/>
        <v>0.62631578947368427</v>
      </c>
    </row>
    <row r="27" spans="1:15" s="0" customFormat="1" ht="15" customHeight="1">
      <c r="A27" s="58" t="s">
        <v>421</v>
      </c>
      <c r="B27" s="55" t="s">
        <v>149</v>
      </c>
      <c r="C27" s="13" t="s">
        <v>1260</v>
      </c>
      <c r="D27" s="13">
        <v>105</v>
      </c>
      <c r="E27" s="13"/>
      <c r="F27" s="17" t="s">
        <v>353</v>
      </c>
      <c r="G27" s="469">
        <f>15.8/0.65</f>
        <v>24.307692307692307</v>
      </c>
      <c r="H27" s="252">
        <v>10</v>
      </c>
      <c r="I27" s="16">
        <v>1</v>
      </c>
      <c r="J27" s="253">
        <f>H27/G27*I27</f>
        <v>0.41139240506329117</v>
      </c>
      <c r="K27" s="52">
        <v>1</v>
      </c>
      <c r="L27" s="26">
        <f t="shared" si="5"/>
        <v>0.41139240506329117</v>
      </c>
      <c r="M27" s="37">
        <f>L27*N27</f>
        <v>82.278481012658233</v>
      </c>
      <c r="N27" s="85">
        <v>200</v>
      </c>
      <c r="O27" s="8">
        <f>J27/I27*K27</f>
        <v>0.41139240506329117</v>
      </c>
    </row>
    <row r="28" spans="1:15" s="0" customFormat="1" ht="30">
      <c r="A28" s="529" t="s">
        <v>1662</v>
      </c>
      <c r="B28" s="522" t="s">
        <v>1661</v>
      </c>
      <c r="C28" s="523" t="s">
        <v>9</v>
      </c>
      <c r="D28" s="523">
        <v>109</v>
      </c>
      <c r="E28" s="523"/>
      <c r="F28" s="524" t="s">
        <v>10</v>
      </c>
      <c r="G28" s="525">
        <v>33</v>
      </c>
      <c r="H28" s="526">
        <v>10</v>
      </c>
      <c r="I28" s="527">
        <v>1</v>
      </c>
      <c r="J28" s="528">
        <f t="shared" si="11" ref="J28">H28/G28*I28</f>
        <v>0.30303030303030304</v>
      </c>
      <c r="K28" s="525">
        <f>(350*2)/1000</f>
        <v>0.70</v>
      </c>
      <c r="L28" s="267">
        <f t="shared" si="5"/>
        <v>0.21212121212121213</v>
      </c>
      <c r="M28" s="266">
        <f t="shared" si="12" ref="M28">L28*N28</f>
        <v>32.242424242424242</v>
      </c>
      <c r="N28" s="433">
        <v>152</v>
      </c>
      <c r="O28" s="267">
        <f t="shared" si="13" ref="O28">J28/I28*K28</f>
        <v>0.21212121212121213</v>
      </c>
    </row>
    <row r="29" spans="1:15" ht="15">
      <c r="A29" s="57" t="s">
        <v>152</v>
      </c>
      <c r="B29" s="56" t="s">
        <v>153</v>
      </c>
      <c r="C29" s="13" t="s">
        <v>154</v>
      </c>
      <c r="D29" s="13">
        <v>124</v>
      </c>
      <c r="E29" s="13"/>
      <c r="F29" s="13" t="s">
        <v>354</v>
      </c>
      <c r="G29" s="442">
        <v>15.50</v>
      </c>
      <c r="H29" s="440">
        <v>10</v>
      </c>
      <c r="I29" s="28">
        <v>1</v>
      </c>
      <c r="J29" s="441">
        <f t="shared" si="8"/>
        <v>0.64516129032258063</v>
      </c>
      <c r="K29" s="432">
        <v>1</v>
      </c>
      <c r="L29" s="267">
        <f t="shared" si="5"/>
        <v>0.64516129032258063</v>
      </c>
      <c r="M29" s="433">
        <f t="shared" si="9"/>
        <v>129.03225806451613</v>
      </c>
      <c r="N29" s="434">
        <v>200</v>
      </c>
      <c r="O29" s="435">
        <f t="shared" si="10"/>
        <v>0.64516129032258063</v>
      </c>
    </row>
    <row r="30" spans="1:15" ht="30">
      <c r="A30" s="57" t="s">
        <v>155</v>
      </c>
      <c r="B30" s="56" t="s">
        <v>156</v>
      </c>
      <c r="C30" s="13" t="s">
        <v>157</v>
      </c>
      <c r="D30" s="13" t="s">
        <v>1329</v>
      </c>
      <c r="E30" s="13"/>
      <c r="F30" s="13" t="s">
        <v>354</v>
      </c>
      <c r="G30" s="442">
        <v>4.93</v>
      </c>
      <c r="H30" s="440">
        <v>10</v>
      </c>
      <c r="I30" s="28">
        <v>1</v>
      </c>
      <c r="J30" s="441">
        <f t="shared" si="8"/>
        <v>2.028397565922921</v>
      </c>
      <c r="K30" s="432">
        <v>1</v>
      </c>
      <c r="L30" s="267">
        <f t="shared" si="5"/>
        <v>2.028397565922921</v>
      </c>
      <c r="M30" s="433">
        <f t="shared" si="9"/>
        <v>405.67951318458421</v>
      </c>
      <c r="N30" s="434">
        <v>200</v>
      </c>
      <c r="O30" s="435">
        <f t="shared" si="10"/>
        <v>2.028397565922921</v>
      </c>
    </row>
    <row r="31" spans="1:15" ht="30">
      <c r="A31" s="57" t="s">
        <v>158</v>
      </c>
      <c r="B31" s="56" t="s">
        <v>159</v>
      </c>
      <c r="C31" s="13" t="s">
        <v>160</v>
      </c>
      <c r="D31" s="13" t="s">
        <v>1331</v>
      </c>
      <c r="E31" s="13" t="s">
        <v>161</v>
      </c>
      <c r="F31" s="13" t="s">
        <v>10</v>
      </c>
      <c r="G31" s="439">
        <v>15.40</v>
      </c>
      <c r="H31" s="440">
        <v>10</v>
      </c>
      <c r="I31" s="28">
        <v>1</v>
      </c>
      <c r="J31" s="441">
        <f t="shared" si="8"/>
        <v>0.64935064935064934</v>
      </c>
      <c r="K31" s="436">
        <f>(61/1000)*3.1415*4</f>
        <v>0.76652600000000004</v>
      </c>
      <c r="L31" s="435">
        <f t="shared" si="5"/>
        <v>0.49774415584415588</v>
      </c>
      <c r="M31" s="266">
        <f t="shared" si="9"/>
        <v>99.548831168831171</v>
      </c>
      <c r="N31" s="433">
        <v>200</v>
      </c>
      <c r="O31" s="435">
        <f t="shared" si="10"/>
        <v>0.49774415584415588</v>
      </c>
    </row>
    <row r="32" spans="1:15" ht="15">
      <c r="A32" s="57" t="s">
        <v>427</v>
      </c>
      <c r="B32" s="56" t="s">
        <v>428</v>
      </c>
      <c r="C32" s="13" t="s">
        <v>24</v>
      </c>
      <c r="D32" s="13">
        <v>110</v>
      </c>
      <c r="E32" s="13"/>
      <c r="F32" s="4" t="s">
        <v>38</v>
      </c>
      <c r="G32" s="442">
        <v>11.44</v>
      </c>
      <c r="H32" s="440">
        <v>10</v>
      </c>
      <c r="I32" s="28">
        <v>2</v>
      </c>
      <c r="J32" s="441">
        <f t="shared" si="8"/>
        <v>1.7482517482517483</v>
      </c>
      <c r="K32" s="28">
        <v>1</v>
      </c>
      <c r="L32" s="267">
        <f t="shared" si="5"/>
        <v>1.7482517482517483</v>
      </c>
      <c r="M32" s="433">
        <f t="shared" si="9"/>
        <v>349.65034965034965</v>
      </c>
      <c r="N32" s="434">
        <v>200</v>
      </c>
      <c r="O32" s="435">
        <f t="shared" si="10"/>
        <v>0.87412587412587417</v>
      </c>
    </row>
    <row r="33" spans="1:15" ht="15">
      <c r="A33" s="637" t="s">
        <v>162</v>
      </c>
      <c r="B33" s="638" t="s">
        <v>429</v>
      </c>
      <c r="C33" s="13" t="s">
        <v>160</v>
      </c>
      <c r="D33" s="13">
        <v>109</v>
      </c>
      <c r="E33" s="637" t="s">
        <v>911</v>
      </c>
      <c r="F33" s="13" t="s">
        <v>10</v>
      </c>
      <c r="G33" s="28">
        <v>40</v>
      </c>
      <c r="H33" s="440">
        <v>10</v>
      </c>
      <c r="I33" s="28">
        <v>1</v>
      </c>
      <c r="J33" s="441">
        <f t="shared" si="8"/>
        <v>0.25</v>
      </c>
      <c r="K33" s="436">
        <f>720/1000*3.1415</f>
        <v>2.2618800000000001</v>
      </c>
      <c r="L33" s="267">
        <f t="shared" si="5"/>
        <v>0.56547000000000003</v>
      </c>
      <c r="M33" s="433">
        <f t="shared" si="9"/>
        <v>113.09400000000001</v>
      </c>
      <c r="N33" s="434">
        <v>200</v>
      </c>
      <c r="O33" s="435">
        <f t="shared" si="10"/>
        <v>0.56547000000000003</v>
      </c>
    </row>
    <row r="34" spans="1:15" ht="15">
      <c r="A34" s="637"/>
      <c r="B34" s="638"/>
      <c r="C34" s="13" t="s">
        <v>9</v>
      </c>
      <c r="D34" s="13">
        <v>109</v>
      </c>
      <c r="E34" s="637"/>
      <c r="F34" s="13" t="s">
        <v>10</v>
      </c>
      <c r="G34" s="28">
        <v>27</v>
      </c>
      <c r="H34" s="440">
        <v>10</v>
      </c>
      <c r="I34" s="28">
        <v>1</v>
      </c>
      <c r="J34" s="441">
        <f t="shared" si="8"/>
        <v>0.37037037037037035</v>
      </c>
      <c r="K34" s="436">
        <f>720/1000*3.1415</f>
        <v>2.2618800000000001</v>
      </c>
      <c r="L34" s="267">
        <f t="shared" si="5"/>
        <v>0.83773333333333333</v>
      </c>
      <c r="M34" s="433">
        <f t="shared" si="9"/>
        <v>167.54666666666665</v>
      </c>
      <c r="N34" s="434">
        <v>200</v>
      </c>
      <c r="O34" s="435">
        <f t="shared" si="10"/>
        <v>0.83773333333333333</v>
      </c>
    </row>
    <row r="35" spans="1:15" ht="15">
      <c r="A35" s="642" t="s">
        <v>430</v>
      </c>
      <c r="B35" s="639" t="s">
        <v>431</v>
      </c>
      <c r="C35" s="13" t="s">
        <v>160</v>
      </c>
      <c r="D35" s="54">
        <v>107</v>
      </c>
      <c r="E35" s="645" t="s">
        <v>43</v>
      </c>
      <c r="F35" s="13" t="s">
        <v>10</v>
      </c>
      <c r="G35" s="28">
        <v>40</v>
      </c>
      <c r="H35" s="440">
        <v>10</v>
      </c>
      <c r="I35" s="28">
        <v>1</v>
      </c>
      <c r="J35" s="441">
        <f t="shared" si="8"/>
        <v>0.25</v>
      </c>
      <c r="K35" s="436">
        <f>720/1000*3.1415</f>
        <v>2.2618800000000001</v>
      </c>
      <c r="L35" s="267">
        <f t="shared" si="5"/>
        <v>0.56547000000000003</v>
      </c>
      <c r="M35" s="433">
        <f t="shared" si="9"/>
        <v>113.09400000000001</v>
      </c>
      <c r="N35" s="434">
        <v>200</v>
      </c>
      <c r="O35" s="435">
        <f t="shared" si="10"/>
        <v>0.56547000000000003</v>
      </c>
    </row>
    <row r="36" spans="1:15" ht="15" customHeight="1">
      <c r="A36" s="643"/>
      <c r="B36" s="640"/>
      <c r="C36" s="13" t="s">
        <v>511</v>
      </c>
      <c r="D36" s="274">
        <v>107</v>
      </c>
      <c r="E36" s="646"/>
      <c r="F36" s="13" t="s">
        <v>10</v>
      </c>
      <c r="G36" s="28">
        <v>25</v>
      </c>
      <c r="H36" s="440">
        <v>10</v>
      </c>
      <c r="I36" s="28">
        <v>1</v>
      </c>
      <c r="J36" s="453">
        <f t="shared" si="8"/>
        <v>0.40</v>
      </c>
      <c r="K36" s="436">
        <f>720*3.1415/1000</f>
        <v>2.2618800000000001</v>
      </c>
      <c r="L36" s="267">
        <f t="shared" si="5"/>
        <v>0.90475200000000011</v>
      </c>
      <c r="M36" s="433">
        <f t="shared" si="9"/>
        <v>159.23635200000001</v>
      </c>
      <c r="N36" s="434">
        <v>176</v>
      </c>
      <c r="O36" s="435">
        <f t="shared" si="10"/>
        <v>0.90475200000000011</v>
      </c>
    </row>
    <row r="37" spans="1:15" ht="15">
      <c r="A37" s="644"/>
      <c r="B37" s="641"/>
      <c r="C37" s="13" t="s">
        <v>313</v>
      </c>
      <c r="D37" s="90">
        <v>107</v>
      </c>
      <c r="E37" s="647"/>
      <c r="F37" s="13" t="s">
        <v>10</v>
      </c>
      <c r="G37" s="28">
        <v>28.50</v>
      </c>
      <c r="H37" s="440">
        <v>10</v>
      </c>
      <c r="I37" s="28">
        <v>1</v>
      </c>
      <c r="J37" s="453">
        <f t="shared" si="8"/>
        <v>0.35087719298245612</v>
      </c>
      <c r="K37" s="436">
        <f>720*3.1415/1000</f>
        <v>2.2618800000000001</v>
      </c>
      <c r="L37" s="267">
        <f t="shared" si="5"/>
        <v>0.79364210526315793</v>
      </c>
      <c r="M37" s="433">
        <f t="shared" si="9"/>
        <v>158.72842105263157</v>
      </c>
      <c r="N37" s="434">
        <v>200</v>
      </c>
      <c r="O37" s="435">
        <f t="shared" si="10"/>
        <v>0.79364210526315793</v>
      </c>
    </row>
    <row r="38" spans="1:15" s="0" customFormat="1" ht="15">
      <c r="A38" s="650" t="s">
        <v>163</v>
      </c>
      <c r="B38" s="638" t="s">
        <v>164</v>
      </c>
      <c r="C38" s="13" t="s">
        <v>165</v>
      </c>
      <c r="D38" s="13">
        <v>123</v>
      </c>
      <c r="E38" s="13"/>
      <c r="F38" s="17" t="s">
        <v>973</v>
      </c>
      <c r="G38" s="16">
        <v>11.90</v>
      </c>
      <c r="H38" s="252">
        <v>10</v>
      </c>
      <c r="I38" s="16">
        <v>1</v>
      </c>
      <c r="J38" s="253">
        <f t="shared" si="8"/>
        <v>0.84033613445378152</v>
      </c>
      <c r="K38" s="52">
        <v>1</v>
      </c>
      <c r="L38" s="26">
        <f t="shared" si="5"/>
        <v>0.84033613445378152</v>
      </c>
      <c r="M38" s="43">
        <f t="shared" si="9"/>
        <v>168.0672268907563</v>
      </c>
      <c r="N38" s="85">
        <v>200</v>
      </c>
      <c r="O38" s="8">
        <f t="shared" si="10"/>
        <v>0.84033613445378152</v>
      </c>
    </row>
    <row r="39" spans="1:15" s="0" customFormat="1" ht="15">
      <c r="A39" s="650"/>
      <c r="B39" s="638"/>
      <c r="C39" s="13" t="s">
        <v>166</v>
      </c>
      <c r="D39" s="13">
        <v>123</v>
      </c>
      <c r="E39" s="13"/>
      <c r="F39" s="17" t="s">
        <v>973</v>
      </c>
      <c r="G39" s="16">
        <f>$G$38*2</f>
        <v>23.80</v>
      </c>
      <c r="H39" s="252">
        <v>10</v>
      </c>
      <c r="I39" s="16">
        <v>1</v>
      </c>
      <c r="J39" s="253">
        <f t="shared" si="8"/>
        <v>0.42016806722689076</v>
      </c>
      <c r="K39" s="52">
        <v>1</v>
      </c>
      <c r="L39" s="26">
        <f t="shared" si="5"/>
        <v>0.42016806722689076</v>
      </c>
      <c r="M39" s="43">
        <f t="shared" si="9"/>
        <v>84.033613445378151</v>
      </c>
      <c r="N39" s="85">
        <v>200</v>
      </c>
      <c r="O39" s="8">
        <f t="shared" si="10"/>
        <v>0.42016806722689076</v>
      </c>
    </row>
    <row r="40" spans="1:15" s="0" customFormat="1" ht="15">
      <c r="A40" s="650"/>
      <c r="B40" s="638"/>
      <c r="C40" s="13" t="s">
        <v>167</v>
      </c>
      <c r="D40" s="13">
        <v>122</v>
      </c>
      <c r="E40" s="13"/>
      <c r="F40" s="17" t="s">
        <v>973</v>
      </c>
      <c r="G40" s="16">
        <f>$G$38*2</f>
        <v>23.80</v>
      </c>
      <c r="H40" s="252">
        <v>10</v>
      </c>
      <c r="I40" s="16">
        <v>1</v>
      </c>
      <c r="J40" s="253">
        <f t="shared" si="8"/>
        <v>0.42016806722689076</v>
      </c>
      <c r="K40" s="52">
        <v>1</v>
      </c>
      <c r="L40" s="26">
        <f t="shared" si="5"/>
        <v>0.42016806722689076</v>
      </c>
      <c r="M40" s="43">
        <f t="shared" si="9"/>
        <v>84.033613445378151</v>
      </c>
      <c r="N40" s="85">
        <v>200</v>
      </c>
      <c r="O40" s="8">
        <f t="shared" si="10"/>
        <v>0.42016806722689076</v>
      </c>
    </row>
    <row r="41" spans="1:15" s="0" customFormat="1" ht="15">
      <c r="A41" s="650"/>
      <c r="B41" s="638"/>
      <c r="C41" s="13" t="s">
        <v>168</v>
      </c>
      <c r="D41" s="13" t="s">
        <v>1332</v>
      </c>
      <c r="E41" s="13"/>
      <c r="F41" s="17" t="s">
        <v>973</v>
      </c>
      <c r="G41" s="16">
        <f>$G$38*2</f>
        <v>23.80</v>
      </c>
      <c r="H41" s="252">
        <v>10</v>
      </c>
      <c r="I41" s="16">
        <v>1</v>
      </c>
      <c r="J41" s="253">
        <f t="shared" si="8"/>
        <v>0.42016806722689076</v>
      </c>
      <c r="K41" s="52">
        <v>1</v>
      </c>
      <c r="L41" s="26">
        <f t="shared" si="5"/>
        <v>0.42016806722689076</v>
      </c>
      <c r="M41" s="43">
        <f t="shared" si="9"/>
        <v>73.94957983193278</v>
      </c>
      <c r="N41" s="85">
        <v>176</v>
      </c>
      <c r="O41" s="8">
        <f t="shared" si="10"/>
        <v>0.42016806722689076</v>
      </c>
    </row>
    <row r="42" spans="1:15" s="0" customFormat="1" ht="15">
      <c r="A42" s="57" t="s">
        <v>514</v>
      </c>
      <c r="B42" s="213" t="s">
        <v>974</v>
      </c>
      <c r="C42" s="13" t="s">
        <v>975</v>
      </c>
      <c r="D42" s="13" t="s">
        <v>1332</v>
      </c>
      <c r="E42" s="13"/>
      <c r="F42" s="17" t="s">
        <v>973</v>
      </c>
      <c r="G42" s="16">
        <v>40</v>
      </c>
      <c r="H42" s="252">
        <v>10</v>
      </c>
      <c r="I42" s="16">
        <v>1</v>
      </c>
      <c r="J42" s="253">
        <f t="shared" si="8"/>
        <v>0.25</v>
      </c>
      <c r="K42" s="30">
        <f>822*3.1415/1000</f>
        <v>2.5823130000000001</v>
      </c>
      <c r="L42" s="26">
        <f t="shared" si="5"/>
        <v>0.64557825000000002</v>
      </c>
      <c r="M42" s="43">
        <f t="shared" si="9"/>
        <v>113.62177200000001</v>
      </c>
      <c r="N42" s="85">
        <v>176</v>
      </c>
      <c r="O42" s="8">
        <f t="shared" si="10"/>
        <v>0.64557825000000002</v>
      </c>
    </row>
    <row r="43" spans="1:15" s="0" customFormat="1" ht="15">
      <c r="A43" s="57" t="s">
        <v>432</v>
      </c>
      <c r="B43" s="56" t="s">
        <v>433</v>
      </c>
      <c r="C43" s="13" t="s">
        <v>39</v>
      </c>
      <c r="D43" s="13">
        <v>110</v>
      </c>
      <c r="E43" s="13"/>
      <c r="F43" s="25" t="s">
        <v>170</v>
      </c>
      <c r="G43" s="16">
        <v>7.63</v>
      </c>
      <c r="H43" s="252">
        <v>10</v>
      </c>
      <c r="I43" s="16">
        <v>2</v>
      </c>
      <c r="J43" s="253">
        <f t="shared" si="8"/>
        <v>2.6212319790301444</v>
      </c>
      <c r="K43" s="16">
        <v>1</v>
      </c>
      <c r="L43" s="26">
        <f t="shared" si="5"/>
        <v>2.6212319790301444</v>
      </c>
      <c r="M43" s="43">
        <f t="shared" si="9"/>
        <v>524.24639580602889</v>
      </c>
      <c r="N43" s="43">
        <v>200</v>
      </c>
      <c r="O43" s="8">
        <f t="shared" si="10"/>
        <v>1.3106159895150722</v>
      </c>
    </row>
    <row r="44" spans="1:15" s="0" customFormat="1" ht="15">
      <c r="A44" s="650" t="s">
        <v>169</v>
      </c>
      <c r="B44" s="638" t="s">
        <v>435</v>
      </c>
      <c r="C44" s="13" t="s">
        <v>976</v>
      </c>
      <c r="D44" s="54">
        <v>109</v>
      </c>
      <c r="E44" s="645" t="s">
        <v>44</v>
      </c>
      <c r="F44" s="17" t="s">
        <v>10</v>
      </c>
      <c r="G44" s="16">
        <v>40</v>
      </c>
      <c r="H44" s="252">
        <v>10</v>
      </c>
      <c r="I44" s="16">
        <v>1</v>
      </c>
      <c r="J44" s="253">
        <f t="shared" si="8"/>
        <v>0.25</v>
      </c>
      <c r="K44" s="30">
        <f>720*3.1415/1000</f>
        <v>2.2618800000000001</v>
      </c>
      <c r="L44" s="26">
        <f t="shared" si="5"/>
        <v>0.56547000000000003</v>
      </c>
      <c r="M44" s="43">
        <f t="shared" si="9"/>
        <v>113.09400000000001</v>
      </c>
      <c r="N44" s="43">
        <v>200</v>
      </c>
      <c r="O44" s="8">
        <f t="shared" si="10"/>
        <v>0.56547000000000003</v>
      </c>
    </row>
    <row r="45" spans="1:15" s="0" customFormat="1" ht="15">
      <c r="A45" s="650"/>
      <c r="B45" s="638"/>
      <c r="C45" s="13" t="s">
        <v>977</v>
      </c>
      <c r="D45" s="90">
        <v>109</v>
      </c>
      <c r="E45" s="647"/>
      <c r="F45" s="17" t="s">
        <v>10</v>
      </c>
      <c r="G45" s="16">
        <v>27</v>
      </c>
      <c r="H45" s="252">
        <v>10</v>
      </c>
      <c r="I45" s="16">
        <v>1</v>
      </c>
      <c r="J45" s="253">
        <f t="shared" si="8"/>
        <v>0.37037037037037035</v>
      </c>
      <c r="K45" s="30">
        <f>720*3.1415*2/1000</f>
        <v>4.5237600000000002</v>
      </c>
      <c r="L45" s="26">
        <f t="shared" si="5"/>
        <v>1.6754666666666667</v>
      </c>
      <c r="M45" s="43">
        <f t="shared" si="9"/>
        <v>335.09333333333331</v>
      </c>
      <c r="N45" s="43">
        <v>200</v>
      </c>
      <c r="O45" s="8">
        <f t="shared" si="10"/>
        <v>1.6754666666666667</v>
      </c>
    </row>
    <row r="46" spans="1:15" s="0" customFormat="1" ht="15">
      <c r="A46" s="650" t="s">
        <v>434</v>
      </c>
      <c r="B46" s="638" t="s">
        <v>436</v>
      </c>
      <c r="C46" s="13" t="s">
        <v>976</v>
      </c>
      <c r="D46" s="13">
        <v>107</v>
      </c>
      <c r="E46" s="637" t="s">
        <v>43</v>
      </c>
      <c r="F46" s="17" t="s">
        <v>10</v>
      </c>
      <c r="G46" s="16">
        <v>40</v>
      </c>
      <c r="H46" s="252">
        <v>10</v>
      </c>
      <c r="I46" s="16">
        <v>1</v>
      </c>
      <c r="J46" s="471">
        <f t="shared" si="8"/>
        <v>0.25</v>
      </c>
      <c r="K46" s="30">
        <f>(720*3.1415)/1000</f>
        <v>2.2618800000000001</v>
      </c>
      <c r="L46" s="26">
        <f t="shared" si="5"/>
        <v>0.56547000000000003</v>
      </c>
      <c r="M46" s="43">
        <f t="shared" si="9"/>
        <v>113.09400000000001</v>
      </c>
      <c r="N46" s="85">
        <v>200</v>
      </c>
      <c r="O46" s="8">
        <f t="shared" si="10"/>
        <v>0.56547000000000003</v>
      </c>
    </row>
    <row r="47" spans="1:15" s="0" customFormat="1" ht="15">
      <c r="A47" s="650"/>
      <c r="B47" s="638"/>
      <c r="C47" s="13" t="s">
        <v>978</v>
      </c>
      <c r="D47" s="13">
        <v>107</v>
      </c>
      <c r="E47" s="637"/>
      <c r="F47" s="17" t="s">
        <v>10</v>
      </c>
      <c r="G47" s="16">
        <v>25</v>
      </c>
      <c r="H47" s="252">
        <v>10</v>
      </c>
      <c r="I47" s="16">
        <v>1</v>
      </c>
      <c r="J47" s="471">
        <f t="shared" si="8"/>
        <v>0.40</v>
      </c>
      <c r="K47" s="30">
        <f>(720*3.1415)/1000</f>
        <v>2.2618800000000001</v>
      </c>
      <c r="L47" s="26">
        <f t="shared" si="5"/>
        <v>0.90475200000000011</v>
      </c>
      <c r="M47" s="43">
        <f t="shared" si="9"/>
        <v>159.23635200000001</v>
      </c>
      <c r="N47" s="85">
        <v>176</v>
      </c>
      <c r="O47" s="8">
        <f t="shared" si="10"/>
        <v>0.90475200000000011</v>
      </c>
    </row>
    <row r="48" spans="1:15" s="0" customFormat="1" ht="15">
      <c r="A48" s="650"/>
      <c r="B48" s="638"/>
      <c r="C48" s="13" t="s">
        <v>979</v>
      </c>
      <c r="D48" s="13">
        <v>107</v>
      </c>
      <c r="E48" s="637"/>
      <c r="F48" s="17" t="s">
        <v>10</v>
      </c>
      <c r="G48" s="16">
        <v>28.50</v>
      </c>
      <c r="H48" s="252">
        <v>10</v>
      </c>
      <c r="I48" s="16">
        <v>1</v>
      </c>
      <c r="J48" s="471">
        <f t="shared" si="8"/>
        <v>0.35087719298245612</v>
      </c>
      <c r="K48" s="30">
        <f>(720*3.1415*2)/1000</f>
        <v>4.5237600000000002</v>
      </c>
      <c r="L48" s="26">
        <f t="shared" si="5"/>
        <v>1.5872842105263159</v>
      </c>
      <c r="M48" s="43">
        <f t="shared" si="9"/>
        <v>317.45684210526315</v>
      </c>
      <c r="N48" s="85">
        <v>200</v>
      </c>
      <c r="O48" s="8">
        <f t="shared" si="10"/>
        <v>1.5872842105263159</v>
      </c>
    </row>
    <row r="49" spans="1:15" ht="15">
      <c r="A49" s="57" t="s">
        <v>629</v>
      </c>
      <c r="B49" s="56" t="s">
        <v>1261</v>
      </c>
      <c r="C49" s="13" t="s">
        <v>862</v>
      </c>
      <c r="D49" s="13">
        <v>224</v>
      </c>
      <c r="E49" s="13"/>
      <c r="F49" s="17"/>
      <c r="G49" s="28">
        <f>(600-25)/10</f>
        <v>57.50</v>
      </c>
      <c r="H49" s="440">
        <v>10</v>
      </c>
      <c r="I49" s="28">
        <v>2</v>
      </c>
      <c r="J49" s="441">
        <f t="shared" si="8"/>
        <v>0.34782608695652173</v>
      </c>
      <c r="K49" s="28">
        <v>1</v>
      </c>
      <c r="L49" s="267">
        <f t="shared" si="5"/>
        <v>0.34782608695652173</v>
      </c>
      <c r="M49" s="433">
        <f t="shared" si="9"/>
        <v>69.565217391304344</v>
      </c>
      <c r="N49" s="434">
        <v>200</v>
      </c>
      <c r="O49" s="435">
        <f t="shared" si="10"/>
        <v>0.17391304347826086</v>
      </c>
    </row>
    <row r="50" spans="1:15" s="0" customFormat="1" ht="15" customHeight="1">
      <c r="A50" s="637" t="s">
        <v>172</v>
      </c>
      <c r="B50" s="638" t="s">
        <v>121</v>
      </c>
      <c r="C50" s="13" t="s">
        <v>24</v>
      </c>
      <c r="D50" s="13">
        <v>110</v>
      </c>
      <c r="E50" s="13"/>
      <c r="F50" s="25" t="s">
        <v>173</v>
      </c>
      <c r="G50" s="31">
        <v>14.88</v>
      </c>
      <c r="H50" s="252">
        <v>10</v>
      </c>
      <c r="I50" s="16">
        <v>2</v>
      </c>
      <c r="J50" s="253">
        <f t="shared" si="8"/>
        <v>1.3440860215053763</v>
      </c>
      <c r="K50" s="16">
        <v>1</v>
      </c>
      <c r="L50" s="26">
        <f t="shared" si="5"/>
        <v>1.3440860215053763</v>
      </c>
      <c r="M50" s="43">
        <f t="shared" si="9"/>
        <v>268.81720430107526</v>
      </c>
      <c r="N50" s="43">
        <v>200</v>
      </c>
      <c r="O50" s="8">
        <f t="shared" si="10"/>
        <v>0.67204301075268813</v>
      </c>
    </row>
    <row r="51" spans="1:15" s="0" customFormat="1" ht="15">
      <c r="A51" s="637"/>
      <c r="B51" s="638"/>
      <c r="C51" s="13" t="s">
        <v>25</v>
      </c>
      <c r="D51" s="13">
        <v>110</v>
      </c>
      <c r="E51" s="13" t="s">
        <v>122</v>
      </c>
      <c r="F51" s="25" t="s">
        <v>10</v>
      </c>
      <c r="G51" s="16">
        <v>40</v>
      </c>
      <c r="H51" s="252">
        <v>10</v>
      </c>
      <c r="I51" s="16">
        <v>1</v>
      </c>
      <c r="J51" s="253">
        <f t="shared" si="8"/>
        <v>0.25</v>
      </c>
      <c r="K51" s="30">
        <f>822*3.1415*2/1000</f>
        <v>5.1646260000000002</v>
      </c>
      <c r="L51" s="26">
        <f t="shared" si="5"/>
        <v>1.2911565</v>
      </c>
      <c r="M51" s="42">
        <f t="shared" si="9"/>
        <v>258.23130000000003</v>
      </c>
      <c r="N51" s="43">
        <v>200</v>
      </c>
      <c r="O51" s="8">
        <f t="shared" si="10"/>
        <v>1.2911565</v>
      </c>
    </row>
    <row r="52" spans="1:15" s="0" customFormat="1" ht="15">
      <c r="A52" s="637"/>
      <c r="B52" s="638"/>
      <c r="C52" s="13" t="s">
        <v>981</v>
      </c>
      <c r="D52" s="13">
        <v>110</v>
      </c>
      <c r="E52" s="13"/>
      <c r="F52" s="25" t="s">
        <v>10</v>
      </c>
      <c r="G52" s="16">
        <v>25</v>
      </c>
      <c r="H52" s="252">
        <v>10</v>
      </c>
      <c r="I52" s="16">
        <v>1</v>
      </c>
      <c r="J52" s="253">
        <f t="shared" si="8"/>
        <v>0.40</v>
      </c>
      <c r="K52" s="30">
        <f>822*3.1415/1000</f>
        <v>2.5823130000000001</v>
      </c>
      <c r="L52" s="26">
        <f t="shared" si="5"/>
        <v>1.0329252</v>
      </c>
      <c r="M52" s="42">
        <f t="shared" si="9"/>
        <v>181.79483519999999</v>
      </c>
      <c r="N52" s="43">
        <v>176</v>
      </c>
      <c r="O52" s="8">
        <f t="shared" si="10"/>
        <v>1.0329252</v>
      </c>
    </row>
    <row r="53" spans="1:15" s="0" customFormat="1" ht="15">
      <c r="A53" s="637"/>
      <c r="B53" s="638"/>
      <c r="C53" s="13" t="s">
        <v>1015</v>
      </c>
      <c r="D53" s="13">
        <v>110</v>
      </c>
      <c r="E53" s="13"/>
      <c r="F53" s="4" t="s">
        <v>10</v>
      </c>
      <c r="G53" s="28">
        <v>25</v>
      </c>
      <c r="H53" s="437">
        <v>10</v>
      </c>
      <c r="I53" s="28">
        <v>1</v>
      </c>
      <c r="J53" s="438">
        <f t="shared" si="8"/>
        <v>0.40</v>
      </c>
      <c r="K53" s="436">
        <f>822*3.1415/1000</f>
        <v>2.5823130000000001</v>
      </c>
      <c r="L53" s="435">
        <f t="shared" si="5"/>
        <v>1.0329252</v>
      </c>
      <c r="M53" s="266">
        <f t="shared" si="9"/>
        <v>181.79483519999999</v>
      </c>
      <c r="N53" s="433">
        <v>176</v>
      </c>
      <c r="O53" s="435">
        <f t="shared" si="10"/>
        <v>1.0329252</v>
      </c>
    </row>
    <row r="54" spans="1:15" ht="15">
      <c r="A54" s="57" t="s">
        <v>1285</v>
      </c>
      <c r="B54" s="56" t="s">
        <v>1629</v>
      </c>
      <c r="C54" s="13" t="s">
        <v>1637</v>
      </c>
      <c r="D54" s="13">
        <v>105</v>
      </c>
      <c r="E54" s="13"/>
      <c r="F54" s="13" t="s">
        <v>353</v>
      </c>
      <c r="G54" s="442">
        <v>21.70</v>
      </c>
      <c r="H54" s="440">
        <v>10</v>
      </c>
      <c r="I54" s="28">
        <v>1</v>
      </c>
      <c r="J54" s="441">
        <f t="shared" si="8"/>
        <v>0.46082949308755761</v>
      </c>
      <c r="K54" s="432">
        <v>1</v>
      </c>
      <c r="L54" s="435">
        <f t="shared" si="5"/>
        <v>0.46082949308755761</v>
      </c>
      <c r="M54" s="266">
        <f t="shared" si="9"/>
        <v>92.165898617511516</v>
      </c>
      <c r="N54" s="433">
        <v>200</v>
      </c>
      <c r="O54" s="435">
        <f t="shared" si="10"/>
        <v>0.46082949308755761</v>
      </c>
    </row>
    <row r="55" spans="1:15" ht="15">
      <c r="A55" s="57" t="s">
        <v>648</v>
      </c>
      <c r="B55" s="508" t="s">
        <v>1630</v>
      </c>
      <c r="C55" s="13" t="s">
        <v>1638</v>
      </c>
      <c r="D55" s="13">
        <v>108</v>
      </c>
      <c r="E55" s="13"/>
      <c r="F55" s="13" t="s">
        <v>10</v>
      </c>
      <c r="G55" s="28">
        <v>40</v>
      </c>
      <c r="H55" s="440">
        <v>10</v>
      </c>
      <c r="I55" s="28">
        <v>1</v>
      </c>
      <c r="J55" s="453">
        <f t="shared" si="8"/>
        <v>0.25</v>
      </c>
      <c r="K55" s="436">
        <f>195*2/1000</f>
        <v>0.39</v>
      </c>
      <c r="L55" s="267">
        <f t="shared" si="5"/>
        <v>0.0975</v>
      </c>
      <c r="M55" s="433">
        <f t="shared" si="9"/>
        <v>19.50</v>
      </c>
      <c r="N55" s="434">
        <v>200</v>
      </c>
      <c r="O55" s="435">
        <f t="shared" si="10"/>
        <v>0.0975</v>
      </c>
    </row>
    <row r="56" spans="1:15" ht="15">
      <c r="A56" s="57" t="s">
        <v>1288</v>
      </c>
      <c r="B56" s="56" t="s">
        <v>1631</v>
      </c>
      <c r="C56" s="13" t="s">
        <v>1637</v>
      </c>
      <c r="D56" s="13">
        <v>105</v>
      </c>
      <c r="E56" s="13"/>
      <c r="F56" s="13" t="s">
        <v>353</v>
      </c>
      <c r="G56" s="442">
        <f>21.7/0.65</f>
        <v>33.38461538461538</v>
      </c>
      <c r="H56" s="440">
        <v>10</v>
      </c>
      <c r="I56" s="28">
        <v>1</v>
      </c>
      <c r="J56" s="441">
        <f t="shared" si="8"/>
        <v>0.29953917050691248</v>
      </c>
      <c r="K56" s="432">
        <v>1</v>
      </c>
      <c r="L56" s="435">
        <f t="shared" si="5"/>
        <v>0.29953917050691248</v>
      </c>
      <c r="M56" s="266">
        <f t="shared" si="9"/>
        <v>59.907834101382498</v>
      </c>
      <c r="N56" s="433">
        <v>200</v>
      </c>
      <c r="O56" s="435">
        <f t="shared" si="10"/>
        <v>0.29953917050691248</v>
      </c>
    </row>
    <row r="57" spans="1:15" ht="15">
      <c r="A57" s="57" t="s">
        <v>176</v>
      </c>
      <c r="B57" s="56" t="s">
        <v>1632</v>
      </c>
      <c r="C57" s="13" t="s">
        <v>154</v>
      </c>
      <c r="D57" s="13">
        <v>124</v>
      </c>
      <c r="E57" s="13"/>
      <c r="F57" s="13" t="s">
        <v>354</v>
      </c>
      <c r="G57" s="442">
        <v>13</v>
      </c>
      <c r="H57" s="440">
        <v>10</v>
      </c>
      <c r="I57" s="28">
        <v>1</v>
      </c>
      <c r="J57" s="441">
        <f t="shared" si="8"/>
        <v>0.76923076923076927</v>
      </c>
      <c r="K57" s="432">
        <v>1</v>
      </c>
      <c r="L57" s="267">
        <f t="shared" si="5"/>
        <v>0.76923076923076927</v>
      </c>
      <c r="M57" s="433">
        <f t="shared" si="9"/>
        <v>153.84615384615387</v>
      </c>
      <c r="N57" s="434">
        <v>200</v>
      </c>
      <c r="O57" s="435">
        <f t="shared" si="10"/>
        <v>0.76923076923076927</v>
      </c>
    </row>
    <row r="58" spans="1:15" ht="30">
      <c r="A58" s="57" t="s">
        <v>1289</v>
      </c>
      <c r="B58" s="56" t="s">
        <v>1633</v>
      </c>
      <c r="C58" s="13" t="s">
        <v>24</v>
      </c>
      <c r="D58" s="13">
        <v>117</v>
      </c>
      <c r="E58" s="13"/>
      <c r="F58" s="4" t="s">
        <v>38</v>
      </c>
      <c r="G58" s="442">
        <v>20</v>
      </c>
      <c r="H58" s="440">
        <v>10</v>
      </c>
      <c r="I58" s="28">
        <v>2</v>
      </c>
      <c r="J58" s="441">
        <f t="shared" si="8"/>
        <v>1</v>
      </c>
      <c r="K58" s="28">
        <v>1</v>
      </c>
      <c r="L58" s="267">
        <f t="shared" si="5"/>
        <v>1</v>
      </c>
      <c r="M58" s="433">
        <f t="shared" si="9"/>
        <v>200</v>
      </c>
      <c r="N58" s="434">
        <v>200</v>
      </c>
      <c r="O58" s="435">
        <f t="shared" si="10"/>
        <v>0.50</v>
      </c>
    </row>
    <row r="59" spans="1:15" ht="30">
      <c r="A59" s="13" t="s">
        <v>1290</v>
      </c>
      <c r="B59" s="56" t="s">
        <v>1634</v>
      </c>
      <c r="C59" s="13" t="s">
        <v>160</v>
      </c>
      <c r="D59" s="13">
        <v>117</v>
      </c>
      <c r="E59" s="13" t="s">
        <v>869</v>
      </c>
      <c r="F59" s="13" t="s">
        <v>10</v>
      </c>
      <c r="G59" s="28">
        <v>40</v>
      </c>
      <c r="H59" s="440">
        <v>10</v>
      </c>
      <c r="I59" s="28">
        <v>1</v>
      </c>
      <c r="J59" s="441">
        <f t="shared" si="8"/>
        <v>0.25</v>
      </c>
      <c r="K59" s="436">
        <f>622*3.1415*2/1000</f>
        <v>3.9080260000000004</v>
      </c>
      <c r="L59" s="267">
        <f t="shared" si="5"/>
        <v>0.97700650000000011</v>
      </c>
      <c r="M59" s="433">
        <f t="shared" si="9"/>
        <v>195.40130000000002</v>
      </c>
      <c r="N59" s="434">
        <v>200</v>
      </c>
      <c r="O59" s="435">
        <f t="shared" si="10"/>
        <v>0.97700650000000011</v>
      </c>
    </row>
    <row r="60" spans="1:15" ht="30">
      <c r="A60" s="57" t="s">
        <v>1291</v>
      </c>
      <c r="B60" s="56" t="s">
        <v>1635</v>
      </c>
      <c r="C60" s="13" t="s">
        <v>24</v>
      </c>
      <c r="D60" s="13">
        <v>110</v>
      </c>
      <c r="E60" s="13"/>
      <c r="F60" s="4" t="s">
        <v>38</v>
      </c>
      <c r="G60" s="442">
        <v>20</v>
      </c>
      <c r="H60" s="440">
        <v>10</v>
      </c>
      <c r="I60" s="28">
        <v>2</v>
      </c>
      <c r="J60" s="441">
        <f t="shared" si="8"/>
        <v>1</v>
      </c>
      <c r="K60" s="28">
        <v>1</v>
      </c>
      <c r="L60" s="267">
        <f t="shared" si="5"/>
        <v>1</v>
      </c>
      <c r="M60" s="433">
        <f t="shared" si="9"/>
        <v>200</v>
      </c>
      <c r="N60" s="434">
        <v>200</v>
      </c>
      <c r="O60" s="435">
        <f t="shared" si="10"/>
        <v>0.50</v>
      </c>
    </row>
    <row r="61" spans="1:15" ht="30">
      <c r="A61" s="13" t="s">
        <v>177</v>
      </c>
      <c r="B61" s="56" t="s">
        <v>1636</v>
      </c>
      <c r="C61" s="13" t="s">
        <v>160</v>
      </c>
      <c r="D61" s="13">
        <v>110</v>
      </c>
      <c r="E61" s="13" t="s">
        <v>1604</v>
      </c>
      <c r="F61" s="13" t="s">
        <v>10</v>
      </c>
      <c r="G61" s="28">
        <v>40</v>
      </c>
      <c r="H61" s="440">
        <v>10</v>
      </c>
      <c r="I61" s="28">
        <v>1</v>
      </c>
      <c r="J61" s="441">
        <f t="shared" si="8"/>
        <v>0.25</v>
      </c>
      <c r="K61" s="436">
        <f>638*3.1415*2/1000</f>
        <v>4.0085540000000002</v>
      </c>
      <c r="L61" s="267">
        <f t="shared" si="5"/>
        <v>1.0021385</v>
      </c>
      <c r="M61" s="433">
        <f t="shared" si="9"/>
        <v>200.42770000000002</v>
      </c>
      <c r="N61" s="434">
        <v>200</v>
      </c>
      <c r="O61" s="435">
        <f t="shared" si="10"/>
        <v>1.0021385</v>
      </c>
    </row>
    <row r="62" spans="1:15" ht="15">
      <c r="A62" s="39"/>
      <c r="B62" s="649" t="s">
        <v>131</v>
      </c>
      <c r="C62" s="649"/>
      <c r="D62" s="649"/>
      <c r="E62" s="649"/>
      <c r="F62" s="649"/>
      <c r="G62" s="649"/>
      <c r="H62" s="649"/>
      <c r="I62" s="649"/>
      <c r="J62" s="649"/>
      <c r="K62" s="649"/>
      <c r="L62" s="267"/>
      <c r="M62" s="262">
        <f>SUM(M63:M86)</f>
        <v>5476.490696884387</v>
      </c>
      <c r="N62" s="263"/>
      <c r="O62" s="264">
        <f>SUM(O63:O86)</f>
        <v>21.629064365252269</v>
      </c>
    </row>
    <row r="63" spans="1:15" s="0" customFormat="1" ht="15">
      <c r="A63" s="642" t="s">
        <v>651</v>
      </c>
      <c r="B63" s="639" t="s">
        <v>1051</v>
      </c>
      <c r="C63" s="13" t="s">
        <v>1052</v>
      </c>
      <c r="D63" s="13">
        <v>106</v>
      </c>
      <c r="E63" s="13"/>
      <c r="F63" s="13" t="s">
        <v>1053</v>
      </c>
      <c r="G63" s="442">
        <v>20</v>
      </c>
      <c r="H63" s="437">
        <v>10</v>
      </c>
      <c r="I63" s="28">
        <v>2</v>
      </c>
      <c r="J63" s="438">
        <f t="shared" si="14" ref="J63:J65">H63/G63*I63</f>
        <v>1</v>
      </c>
      <c r="K63" s="442">
        <v>1</v>
      </c>
      <c r="L63" s="267">
        <f t="shared" si="15" ref="L63:L65">J63*K63</f>
        <v>1</v>
      </c>
      <c r="M63" s="433">
        <f>L63*N63</f>
        <v>200</v>
      </c>
      <c r="N63" s="478">
        <v>200</v>
      </c>
      <c r="O63" s="267">
        <f t="shared" si="16" ref="O63:O65">J63/I63*K63</f>
        <v>0.50</v>
      </c>
    </row>
    <row r="64" spans="1:15" ht="15">
      <c r="A64" s="643"/>
      <c r="B64" s="640"/>
      <c r="C64" s="13" t="s">
        <v>1267</v>
      </c>
      <c r="D64" s="13">
        <v>106</v>
      </c>
      <c r="E64" s="13"/>
      <c r="F64" s="13" t="s">
        <v>10</v>
      </c>
      <c r="G64" s="442">
        <v>40</v>
      </c>
      <c r="H64" s="437">
        <v>10</v>
      </c>
      <c r="I64" s="28">
        <v>1</v>
      </c>
      <c r="J64" s="468">
        <f t="shared" si="14"/>
        <v>0.25</v>
      </c>
      <c r="K64" s="442">
        <f>(910)/1000</f>
        <v>0.91</v>
      </c>
      <c r="L64" s="267">
        <f t="shared" si="15"/>
        <v>0.2275</v>
      </c>
      <c r="M64" s="266">
        <f t="shared" si="17" ref="M64">L64*N64</f>
        <v>45.50</v>
      </c>
      <c r="N64" s="433">
        <v>200</v>
      </c>
      <c r="O64" s="267">
        <f t="shared" si="16"/>
        <v>0.2275</v>
      </c>
    </row>
    <row r="65" spans="1:15" s="0" customFormat="1" ht="15">
      <c r="A65" s="643"/>
      <c r="B65" s="640"/>
      <c r="C65" s="13" t="s">
        <v>1658</v>
      </c>
      <c r="D65" s="13">
        <v>106</v>
      </c>
      <c r="E65" s="13" t="s">
        <v>44</v>
      </c>
      <c r="F65" s="13" t="s">
        <v>10</v>
      </c>
      <c r="G65" s="442">
        <v>27</v>
      </c>
      <c r="H65" s="437">
        <v>10</v>
      </c>
      <c r="I65" s="28">
        <v>1</v>
      </c>
      <c r="J65" s="438">
        <f t="shared" si="14"/>
        <v>0.37037037037037035</v>
      </c>
      <c r="K65" s="442">
        <f>(910)*2/1000+0.2</f>
        <v>2.02</v>
      </c>
      <c r="L65" s="267">
        <f t="shared" si="15"/>
        <v>0.74814814814814812</v>
      </c>
      <c r="M65" s="266">
        <f>L65*N65</f>
        <v>149.62962962962962</v>
      </c>
      <c r="N65" s="433">
        <v>200</v>
      </c>
      <c r="O65" s="267">
        <f t="shared" si="16"/>
        <v>0.74814814814814812</v>
      </c>
    </row>
    <row r="66" spans="1:15" s="0" customFormat="1" ht="15">
      <c r="A66" s="650" t="s">
        <v>182</v>
      </c>
      <c r="B66" s="638" t="s">
        <v>183</v>
      </c>
      <c r="C66" s="13" t="s">
        <v>1263</v>
      </c>
      <c r="D66" s="13">
        <v>105</v>
      </c>
      <c r="E66" s="13"/>
      <c r="F66" s="17" t="s">
        <v>353</v>
      </c>
      <c r="G66" s="16">
        <v>11.462999999999999</v>
      </c>
      <c r="H66" s="252">
        <v>10</v>
      </c>
      <c r="I66" s="16">
        <v>1</v>
      </c>
      <c r="J66" s="253">
        <f t="shared" si="18" ref="J66:J86">H66/G66*I66</f>
        <v>0.87237197941202138</v>
      </c>
      <c r="K66" s="52">
        <v>1</v>
      </c>
      <c r="L66" s="8">
        <f t="shared" si="19" ref="L66:L86">J66*K66</f>
        <v>0.87237197941202138</v>
      </c>
      <c r="M66" s="42">
        <f t="shared" si="20" ref="M66:M86">L66*N66</f>
        <v>174.47439588240428</v>
      </c>
      <c r="N66" s="43">
        <v>200</v>
      </c>
      <c r="O66" s="8">
        <f t="shared" si="21" ref="O66:O86">J66/I66*K66</f>
        <v>0.87237197941202138</v>
      </c>
    </row>
    <row r="67" spans="1:15" s="0" customFormat="1" ht="15">
      <c r="A67" s="650"/>
      <c r="B67" s="638"/>
      <c r="C67" s="13" t="s">
        <v>1264</v>
      </c>
      <c r="D67" s="13">
        <v>105</v>
      </c>
      <c r="E67" s="13"/>
      <c r="F67" s="17" t="s">
        <v>353</v>
      </c>
      <c r="G67" s="16">
        <v>11.462999999999999</v>
      </c>
      <c r="H67" s="252">
        <v>10</v>
      </c>
      <c r="I67" s="16">
        <v>1</v>
      </c>
      <c r="J67" s="253">
        <f t="shared" si="18"/>
        <v>0.87237197941202138</v>
      </c>
      <c r="K67" s="52">
        <v>1</v>
      </c>
      <c r="L67" s="8">
        <f t="shared" si="19"/>
        <v>0.87237197941202138</v>
      </c>
      <c r="M67" s="42">
        <f t="shared" si="20"/>
        <v>174.47439588240428</v>
      </c>
      <c r="N67" s="43">
        <v>200</v>
      </c>
      <c r="O67" s="8">
        <f t="shared" si="21"/>
        <v>0.87237197941202138</v>
      </c>
    </row>
    <row r="68" spans="1:15" ht="30">
      <c r="A68" s="57" t="s">
        <v>185</v>
      </c>
      <c r="B68" s="56" t="s">
        <v>186</v>
      </c>
      <c r="C68" s="13" t="s">
        <v>187</v>
      </c>
      <c r="D68" s="13">
        <v>105</v>
      </c>
      <c r="E68" s="13"/>
      <c r="F68" s="13" t="s">
        <v>522</v>
      </c>
      <c r="G68" s="28">
        <v>55</v>
      </c>
      <c r="H68" s="440">
        <v>10</v>
      </c>
      <c r="I68" s="28">
        <v>1</v>
      </c>
      <c r="J68" s="441">
        <f t="shared" si="18"/>
        <v>0.18181818181818182</v>
      </c>
      <c r="K68" s="432">
        <v>5</v>
      </c>
      <c r="L68" s="435">
        <f t="shared" si="19"/>
        <v>0.90909090909090917</v>
      </c>
      <c r="M68" s="266">
        <f t="shared" si="20"/>
        <v>181.81818181818184</v>
      </c>
      <c r="N68" s="433">
        <v>200</v>
      </c>
      <c r="O68" s="435">
        <f t="shared" si="21"/>
        <v>0.90909090909090917</v>
      </c>
    </row>
    <row r="69" spans="1:15" ht="15">
      <c r="A69" s="642" t="s">
        <v>188</v>
      </c>
      <c r="B69" s="680" t="s">
        <v>438</v>
      </c>
      <c r="C69" s="13" t="s">
        <v>1265</v>
      </c>
      <c r="D69" s="13">
        <v>109</v>
      </c>
      <c r="E69" s="637" t="s">
        <v>44</v>
      </c>
      <c r="F69" s="13" t="s">
        <v>10</v>
      </c>
      <c r="G69" s="28">
        <v>40</v>
      </c>
      <c r="H69" s="440">
        <v>10</v>
      </c>
      <c r="I69" s="28">
        <v>1</v>
      </c>
      <c r="J69" s="453">
        <f t="shared" si="18"/>
        <v>0.25</v>
      </c>
      <c r="K69" s="436">
        <f>(1100)/1000</f>
        <v>1.1000000000000001</v>
      </c>
      <c r="L69" s="267">
        <f t="shared" si="19"/>
        <v>0.27500000000000002</v>
      </c>
      <c r="M69" s="433">
        <f t="shared" si="20"/>
        <v>55.000000000000007</v>
      </c>
      <c r="N69" s="434">
        <v>200</v>
      </c>
      <c r="O69" s="435">
        <f t="shared" si="21"/>
        <v>0.27500000000000002</v>
      </c>
    </row>
    <row r="70" spans="1:15" ht="15">
      <c r="A70" s="643"/>
      <c r="B70" s="681"/>
      <c r="C70" s="13" t="s">
        <v>1266</v>
      </c>
      <c r="D70" s="13">
        <v>109</v>
      </c>
      <c r="E70" s="637"/>
      <c r="F70" s="13" t="s">
        <v>10</v>
      </c>
      <c r="G70" s="28">
        <v>27</v>
      </c>
      <c r="H70" s="440">
        <v>10</v>
      </c>
      <c r="I70" s="28">
        <v>1</v>
      </c>
      <c r="J70" s="441">
        <f t="shared" si="18"/>
        <v>0.37037037037037035</v>
      </c>
      <c r="K70" s="436">
        <f>(1100*2)/1000+0.2</f>
        <v>2.4000000000000004</v>
      </c>
      <c r="L70" s="435">
        <f t="shared" si="19"/>
        <v>0.88888888888888895</v>
      </c>
      <c r="M70" s="266">
        <f t="shared" si="20"/>
        <v>177.7777777777778</v>
      </c>
      <c r="N70" s="433">
        <v>200</v>
      </c>
      <c r="O70" s="435">
        <f t="shared" si="21"/>
        <v>0.88888888888888895</v>
      </c>
    </row>
    <row r="71" spans="1:15" ht="15" customHeight="1">
      <c r="A71" s="643"/>
      <c r="B71" s="681"/>
      <c r="C71" s="13" t="s">
        <v>1267</v>
      </c>
      <c r="D71" s="13">
        <v>109</v>
      </c>
      <c r="E71" s="637" t="s">
        <v>44</v>
      </c>
      <c r="F71" s="13" t="s">
        <v>10</v>
      </c>
      <c r="G71" s="28">
        <v>40</v>
      </c>
      <c r="H71" s="440">
        <v>10</v>
      </c>
      <c r="I71" s="28">
        <v>1</v>
      </c>
      <c r="J71" s="453">
        <f t="shared" si="18"/>
        <v>0.25</v>
      </c>
      <c r="K71" s="436">
        <f>(910)/1000</f>
        <v>0.91</v>
      </c>
      <c r="L71" s="267">
        <f t="shared" si="19"/>
        <v>0.2275</v>
      </c>
      <c r="M71" s="433">
        <f t="shared" si="20"/>
        <v>45.50</v>
      </c>
      <c r="N71" s="434">
        <v>200</v>
      </c>
      <c r="O71" s="435">
        <f t="shared" si="21"/>
        <v>0.2275</v>
      </c>
    </row>
    <row r="72" spans="1:15" ht="15">
      <c r="A72" s="644"/>
      <c r="B72" s="682"/>
      <c r="C72" s="13" t="s">
        <v>1268</v>
      </c>
      <c r="D72" s="13">
        <v>109</v>
      </c>
      <c r="E72" s="637"/>
      <c r="F72" s="13" t="s">
        <v>10</v>
      </c>
      <c r="G72" s="28">
        <v>27</v>
      </c>
      <c r="H72" s="440">
        <v>10</v>
      </c>
      <c r="I72" s="28">
        <v>1</v>
      </c>
      <c r="J72" s="441">
        <f t="shared" si="18"/>
        <v>0.37037037037037035</v>
      </c>
      <c r="K72" s="436">
        <f>(910*2)/1000+0.2</f>
        <v>2.02</v>
      </c>
      <c r="L72" s="435">
        <f t="shared" si="19"/>
        <v>0.74814814814814812</v>
      </c>
      <c r="M72" s="266">
        <f t="shared" si="20"/>
        <v>149.62962962962962</v>
      </c>
      <c r="N72" s="433">
        <v>200</v>
      </c>
      <c r="O72" s="435">
        <f t="shared" si="21"/>
        <v>0.74814814814814812</v>
      </c>
    </row>
    <row r="73" spans="1:15" ht="15">
      <c r="A73" s="642" t="s">
        <v>437</v>
      </c>
      <c r="B73" s="639" t="s">
        <v>439</v>
      </c>
      <c r="C73" s="13" t="s">
        <v>1269</v>
      </c>
      <c r="D73" s="13">
        <v>107</v>
      </c>
      <c r="E73" s="637" t="s">
        <v>43</v>
      </c>
      <c r="F73" s="13" t="s">
        <v>10</v>
      </c>
      <c r="G73" s="28">
        <v>25</v>
      </c>
      <c r="H73" s="440">
        <v>10</v>
      </c>
      <c r="I73" s="28">
        <v>1</v>
      </c>
      <c r="J73" s="453">
        <f t="shared" si="18"/>
        <v>0.40</v>
      </c>
      <c r="K73" s="436">
        <f>(1100*2)/1000</f>
        <v>2.2000000000000002</v>
      </c>
      <c r="L73" s="267">
        <f t="shared" si="19"/>
        <v>0.88000000000000012</v>
      </c>
      <c r="M73" s="433">
        <f t="shared" si="20"/>
        <v>154.88000000000002</v>
      </c>
      <c r="N73" s="434">
        <v>176</v>
      </c>
      <c r="O73" s="435">
        <f t="shared" si="21"/>
        <v>0.88000000000000012</v>
      </c>
    </row>
    <row r="74" spans="1:15" ht="15">
      <c r="A74" s="643"/>
      <c r="B74" s="640"/>
      <c r="C74" s="13" t="s">
        <v>1270</v>
      </c>
      <c r="D74" s="13">
        <v>107</v>
      </c>
      <c r="E74" s="637"/>
      <c r="F74" s="13" t="s">
        <v>10</v>
      </c>
      <c r="G74" s="28">
        <v>28.50</v>
      </c>
      <c r="H74" s="440">
        <v>10</v>
      </c>
      <c r="I74" s="28">
        <v>1</v>
      </c>
      <c r="J74" s="453">
        <f t="shared" si="18"/>
        <v>0.35087719298245612</v>
      </c>
      <c r="K74" s="436">
        <f>1100*2/1000+0.2</f>
        <v>2.4000000000000004</v>
      </c>
      <c r="L74" s="267">
        <f t="shared" si="19"/>
        <v>0.8421052631578948</v>
      </c>
      <c r="M74" s="433">
        <f t="shared" si="20"/>
        <v>168.42105263157896</v>
      </c>
      <c r="N74" s="434">
        <v>200</v>
      </c>
      <c r="O74" s="435">
        <f t="shared" si="21"/>
        <v>0.8421052631578948</v>
      </c>
    </row>
    <row r="75" spans="1:15" ht="15">
      <c r="A75" s="643"/>
      <c r="B75" s="640"/>
      <c r="C75" s="13" t="s">
        <v>1271</v>
      </c>
      <c r="D75" s="13">
        <v>107</v>
      </c>
      <c r="E75" s="637" t="s">
        <v>43</v>
      </c>
      <c r="F75" s="13" t="s">
        <v>10</v>
      </c>
      <c r="G75" s="28">
        <v>25</v>
      </c>
      <c r="H75" s="440">
        <v>10</v>
      </c>
      <c r="I75" s="28">
        <v>1</v>
      </c>
      <c r="J75" s="453">
        <f t="shared" si="18"/>
        <v>0.40</v>
      </c>
      <c r="K75" s="436">
        <f>(910*2)/1000</f>
        <v>1.82</v>
      </c>
      <c r="L75" s="267">
        <f t="shared" si="19"/>
        <v>0.72800000000000009</v>
      </c>
      <c r="M75" s="433">
        <f t="shared" si="20"/>
        <v>128.12800000000001</v>
      </c>
      <c r="N75" s="434">
        <v>176</v>
      </c>
      <c r="O75" s="435">
        <f t="shared" si="21"/>
        <v>0.72800000000000009</v>
      </c>
    </row>
    <row r="76" spans="1:15" ht="15">
      <c r="A76" s="644"/>
      <c r="B76" s="641"/>
      <c r="C76" s="13" t="s">
        <v>1272</v>
      </c>
      <c r="D76" s="13">
        <v>107</v>
      </c>
      <c r="E76" s="637"/>
      <c r="F76" s="13" t="s">
        <v>10</v>
      </c>
      <c r="G76" s="28">
        <v>28.50</v>
      </c>
      <c r="H76" s="440">
        <v>10</v>
      </c>
      <c r="I76" s="28">
        <v>1</v>
      </c>
      <c r="J76" s="453">
        <f t="shared" si="18"/>
        <v>0.35087719298245612</v>
      </c>
      <c r="K76" s="436">
        <f>910*2/1000+0.2</f>
        <v>2.02</v>
      </c>
      <c r="L76" s="267">
        <f t="shared" si="19"/>
        <v>0.70877192982456139</v>
      </c>
      <c r="M76" s="433">
        <f t="shared" si="20"/>
        <v>141.75438596491227</v>
      </c>
      <c r="N76" s="434">
        <v>200</v>
      </c>
      <c r="O76" s="435">
        <f t="shared" si="21"/>
        <v>0.70877192982456139</v>
      </c>
    </row>
    <row r="77" spans="1:15" s="0" customFormat="1" ht="15" customHeight="1">
      <c r="A77" s="650" t="s">
        <v>190</v>
      </c>
      <c r="B77" s="638" t="s">
        <v>191</v>
      </c>
      <c r="C77" s="13" t="s">
        <v>24</v>
      </c>
      <c r="D77" s="13">
        <v>111</v>
      </c>
      <c r="E77" s="13"/>
      <c r="F77" s="25" t="s">
        <v>45</v>
      </c>
      <c r="G77" s="16">
        <v>6.87</v>
      </c>
      <c r="H77" s="252">
        <v>10</v>
      </c>
      <c r="I77" s="16">
        <v>2</v>
      </c>
      <c r="J77" s="253">
        <f t="shared" si="18"/>
        <v>2.9112081513828238</v>
      </c>
      <c r="K77" s="16">
        <v>1</v>
      </c>
      <c r="L77" s="26">
        <f t="shared" si="19"/>
        <v>2.9112081513828238</v>
      </c>
      <c r="M77" s="43">
        <f t="shared" si="20"/>
        <v>582.24163027656482</v>
      </c>
      <c r="N77" s="85">
        <v>200</v>
      </c>
      <c r="O77" s="8">
        <f t="shared" si="21"/>
        <v>1.4556040756914119</v>
      </c>
    </row>
    <row r="78" spans="1:15" s="0" customFormat="1" ht="15" customHeight="1">
      <c r="A78" s="650"/>
      <c r="B78" s="638"/>
      <c r="C78" s="13" t="s">
        <v>106</v>
      </c>
      <c r="D78" s="13">
        <v>111</v>
      </c>
      <c r="E78" s="645" t="s">
        <v>122</v>
      </c>
      <c r="F78" s="17" t="s">
        <v>10</v>
      </c>
      <c r="G78" s="16">
        <v>40</v>
      </c>
      <c r="H78" s="252">
        <v>10</v>
      </c>
      <c r="I78" s="16">
        <v>1</v>
      </c>
      <c r="J78" s="253">
        <f t="shared" si="18"/>
        <v>0.25</v>
      </c>
      <c r="K78" s="16">
        <f>3816/1000</f>
        <v>3.8159999999999998</v>
      </c>
      <c r="L78" s="26">
        <f t="shared" si="19"/>
        <v>0.95399999999999996</v>
      </c>
      <c r="M78" s="43">
        <f t="shared" si="20"/>
        <v>190.79999999999998</v>
      </c>
      <c r="N78" s="85">
        <v>200</v>
      </c>
      <c r="O78" s="8">
        <f t="shared" si="21"/>
        <v>0.95399999999999996</v>
      </c>
    </row>
    <row r="79" spans="1:15" s="0" customFormat="1" ht="15" customHeight="1">
      <c r="A79" s="650"/>
      <c r="B79" s="638"/>
      <c r="C79" s="4" t="s">
        <v>511</v>
      </c>
      <c r="D79" s="13">
        <v>111</v>
      </c>
      <c r="E79" s="646"/>
      <c r="F79" s="25" t="s">
        <v>10</v>
      </c>
      <c r="G79" s="16">
        <v>25</v>
      </c>
      <c r="H79" s="252">
        <v>10</v>
      </c>
      <c r="I79" s="16">
        <v>1</v>
      </c>
      <c r="J79" s="253">
        <f t="shared" si="18"/>
        <v>0.40</v>
      </c>
      <c r="K79" s="16">
        <f>3816/1000</f>
        <v>3.8159999999999998</v>
      </c>
      <c r="L79" s="26">
        <f t="shared" si="19"/>
        <v>1.5264</v>
      </c>
      <c r="M79" s="42">
        <f t="shared" si="20"/>
        <v>268.64639999999997</v>
      </c>
      <c r="N79" s="43">
        <v>176</v>
      </c>
      <c r="O79" s="8">
        <f t="shared" si="21"/>
        <v>1.5264</v>
      </c>
    </row>
    <row r="80" spans="1:15" s="0" customFormat="1" ht="15">
      <c r="A80" s="650"/>
      <c r="B80" s="638"/>
      <c r="C80" s="13" t="s">
        <v>990</v>
      </c>
      <c r="D80" s="13">
        <v>111</v>
      </c>
      <c r="E80" s="647"/>
      <c r="F80" s="17" t="s">
        <v>10</v>
      </c>
      <c r="G80" s="16">
        <v>40</v>
      </c>
      <c r="H80" s="252">
        <v>10</v>
      </c>
      <c r="I80" s="16">
        <v>1</v>
      </c>
      <c r="J80" s="253">
        <f t="shared" si="18"/>
        <v>0.25</v>
      </c>
      <c r="K80" s="16">
        <f>3816*2/1000</f>
        <v>7.6319999999999997</v>
      </c>
      <c r="L80" s="26">
        <f t="shared" si="19"/>
        <v>1.9079999999999999</v>
      </c>
      <c r="M80" s="43">
        <f t="shared" si="20"/>
        <v>381.60</v>
      </c>
      <c r="N80" s="85">
        <v>200</v>
      </c>
      <c r="O80" s="8">
        <f t="shared" si="21"/>
        <v>1.9079999999999999</v>
      </c>
    </row>
    <row r="81" spans="1:15" s="0" customFormat="1" ht="15">
      <c r="A81" s="57" t="s">
        <v>348</v>
      </c>
      <c r="B81" s="56" t="s">
        <v>1007</v>
      </c>
      <c r="C81" s="17" t="s">
        <v>523</v>
      </c>
      <c r="D81" s="13">
        <v>224</v>
      </c>
      <c r="E81" s="13"/>
      <c r="F81" s="17"/>
      <c r="G81" s="16">
        <f>600/10</f>
        <v>60</v>
      </c>
      <c r="H81" s="252">
        <v>10</v>
      </c>
      <c r="I81" s="16">
        <v>1</v>
      </c>
      <c r="J81" s="253">
        <f t="shared" si="18"/>
        <v>0.16666666666666666</v>
      </c>
      <c r="K81" s="52">
        <v>3</v>
      </c>
      <c r="L81" s="8">
        <f t="shared" si="19"/>
        <v>0.50</v>
      </c>
      <c r="M81" s="42">
        <f t="shared" si="20"/>
        <v>100</v>
      </c>
      <c r="N81" s="43">
        <v>200</v>
      </c>
      <c r="O81" s="8">
        <f t="shared" si="21"/>
        <v>0.50</v>
      </c>
    </row>
    <row r="82" spans="1:15" ht="15">
      <c r="A82" s="57" t="s">
        <v>325</v>
      </c>
      <c r="B82" s="56" t="s">
        <v>327</v>
      </c>
      <c r="C82" s="13" t="s">
        <v>326</v>
      </c>
      <c r="D82" s="13">
        <v>110</v>
      </c>
      <c r="E82" s="13"/>
      <c r="F82" s="13" t="s">
        <v>513</v>
      </c>
      <c r="G82" s="28">
        <v>10</v>
      </c>
      <c r="H82" s="440">
        <v>10</v>
      </c>
      <c r="I82" s="28">
        <v>2</v>
      </c>
      <c r="J82" s="441">
        <f t="shared" si="18"/>
        <v>2</v>
      </c>
      <c r="K82" s="432">
        <v>1</v>
      </c>
      <c r="L82" s="435">
        <f t="shared" si="19"/>
        <v>2</v>
      </c>
      <c r="M82" s="266">
        <f t="shared" si="20"/>
        <v>400</v>
      </c>
      <c r="N82" s="433">
        <v>200</v>
      </c>
      <c r="O82" s="435">
        <f t="shared" si="21"/>
        <v>1</v>
      </c>
    </row>
    <row r="83" spans="1:15" s="0" customFormat="1" ht="15" customHeight="1">
      <c r="A83" s="637" t="s">
        <v>197</v>
      </c>
      <c r="B83" s="638" t="s">
        <v>110</v>
      </c>
      <c r="C83" s="13" t="s">
        <v>47</v>
      </c>
      <c r="D83" s="13">
        <v>110</v>
      </c>
      <c r="E83" s="13"/>
      <c r="F83" s="25" t="s">
        <v>111</v>
      </c>
      <c r="G83" s="16">
        <v>5</v>
      </c>
      <c r="H83" s="252">
        <v>10</v>
      </c>
      <c r="I83" s="16">
        <v>2</v>
      </c>
      <c r="J83" s="253">
        <f t="shared" si="18"/>
        <v>4</v>
      </c>
      <c r="K83" s="16">
        <v>1</v>
      </c>
      <c r="L83" s="26">
        <f t="shared" si="19"/>
        <v>4</v>
      </c>
      <c r="M83" s="43">
        <f t="shared" si="20"/>
        <v>800</v>
      </c>
      <c r="N83" s="46">
        <v>200</v>
      </c>
      <c r="O83" s="8">
        <f t="shared" si="21"/>
        <v>2</v>
      </c>
    </row>
    <row r="84" spans="1:15" s="0" customFormat="1" ht="30">
      <c r="A84" s="637"/>
      <c r="B84" s="638"/>
      <c r="C84" s="13" t="s">
        <v>48</v>
      </c>
      <c r="D84" s="13">
        <v>110</v>
      </c>
      <c r="E84" s="4" t="s">
        <v>1273</v>
      </c>
      <c r="F84" s="17" t="s">
        <v>10</v>
      </c>
      <c r="G84" s="16">
        <v>40</v>
      </c>
      <c r="H84" s="252">
        <v>10</v>
      </c>
      <c r="I84" s="16">
        <v>1</v>
      </c>
      <c r="J84" s="253">
        <f t="shared" si="18"/>
        <v>0.25</v>
      </c>
      <c r="K84" s="30">
        <f>((487*2)+1639*2+(827*2)+(827))/1000</f>
        <v>6.7329999999999997</v>
      </c>
      <c r="L84" s="26">
        <f t="shared" si="19"/>
        <v>1.6832499999999999</v>
      </c>
      <c r="M84" s="43">
        <f t="shared" si="20"/>
        <v>336.65</v>
      </c>
      <c r="N84" s="46">
        <v>200</v>
      </c>
      <c r="O84" s="8">
        <f t="shared" si="21"/>
        <v>1.6832499999999999</v>
      </c>
    </row>
    <row r="85" spans="1:15" ht="15">
      <c r="A85" s="54" t="s">
        <v>888</v>
      </c>
      <c r="B85" s="56" t="s">
        <v>1274</v>
      </c>
      <c r="C85" s="13" t="s">
        <v>862</v>
      </c>
      <c r="D85" s="13">
        <v>224</v>
      </c>
      <c r="E85" s="13"/>
      <c r="F85" s="17"/>
      <c r="G85" s="28">
        <f>(600-25)/10</f>
        <v>57.50</v>
      </c>
      <c r="H85" s="440">
        <v>10</v>
      </c>
      <c r="I85" s="28">
        <v>2</v>
      </c>
      <c r="J85" s="441">
        <f t="shared" si="18"/>
        <v>0.34782608695652173</v>
      </c>
      <c r="K85" s="28">
        <v>1</v>
      </c>
      <c r="L85" s="267">
        <f t="shared" si="19"/>
        <v>0.34782608695652173</v>
      </c>
      <c r="M85" s="433">
        <f t="shared" si="20"/>
        <v>69.565217391304344</v>
      </c>
      <c r="N85" s="434">
        <v>200</v>
      </c>
      <c r="O85" s="435">
        <f t="shared" si="21"/>
        <v>0.17391304347826086</v>
      </c>
    </row>
    <row r="86" spans="1:15" ht="15" customHeight="1">
      <c r="A86" s="13" t="s">
        <v>199</v>
      </c>
      <c r="B86" s="27" t="s">
        <v>890</v>
      </c>
      <c r="C86" s="13" t="s">
        <v>47</v>
      </c>
      <c r="D86" s="13">
        <v>112</v>
      </c>
      <c r="E86" s="13"/>
      <c r="F86" s="4" t="s">
        <v>870</v>
      </c>
      <c r="G86" s="28">
        <v>10</v>
      </c>
      <c r="H86" s="440">
        <v>10</v>
      </c>
      <c r="I86" s="28">
        <v>2</v>
      </c>
      <c r="J86" s="441">
        <f t="shared" si="18"/>
        <v>2</v>
      </c>
      <c r="K86" s="28">
        <v>1</v>
      </c>
      <c r="L86" s="267">
        <f t="shared" si="19"/>
        <v>2</v>
      </c>
      <c r="M86" s="433">
        <f t="shared" si="20"/>
        <v>400</v>
      </c>
      <c r="N86" s="434">
        <v>200</v>
      </c>
      <c r="O86" s="435">
        <f t="shared" si="21"/>
        <v>1</v>
      </c>
    </row>
    <row r="87" spans="1:15" ht="15">
      <c r="A87" s="39"/>
      <c r="B87" s="649" t="s">
        <v>132</v>
      </c>
      <c r="C87" s="649"/>
      <c r="D87" s="649"/>
      <c r="E87" s="649"/>
      <c r="F87" s="649"/>
      <c r="G87" s="649"/>
      <c r="H87" s="649"/>
      <c r="I87" s="649"/>
      <c r="J87" s="649"/>
      <c r="K87" s="649"/>
      <c r="L87" s="267"/>
      <c r="M87" s="262">
        <f>SUM(M88:M99)</f>
        <v>6095.825399135394</v>
      </c>
      <c r="N87" s="263"/>
      <c r="O87" s="264">
        <f>SUM(O88:O99)</f>
        <v>21.971541132645861</v>
      </c>
    </row>
    <row r="88" spans="1:15" ht="15">
      <c r="A88" s="650" t="s">
        <v>200</v>
      </c>
      <c r="B88" s="638" t="s">
        <v>871</v>
      </c>
      <c r="C88" s="13" t="s">
        <v>993</v>
      </c>
      <c r="D88" s="13">
        <v>224</v>
      </c>
      <c r="E88" s="13"/>
      <c r="F88" s="13" t="s">
        <v>353</v>
      </c>
      <c r="G88" s="442">
        <f>600/10</f>
        <v>60</v>
      </c>
      <c r="H88" s="440">
        <v>10</v>
      </c>
      <c r="I88" s="28">
        <v>1</v>
      </c>
      <c r="J88" s="441">
        <f t="shared" si="22" ref="J88:J99">H88/G88*I88</f>
        <v>0.16666666666666666</v>
      </c>
      <c r="K88" s="432">
        <v>2</v>
      </c>
      <c r="L88" s="435">
        <f t="shared" si="23" ref="L88:L91">J88*K88</f>
        <v>0.33333333333333331</v>
      </c>
      <c r="M88" s="266">
        <f t="shared" si="24" ref="M88:M99">L88*N88</f>
        <v>66.666666666666657</v>
      </c>
      <c r="N88" s="433">
        <v>200</v>
      </c>
      <c r="O88" s="435">
        <f t="shared" si="25" ref="O88:O99">J88/I88*K88</f>
        <v>0.33333333333333331</v>
      </c>
    </row>
    <row r="89" spans="1:15" ht="15">
      <c r="A89" s="650"/>
      <c r="B89" s="638"/>
      <c r="C89" s="13" t="s">
        <v>1125</v>
      </c>
      <c r="D89" s="13">
        <v>224</v>
      </c>
      <c r="E89" s="13"/>
      <c r="F89" s="13" t="s">
        <v>353</v>
      </c>
      <c r="G89" s="442">
        <v>120</v>
      </c>
      <c r="H89" s="440">
        <v>10</v>
      </c>
      <c r="I89" s="28">
        <v>1</v>
      </c>
      <c r="J89" s="441">
        <f t="shared" si="22"/>
        <v>0.083333333333333329</v>
      </c>
      <c r="K89" s="432">
        <v>2</v>
      </c>
      <c r="L89" s="435">
        <f t="shared" si="23"/>
        <v>0.16666666666666666</v>
      </c>
      <c r="M89" s="266">
        <f t="shared" si="24"/>
        <v>33.333333333333329</v>
      </c>
      <c r="N89" s="433">
        <v>200</v>
      </c>
      <c r="O89" s="435">
        <f t="shared" si="25"/>
        <v>0.16666666666666666</v>
      </c>
    </row>
    <row r="90" spans="1:15" ht="15">
      <c r="A90" s="650"/>
      <c r="B90" s="638"/>
      <c r="C90" s="13" t="s">
        <v>873</v>
      </c>
      <c r="D90" s="13">
        <v>224</v>
      </c>
      <c r="E90" s="13"/>
      <c r="F90" s="13" t="s">
        <v>353</v>
      </c>
      <c r="G90" s="442">
        <f>600/5</f>
        <v>120</v>
      </c>
      <c r="H90" s="440">
        <v>10</v>
      </c>
      <c r="I90" s="28">
        <v>1</v>
      </c>
      <c r="J90" s="441">
        <f t="shared" si="22"/>
        <v>0.083333333333333329</v>
      </c>
      <c r="K90" s="432">
        <v>2</v>
      </c>
      <c r="L90" s="435">
        <f t="shared" si="23"/>
        <v>0.16666666666666666</v>
      </c>
      <c r="M90" s="266">
        <f t="shared" si="24"/>
        <v>33.333333333333329</v>
      </c>
      <c r="N90" s="433">
        <v>200</v>
      </c>
      <c r="O90" s="435">
        <f t="shared" si="25"/>
        <v>0.16666666666666666</v>
      </c>
    </row>
    <row r="91" spans="1:15" ht="15">
      <c r="A91" s="57" t="s">
        <v>662</v>
      </c>
      <c r="B91" s="56" t="s">
        <v>1276</v>
      </c>
      <c r="C91" s="13" t="s">
        <v>862</v>
      </c>
      <c r="D91" s="13">
        <v>224</v>
      </c>
      <c r="E91" s="13"/>
      <c r="F91" s="17"/>
      <c r="G91" s="442">
        <f>(600-25)/10</f>
        <v>57.50</v>
      </c>
      <c r="H91" s="440">
        <v>10</v>
      </c>
      <c r="I91" s="28">
        <v>1</v>
      </c>
      <c r="J91" s="441">
        <f t="shared" si="22"/>
        <v>0.17391304347826086</v>
      </c>
      <c r="K91" s="28">
        <v>1</v>
      </c>
      <c r="L91" s="267">
        <f t="shared" si="23"/>
        <v>0.17391304347826086</v>
      </c>
      <c r="M91" s="433">
        <f t="shared" si="24"/>
        <v>34.782608695652172</v>
      </c>
      <c r="N91" s="434">
        <v>200</v>
      </c>
      <c r="O91" s="435">
        <f t="shared" si="25"/>
        <v>0.17391304347826086</v>
      </c>
    </row>
    <row r="92" spans="1:15" ht="15">
      <c r="A92" s="13" t="s">
        <v>205</v>
      </c>
      <c r="B92" s="27" t="s">
        <v>875</v>
      </c>
      <c r="C92" s="13" t="s">
        <v>138</v>
      </c>
      <c r="D92" s="13">
        <v>117</v>
      </c>
      <c r="E92" s="13"/>
      <c r="F92" s="4" t="s">
        <v>13</v>
      </c>
      <c r="G92" s="442">
        <f>1.29*1.4</f>
        <v>1.8059999999999998</v>
      </c>
      <c r="H92" s="440">
        <v>10</v>
      </c>
      <c r="I92" s="28">
        <v>2</v>
      </c>
      <c r="J92" s="441">
        <f t="shared" si="22"/>
        <v>11.07419712070875</v>
      </c>
      <c r="K92" s="28">
        <v>1</v>
      </c>
      <c r="L92" s="267">
        <f>J92*K92</f>
        <v>11.07419712070875</v>
      </c>
      <c r="M92" s="433">
        <f t="shared" si="24"/>
        <v>2214.83942414175</v>
      </c>
      <c r="N92" s="434">
        <v>200</v>
      </c>
      <c r="O92" s="435">
        <f t="shared" si="25"/>
        <v>5.5370985603543748</v>
      </c>
    </row>
    <row r="93" spans="1:15" ht="15">
      <c r="A93" s="13" t="s">
        <v>877</v>
      </c>
      <c r="B93" s="27" t="s">
        <v>876</v>
      </c>
      <c r="C93" s="13" t="s">
        <v>160</v>
      </c>
      <c r="D93" s="13">
        <v>117</v>
      </c>
      <c r="E93" s="13"/>
      <c r="F93" s="4" t="s">
        <v>13</v>
      </c>
      <c r="G93" s="442">
        <v>40</v>
      </c>
      <c r="H93" s="440">
        <v>10</v>
      </c>
      <c r="I93" s="28">
        <v>1</v>
      </c>
      <c r="J93" s="441">
        <f t="shared" si="22"/>
        <v>0.25</v>
      </c>
      <c r="K93" s="442">
        <f>(3998+3625+3590+498+16*3.1415*18+426*3.1415+30*3+276*2+138*2+22*2)/1000</f>
        <v>14.916031</v>
      </c>
      <c r="L93" s="267">
        <f>J93*K93</f>
        <v>3.7290077500000001</v>
      </c>
      <c r="M93" s="433">
        <f t="shared" si="24"/>
        <v>745.80155000000002</v>
      </c>
      <c r="N93" s="434">
        <v>200</v>
      </c>
      <c r="O93" s="435">
        <f t="shared" si="25"/>
        <v>3.7290077500000001</v>
      </c>
    </row>
    <row r="94" spans="1:15" ht="15">
      <c r="A94" s="13" t="s">
        <v>206</v>
      </c>
      <c r="B94" s="27" t="s">
        <v>94</v>
      </c>
      <c r="C94" s="13" t="s">
        <v>160</v>
      </c>
      <c r="D94" s="13">
        <v>114</v>
      </c>
      <c r="E94" s="13"/>
      <c r="F94" s="4" t="s">
        <v>13</v>
      </c>
      <c r="G94" s="442">
        <v>40</v>
      </c>
      <c r="H94" s="440">
        <v>10</v>
      </c>
      <c r="I94" s="28">
        <v>1</v>
      </c>
      <c r="J94" s="441">
        <f t="shared" si="22"/>
        <v>0.25</v>
      </c>
      <c r="K94" s="442">
        <f>(3998+120*3+16*3.1415*18+426*3.1415+3625+3814+3850+19*3.1415*2+23*3.1415*2+3590)/1000</f>
        <v>21.743917</v>
      </c>
      <c r="L94" s="267">
        <f>J94*K94</f>
        <v>5.4359792499999999</v>
      </c>
      <c r="M94" s="433">
        <f t="shared" si="24"/>
        <v>1087.1958500000001</v>
      </c>
      <c r="N94" s="434">
        <v>200</v>
      </c>
      <c r="O94" s="435">
        <f t="shared" si="25"/>
        <v>5.4359792499999999</v>
      </c>
    </row>
    <row r="95" spans="1:15" ht="15">
      <c r="A95" s="13" t="s">
        <v>207</v>
      </c>
      <c r="B95" s="56" t="s">
        <v>55</v>
      </c>
      <c r="C95" s="13" t="s">
        <v>29</v>
      </c>
      <c r="D95" s="13">
        <v>120</v>
      </c>
      <c r="E95" s="13"/>
      <c r="F95" s="13" t="s">
        <v>13</v>
      </c>
      <c r="G95" s="31">
        <v>9.40</v>
      </c>
      <c r="H95" s="440">
        <v>10</v>
      </c>
      <c r="I95" s="28">
        <v>1</v>
      </c>
      <c r="J95" s="441">
        <f t="shared" si="22"/>
        <v>1.0638297872340425</v>
      </c>
      <c r="K95" s="28">
        <v>1</v>
      </c>
      <c r="L95" s="267">
        <f t="shared" si="26" ref="L95:L98">J95*K95</f>
        <v>1.0638297872340425</v>
      </c>
      <c r="M95" s="433">
        <f t="shared" si="24"/>
        <v>187.2340425531915</v>
      </c>
      <c r="N95" s="434">
        <v>176</v>
      </c>
      <c r="O95" s="435">
        <f t="shared" si="25"/>
        <v>1.0638297872340425</v>
      </c>
    </row>
    <row r="96" spans="1:15" ht="15">
      <c r="A96" s="13" t="s">
        <v>208</v>
      </c>
      <c r="B96" s="56" t="s">
        <v>56</v>
      </c>
      <c r="C96" s="13" t="s">
        <v>29</v>
      </c>
      <c r="D96" s="13">
        <v>120</v>
      </c>
      <c r="E96" s="13"/>
      <c r="F96" s="13" t="s">
        <v>13</v>
      </c>
      <c r="G96" s="31">
        <v>9.40</v>
      </c>
      <c r="H96" s="440">
        <v>10</v>
      </c>
      <c r="I96" s="28">
        <v>1</v>
      </c>
      <c r="J96" s="441">
        <f t="shared" si="22"/>
        <v>1.0638297872340425</v>
      </c>
      <c r="K96" s="28">
        <v>1</v>
      </c>
      <c r="L96" s="267">
        <f t="shared" si="26"/>
        <v>1.0638297872340425</v>
      </c>
      <c r="M96" s="433">
        <f t="shared" si="24"/>
        <v>187.2340425531915</v>
      </c>
      <c r="N96" s="434">
        <v>176</v>
      </c>
      <c r="O96" s="435">
        <f t="shared" si="25"/>
        <v>1.0638297872340425</v>
      </c>
    </row>
    <row r="97" spans="1:16" ht="30">
      <c r="A97" s="13" t="s">
        <v>209</v>
      </c>
      <c r="B97" s="56" t="s">
        <v>892</v>
      </c>
      <c r="C97" s="13" t="s">
        <v>14</v>
      </c>
      <c r="D97" s="13">
        <v>119</v>
      </c>
      <c r="E97" s="13"/>
      <c r="F97" s="13" t="s">
        <v>58</v>
      </c>
      <c r="G97" s="28">
        <v>61</v>
      </c>
      <c r="H97" s="440">
        <v>10</v>
      </c>
      <c r="I97" s="28">
        <v>1</v>
      </c>
      <c r="J97" s="441">
        <f t="shared" si="22"/>
        <v>0.16393442622950818</v>
      </c>
      <c r="K97" s="28">
        <v>2.36</v>
      </c>
      <c r="L97" s="267">
        <f t="shared" si="26"/>
        <v>0.38688524590163931</v>
      </c>
      <c r="M97" s="433">
        <f t="shared" si="24"/>
        <v>77.377049180327859</v>
      </c>
      <c r="N97" s="434">
        <v>200</v>
      </c>
      <c r="O97" s="435">
        <f t="shared" si="25"/>
        <v>0.38688524590163931</v>
      </c>
      <c r="P97" s="22"/>
    </row>
    <row r="98" spans="1:16" ht="30">
      <c r="A98" s="13" t="s">
        <v>210</v>
      </c>
      <c r="B98" s="27" t="s">
        <v>114</v>
      </c>
      <c r="C98" s="13" t="s">
        <v>54</v>
      </c>
      <c r="D98" s="13">
        <v>116</v>
      </c>
      <c r="E98" s="13"/>
      <c r="F98" s="13" t="s">
        <v>13</v>
      </c>
      <c r="G98" s="439">
        <v>3.10</v>
      </c>
      <c r="H98" s="440">
        <v>10</v>
      </c>
      <c r="I98" s="28">
        <v>2</v>
      </c>
      <c r="J98" s="441">
        <f t="shared" si="22"/>
        <v>6.4516129032258061</v>
      </c>
      <c r="K98" s="28">
        <v>1</v>
      </c>
      <c r="L98" s="267">
        <f t="shared" si="26"/>
        <v>6.4516129032258061</v>
      </c>
      <c r="M98" s="433">
        <f t="shared" si="24"/>
        <v>1290.3225806451612</v>
      </c>
      <c r="N98" s="434">
        <v>200</v>
      </c>
      <c r="O98" s="435">
        <f t="shared" si="25"/>
        <v>3.225806451612903</v>
      </c>
      <c r="P98" s="22"/>
    </row>
    <row r="99" spans="1:15" ht="30">
      <c r="A99" s="13" t="s">
        <v>211</v>
      </c>
      <c r="B99" s="56" t="s">
        <v>60</v>
      </c>
      <c r="C99" s="13" t="s">
        <v>14</v>
      </c>
      <c r="D99" s="13">
        <v>226</v>
      </c>
      <c r="E99" s="13"/>
      <c r="F99" s="4" t="s">
        <v>58</v>
      </c>
      <c r="G99" s="477">
        <v>18.30</v>
      </c>
      <c r="H99" s="440">
        <v>10</v>
      </c>
      <c r="I99" s="28">
        <v>1</v>
      </c>
      <c r="J99" s="441">
        <f t="shared" si="22"/>
        <v>0.54644808743169393</v>
      </c>
      <c r="K99" s="28">
        <v>1.26</v>
      </c>
      <c r="L99" s="267">
        <f>J99*K99</f>
        <v>0.6885245901639343</v>
      </c>
      <c r="M99" s="433">
        <f t="shared" si="24"/>
        <v>137.70491803278685</v>
      </c>
      <c r="N99" s="434">
        <v>200</v>
      </c>
      <c r="O99" s="435">
        <f t="shared" si="25"/>
        <v>0.6885245901639343</v>
      </c>
    </row>
    <row r="100" spans="1:15" ht="15">
      <c r="A100" s="39"/>
      <c r="B100" s="649" t="s">
        <v>140</v>
      </c>
      <c r="C100" s="649"/>
      <c r="D100" s="649"/>
      <c r="E100" s="649"/>
      <c r="F100" s="649"/>
      <c r="G100" s="649"/>
      <c r="H100" s="649"/>
      <c r="I100" s="649"/>
      <c r="J100" s="649"/>
      <c r="K100" s="649"/>
      <c r="L100" s="267"/>
      <c r="M100" s="262">
        <f>SUM(M101:M106)</f>
        <v>2638.0256581633898</v>
      </c>
      <c r="N100" s="263"/>
      <c r="O100" s="264">
        <f>SUM(O101:O106)</f>
        <v>8.6417479865870437</v>
      </c>
    </row>
    <row r="101" spans="1:15" ht="15">
      <c r="A101" s="57" t="s">
        <v>893</v>
      </c>
      <c r="B101" s="27" t="s">
        <v>881</v>
      </c>
      <c r="C101" s="13" t="s">
        <v>880</v>
      </c>
      <c r="D101" s="13">
        <v>224</v>
      </c>
      <c r="E101" s="13"/>
      <c r="F101" s="13" t="s">
        <v>353</v>
      </c>
      <c r="G101" s="439">
        <f>600/20</f>
        <v>30</v>
      </c>
      <c r="H101" s="440">
        <v>10</v>
      </c>
      <c r="I101" s="28">
        <v>1</v>
      </c>
      <c r="J101" s="441">
        <f t="shared" si="27" ref="J101:J106">H101/G101*I101</f>
        <v>0.33333333333333331</v>
      </c>
      <c r="K101" s="432">
        <v>1</v>
      </c>
      <c r="L101" s="435">
        <f t="shared" si="28" ref="L101:L106">J101*K101</f>
        <v>0.33333333333333331</v>
      </c>
      <c r="M101" s="266">
        <f t="shared" si="29" ref="M101:M106">L101*N101</f>
        <v>66.666666666666657</v>
      </c>
      <c r="N101" s="433">
        <v>200</v>
      </c>
      <c r="O101" s="435">
        <f t="shared" si="30" ref="O101:O106">J101/I101*K101</f>
        <v>0.33333333333333331</v>
      </c>
    </row>
    <row r="102" spans="1:15" ht="15">
      <c r="A102" s="57" t="s">
        <v>212</v>
      </c>
      <c r="B102" s="56" t="s">
        <v>1277</v>
      </c>
      <c r="C102" s="13" t="s">
        <v>862</v>
      </c>
      <c r="D102" s="13">
        <v>224</v>
      </c>
      <c r="E102" s="13"/>
      <c r="F102" s="17"/>
      <c r="G102" s="28">
        <f>(600-25)/10</f>
        <v>57.50</v>
      </c>
      <c r="H102" s="440">
        <v>10</v>
      </c>
      <c r="I102" s="28">
        <v>2</v>
      </c>
      <c r="J102" s="441">
        <f t="shared" si="27"/>
        <v>0.34782608695652173</v>
      </c>
      <c r="K102" s="28">
        <v>1</v>
      </c>
      <c r="L102" s="267">
        <f t="shared" si="28"/>
        <v>0.34782608695652173</v>
      </c>
      <c r="M102" s="433">
        <f t="shared" si="29"/>
        <v>69.565217391304344</v>
      </c>
      <c r="N102" s="434">
        <v>200</v>
      </c>
      <c r="O102" s="435">
        <f t="shared" si="30"/>
        <v>0.17391304347826086</v>
      </c>
    </row>
    <row r="103" spans="1:15" ht="15">
      <c r="A103" s="57" t="s">
        <v>878</v>
      </c>
      <c r="B103" s="27" t="s">
        <v>882</v>
      </c>
      <c r="C103" s="13" t="s">
        <v>1011</v>
      </c>
      <c r="D103" s="13">
        <v>117</v>
      </c>
      <c r="E103" s="13"/>
      <c r="F103" s="13" t="s">
        <v>353</v>
      </c>
      <c r="G103" s="28">
        <v>34.60</v>
      </c>
      <c r="H103" s="440">
        <v>10</v>
      </c>
      <c r="I103" s="28">
        <v>1</v>
      </c>
      <c r="J103" s="441">
        <f t="shared" si="27"/>
        <v>0.28901734104046239</v>
      </c>
      <c r="K103" s="432">
        <v>1</v>
      </c>
      <c r="L103" s="435">
        <f t="shared" si="28"/>
        <v>0.28901734104046239</v>
      </c>
      <c r="M103" s="266">
        <f t="shared" si="29"/>
        <v>57.803468208092482</v>
      </c>
      <c r="N103" s="433">
        <v>200</v>
      </c>
      <c r="O103" s="435">
        <f t="shared" si="30"/>
        <v>0.28901734104046239</v>
      </c>
    </row>
    <row r="104" spans="1:15" ht="15">
      <c r="A104" s="57" t="s">
        <v>214</v>
      </c>
      <c r="B104" s="56" t="s">
        <v>883</v>
      </c>
      <c r="C104" s="13" t="s">
        <v>33</v>
      </c>
      <c r="D104" s="13">
        <v>118</v>
      </c>
      <c r="E104" s="13"/>
      <c r="F104" s="13" t="s">
        <v>510</v>
      </c>
      <c r="G104" s="28">
        <v>40</v>
      </c>
      <c r="H104" s="440">
        <v>10</v>
      </c>
      <c r="I104" s="28">
        <v>2</v>
      </c>
      <c r="J104" s="441">
        <f t="shared" si="27"/>
        <v>0.50</v>
      </c>
      <c r="K104" s="432">
        <v>2</v>
      </c>
      <c r="L104" s="267">
        <f t="shared" si="28"/>
        <v>1</v>
      </c>
      <c r="M104" s="433">
        <f t="shared" si="29"/>
        <v>200</v>
      </c>
      <c r="N104" s="434">
        <v>200</v>
      </c>
      <c r="O104" s="435">
        <f t="shared" si="30"/>
        <v>0.50</v>
      </c>
    </row>
    <row r="105" spans="1:15" ht="15">
      <c r="A105" s="13" t="s">
        <v>219</v>
      </c>
      <c r="B105" s="56" t="s">
        <v>91</v>
      </c>
      <c r="C105" s="13" t="s">
        <v>54</v>
      </c>
      <c r="D105" s="13">
        <v>118</v>
      </c>
      <c r="E105" s="13"/>
      <c r="F105" s="4" t="s">
        <v>59</v>
      </c>
      <c r="G105" s="30">
        <v>2.581</v>
      </c>
      <c r="H105" s="440">
        <v>10</v>
      </c>
      <c r="I105" s="28">
        <v>2</v>
      </c>
      <c r="J105" s="441">
        <f t="shared" si="27"/>
        <v>7.7489345215032932</v>
      </c>
      <c r="K105" s="432">
        <v>1</v>
      </c>
      <c r="L105" s="267">
        <f t="shared" si="28"/>
        <v>7.7489345215032932</v>
      </c>
      <c r="M105" s="433">
        <f t="shared" si="29"/>
        <v>1549.7869043006585</v>
      </c>
      <c r="N105" s="434">
        <v>200</v>
      </c>
      <c r="O105" s="435">
        <f t="shared" si="30"/>
        <v>3.8744672607516466</v>
      </c>
    </row>
    <row r="106" spans="1:15" ht="15">
      <c r="A106" s="13" t="s">
        <v>220</v>
      </c>
      <c r="B106" s="56" t="s">
        <v>92</v>
      </c>
      <c r="C106" s="13" t="s">
        <v>54</v>
      </c>
      <c r="D106" s="13">
        <v>118</v>
      </c>
      <c r="E106" s="13"/>
      <c r="F106" s="4" t="s">
        <v>59</v>
      </c>
      <c r="G106" s="30">
        <v>2.8809999999999998</v>
      </c>
      <c r="H106" s="440">
        <v>10</v>
      </c>
      <c r="I106" s="28">
        <v>1</v>
      </c>
      <c r="J106" s="441">
        <f t="shared" si="27"/>
        <v>3.4710170079833396</v>
      </c>
      <c r="K106" s="432">
        <v>1</v>
      </c>
      <c r="L106" s="267">
        <f t="shared" si="28"/>
        <v>3.4710170079833396</v>
      </c>
      <c r="M106" s="433">
        <f t="shared" si="29"/>
        <v>694.20340159666796</v>
      </c>
      <c r="N106" s="434">
        <v>200</v>
      </c>
      <c r="O106" s="435">
        <f t="shared" si="30"/>
        <v>3.4710170079833396</v>
      </c>
    </row>
    <row r="107" spans="1:15" ht="15">
      <c r="A107" s="39"/>
      <c r="B107" s="649" t="s">
        <v>135</v>
      </c>
      <c r="C107" s="649"/>
      <c r="D107" s="649"/>
      <c r="E107" s="649"/>
      <c r="F107" s="649"/>
      <c r="G107" s="649"/>
      <c r="H107" s="649"/>
      <c r="I107" s="649"/>
      <c r="J107" s="649"/>
      <c r="K107" s="649"/>
      <c r="L107" s="435"/>
      <c r="M107" s="262">
        <f>SUM(M108:M110)</f>
        <v>542.1416234887738</v>
      </c>
      <c r="N107" s="263"/>
      <c r="O107" s="264">
        <f>SUM(O108:O110)</f>
        <v>1.4607081174438687</v>
      </c>
    </row>
    <row r="108" spans="1:15" ht="15">
      <c r="A108" s="13" t="s">
        <v>136</v>
      </c>
      <c r="B108" s="56" t="s">
        <v>137</v>
      </c>
      <c r="C108" s="13" t="s">
        <v>138</v>
      </c>
      <c r="D108" s="13">
        <v>117</v>
      </c>
      <c r="E108" s="13"/>
      <c r="F108" s="4" t="s">
        <v>139</v>
      </c>
      <c r="G108" s="28">
        <v>10</v>
      </c>
      <c r="H108" s="440">
        <v>10</v>
      </c>
      <c r="I108" s="28">
        <v>2</v>
      </c>
      <c r="J108" s="441">
        <f>H108/G108*I108</f>
        <v>2</v>
      </c>
      <c r="K108" s="28">
        <v>1</v>
      </c>
      <c r="L108" s="435">
        <f t="shared" si="31" ref="L108:L110">J108*K108</f>
        <v>2</v>
      </c>
      <c r="M108" s="266">
        <f>L108*N108</f>
        <v>400</v>
      </c>
      <c r="N108" s="433">
        <v>200</v>
      </c>
      <c r="O108" s="435">
        <f>J108/I108*K108</f>
        <v>1</v>
      </c>
    </row>
    <row r="109" spans="1:15" ht="15">
      <c r="A109" s="13" t="s">
        <v>346</v>
      </c>
      <c r="B109" s="56" t="s">
        <v>347</v>
      </c>
      <c r="C109" s="13" t="s">
        <v>14</v>
      </c>
      <c r="D109" s="13">
        <v>226</v>
      </c>
      <c r="E109" s="13"/>
      <c r="F109" s="13" t="s">
        <v>58</v>
      </c>
      <c r="G109" s="28">
        <v>23.16</v>
      </c>
      <c r="H109" s="440">
        <v>10</v>
      </c>
      <c r="I109" s="28">
        <v>1</v>
      </c>
      <c r="J109" s="441">
        <f>H109/G109*I109</f>
        <v>0.43177892918825561</v>
      </c>
      <c r="K109" s="28">
        <f>0.122*4</f>
        <v>0.48799999999999999</v>
      </c>
      <c r="L109" s="435">
        <f t="shared" si="31"/>
        <v>0.21070811744386872</v>
      </c>
      <c r="M109" s="266">
        <f>L109*N109</f>
        <v>42.141623488773746</v>
      </c>
      <c r="N109" s="433">
        <v>200</v>
      </c>
      <c r="O109" s="435">
        <f>J109/I109*K109</f>
        <v>0.21070811744386872</v>
      </c>
    </row>
    <row r="110" spans="1:15" ht="15">
      <c r="A110" s="13" t="s">
        <v>344</v>
      </c>
      <c r="B110" s="56" t="s">
        <v>345</v>
      </c>
      <c r="C110" s="13" t="s">
        <v>24</v>
      </c>
      <c r="D110" s="13">
        <v>219</v>
      </c>
      <c r="E110" s="13"/>
      <c r="F110" s="4" t="s">
        <v>139</v>
      </c>
      <c r="G110" s="28">
        <v>40</v>
      </c>
      <c r="H110" s="440">
        <v>10</v>
      </c>
      <c r="I110" s="28">
        <v>2</v>
      </c>
      <c r="J110" s="441">
        <f>H110/G110*I110</f>
        <v>0.50</v>
      </c>
      <c r="K110" s="28">
        <v>1</v>
      </c>
      <c r="L110" s="435">
        <f t="shared" si="31"/>
        <v>0.50</v>
      </c>
      <c r="M110" s="266">
        <f>L110*N110</f>
        <v>100</v>
      </c>
      <c r="N110" s="433">
        <v>200</v>
      </c>
      <c r="O110" s="435">
        <f>J110/I110*K110</f>
        <v>0.25</v>
      </c>
    </row>
    <row r="111" spans="1:15" ht="15">
      <c r="A111" s="39"/>
      <c r="B111" s="649" t="s">
        <v>133</v>
      </c>
      <c r="C111" s="649"/>
      <c r="D111" s="649"/>
      <c r="E111" s="649"/>
      <c r="F111" s="649"/>
      <c r="G111" s="649"/>
      <c r="H111" s="649"/>
      <c r="I111" s="649"/>
      <c r="J111" s="649"/>
      <c r="K111" s="649"/>
      <c r="L111" s="267"/>
      <c r="M111" s="262">
        <f>SUM(M112:M159)</f>
        <v>21797.952703622606</v>
      </c>
      <c r="N111" s="263"/>
      <c r="O111" s="264">
        <f>SUM(O112:O159)</f>
        <v>70.941349091145099</v>
      </c>
    </row>
    <row r="112" spans="1:15" ht="30" customHeight="1">
      <c r="A112" s="13" t="s">
        <v>221</v>
      </c>
      <c r="B112" s="56" t="s">
        <v>715</v>
      </c>
      <c r="C112" s="13" t="s">
        <v>24</v>
      </c>
      <c r="D112" s="13">
        <v>112</v>
      </c>
      <c r="E112" s="13"/>
      <c r="F112" s="13" t="s">
        <v>11</v>
      </c>
      <c r="G112" s="432">
        <v>7</v>
      </c>
      <c r="H112" s="440">
        <v>10</v>
      </c>
      <c r="I112" s="28">
        <v>2</v>
      </c>
      <c r="J112" s="441">
        <f t="shared" si="32" ref="J112:J159">H112/G112*I112</f>
        <v>2.8571428571428572</v>
      </c>
      <c r="K112" s="28">
        <v>1</v>
      </c>
      <c r="L112" s="267">
        <f t="shared" si="33" ref="L112:L159">J112*K112</f>
        <v>2.8571428571428572</v>
      </c>
      <c r="M112" s="433">
        <f t="shared" si="34" ref="M112:M159">L112*N112</f>
        <v>571.42857142857144</v>
      </c>
      <c r="N112" s="434">
        <v>200</v>
      </c>
      <c r="O112" s="435">
        <f t="shared" si="35" ref="O112:O159">J112/I112*K112</f>
        <v>1.4285714285714286</v>
      </c>
    </row>
    <row r="113" spans="1:15" ht="30">
      <c r="A113" s="13" t="s">
        <v>225</v>
      </c>
      <c r="B113" s="27" t="s">
        <v>230</v>
      </c>
      <c r="C113" s="13" t="s">
        <v>226</v>
      </c>
      <c r="D113" s="13">
        <v>302</v>
      </c>
      <c r="E113" s="13"/>
      <c r="F113" s="13" t="s">
        <v>227</v>
      </c>
      <c r="G113" s="28">
        <f>600/2.5</f>
        <v>240</v>
      </c>
      <c r="H113" s="440">
        <v>10</v>
      </c>
      <c r="I113" s="28">
        <v>2</v>
      </c>
      <c r="J113" s="441">
        <f t="shared" si="32"/>
        <v>0.083333333333333329</v>
      </c>
      <c r="K113" s="28">
        <v>66</v>
      </c>
      <c r="L113" s="435">
        <f t="shared" si="33"/>
        <v>5.50</v>
      </c>
      <c r="M113" s="433">
        <f t="shared" si="34"/>
        <v>1100</v>
      </c>
      <c r="N113" s="433">
        <v>200</v>
      </c>
      <c r="O113" s="435">
        <f t="shared" si="35"/>
        <v>2.75</v>
      </c>
    </row>
    <row r="114" spans="1:15" ht="30">
      <c r="A114" s="13" t="s">
        <v>228</v>
      </c>
      <c r="B114" s="27" t="s">
        <v>1282</v>
      </c>
      <c r="C114" s="13" t="s">
        <v>24</v>
      </c>
      <c r="D114" s="13">
        <v>110</v>
      </c>
      <c r="E114" s="13"/>
      <c r="F114" s="13" t="s">
        <v>63</v>
      </c>
      <c r="G114" s="28">
        <f>10*40</f>
        <v>400</v>
      </c>
      <c r="H114" s="440">
        <v>10</v>
      </c>
      <c r="I114" s="28">
        <v>2</v>
      </c>
      <c r="J114" s="441">
        <f t="shared" si="32"/>
        <v>0.05</v>
      </c>
      <c r="K114" s="28">
        <v>66</v>
      </c>
      <c r="L114" s="435">
        <f t="shared" si="33"/>
        <v>3.3000000000000003</v>
      </c>
      <c r="M114" s="433">
        <f t="shared" si="34"/>
        <v>501.60</v>
      </c>
      <c r="N114" s="433">
        <v>152</v>
      </c>
      <c r="O114" s="435">
        <f t="shared" si="35"/>
        <v>1.65</v>
      </c>
    </row>
    <row r="115" spans="1:15" ht="14.1" customHeight="1">
      <c r="A115" s="13" t="s">
        <v>232</v>
      </c>
      <c r="B115" s="27" t="s">
        <v>61</v>
      </c>
      <c r="C115" s="13" t="s">
        <v>62</v>
      </c>
      <c r="D115" s="13">
        <v>112</v>
      </c>
      <c r="E115" s="13"/>
      <c r="F115" s="13" t="s">
        <v>63</v>
      </c>
      <c r="G115" s="28">
        <v>200</v>
      </c>
      <c r="H115" s="440">
        <v>10</v>
      </c>
      <c r="I115" s="28">
        <v>2</v>
      </c>
      <c r="J115" s="441">
        <f t="shared" si="32"/>
        <v>0.10000000000000001</v>
      </c>
      <c r="K115" s="28">
        <v>66</v>
      </c>
      <c r="L115" s="267">
        <f t="shared" si="33"/>
        <v>6.60</v>
      </c>
      <c r="M115" s="433">
        <f t="shared" si="34"/>
        <v>1003.20</v>
      </c>
      <c r="N115" s="434">
        <v>152</v>
      </c>
      <c r="O115" s="435">
        <f t="shared" si="35"/>
        <v>3.3000000000000003</v>
      </c>
    </row>
    <row r="116" spans="1:15" ht="14.1" customHeight="1">
      <c r="A116" s="13" t="s">
        <v>536</v>
      </c>
      <c r="B116" s="27" t="s">
        <v>537</v>
      </c>
      <c r="C116" s="13" t="s">
        <v>538</v>
      </c>
      <c r="D116" s="13">
        <v>115</v>
      </c>
      <c r="E116" s="13"/>
      <c r="F116" s="13" t="s">
        <v>63</v>
      </c>
      <c r="G116" s="28">
        <v>1200</v>
      </c>
      <c r="H116" s="440">
        <v>10</v>
      </c>
      <c r="I116" s="28">
        <v>1</v>
      </c>
      <c r="J116" s="441">
        <f t="shared" si="32"/>
        <v>0.0083333333333333332</v>
      </c>
      <c r="K116" s="28">
        <v>66</v>
      </c>
      <c r="L116" s="267">
        <f t="shared" si="33"/>
        <v>0.55000000000000004</v>
      </c>
      <c r="M116" s="433">
        <f t="shared" si="34"/>
        <v>110.00000000000001</v>
      </c>
      <c r="N116" s="434">
        <v>200</v>
      </c>
      <c r="O116" s="435">
        <f t="shared" si="35"/>
        <v>0.55000000000000004</v>
      </c>
    </row>
    <row r="117" spans="1:15" ht="14.1" customHeight="1">
      <c r="A117" s="13" t="s">
        <v>233</v>
      </c>
      <c r="B117" s="27" t="s">
        <v>66</v>
      </c>
      <c r="C117" s="13" t="s">
        <v>48</v>
      </c>
      <c r="D117" s="13">
        <v>112</v>
      </c>
      <c r="E117" s="13"/>
      <c r="F117" s="13" t="s">
        <v>67</v>
      </c>
      <c r="G117" s="28">
        <v>80</v>
      </c>
      <c r="H117" s="440">
        <v>10</v>
      </c>
      <c r="I117" s="28">
        <v>2</v>
      </c>
      <c r="J117" s="441">
        <f t="shared" si="32"/>
        <v>0.25</v>
      </c>
      <c r="K117" s="28">
        <v>4</v>
      </c>
      <c r="L117" s="267">
        <f t="shared" si="33"/>
        <v>1</v>
      </c>
      <c r="M117" s="433">
        <f t="shared" si="34"/>
        <v>200</v>
      </c>
      <c r="N117" s="434">
        <v>200</v>
      </c>
      <c r="O117" s="435">
        <f t="shared" si="35"/>
        <v>0.50</v>
      </c>
    </row>
    <row r="118" spans="1:15" ht="15" customHeight="1">
      <c r="A118" s="637" t="s">
        <v>234</v>
      </c>
      <c r="B118" s="648" t="s">
        <v>235</v>
      </c>
      <c r="C118" s="13" t="s">
        <v>72</v>
      </c>
      <c r="D118" s="13">
        <v>115</v>
      </c>
      <c r="E118" s="13"/>
      <c r="F118" s="13" t="s">
        <v>236</v>
      </c>
      <c r="G118" s="28">
        <v>20</v>
      </c>
      <c r="H118" s="440">
        <v>10</v>
      </c>
      <c r="I118" s="28">
        <v>2</v>
      </c>
      <c r="J118" s="441">
        <f t="shared" si="32"/>
        <v>1</v>
      </c>
      <c r="K118" s="28">
        <v>5</v>
      </c>
      <c r="L118" s="267">
        <f t="shared" si="33"/>
        <v>5</v>
      </c>
      <c r="M118" s="433">
        <f t="shared" si="34"/>
        <v>1000</v>
      </c>
      <c r="N118" s="434">
        <v>200</v>
      </c>
      <c r="O118" s="435">
        <f t="shared" si="35"/>
        <v>2.50</v>
      </c>
    </row>
    <row r="119" spans="1:15" ht="15.75" customHeight="1">
      <c r="A119" s="637"/>
      <c r="B119" s="648"/>
      <c r="C119" s="13" t="s">
        <v>48</v>
      </c>
      <c r="D119" s="13">
        <v>115</v>
      </c>
      <c r="E119" s="13" t="s">
        <v>1278</v>
      </c>
      <c r="F119" s="13" t="s">
        <v>10</v>
      </c>
      <c r="G119" s="28">
        <v>30</v>
      </c>
      <c r="H119" s="440">
        <v>10</v>
      </c>
      <c r="I119" s="28">
        <v>1</v>
      </c>
      <c r="J119" s="441">
        <f t="shared" si="32"/>
        <v>0.33333333333333331</v>
      </c>
      <c r="K119" s="442">
        <f>(1510+1548+2585+588+729)*2/1000</f>
        <v>13.92</v>
      </c>
      <c r="L119" s="267">
        <f t="shared" si="33"/>
        <v>4.6399999999999997</v>
      </c>
      <c r="M119" s="433">
        <f t="shared" si="34"/>
        <v>927.99999999999989</v>
      </c>
      <c r="N119" s="434">
        <v>200</v>
      </c>
      <c r="O119" s="435">
        <f t="shared" si="35"/>
        <v>4.6399999999999997</v>
      </c>
    </row>
    <row r="120" spans="1:15" ht="14.1" customHeight="1">
      <c r="A120" s="13" t="s">
        <v>237</v>
      </c>
      <c r="B120" s="56" t="s">
        <v>238</v>
      </c>
      <c r="C120" s="13" t="s">
        <v>69</v>
      </c>
      <c r="D120" s="13">
        <v>110</v>
      </c>
      <c r="E120" s="13"/>
      <c r="F120" s="13" t="s">
        <v>34</v>
      </c>
      <c r="G120" s="28">
        <v>10</v>
      </c>
      <c r="H120" s="440">
        <v>10</v>
      </c>
      <c r="I120" s="28">
        <v>2</v>
      </c>
      <c r="J120" s="441">
        <f t="shared" si="32"/>
        <v>2</v>
      </c>
      <c r="K120" s="28">
        <v>1</v>
      </c>
      <c r="L120" s="267">
        <f t="shared" si="33"/>
        <v>2</v>
      </c>
      <c r="M120" s="433">
        <f t="shared" si="34"/>
        <v>400</v>
      </c>
      <c r="N120" s="434">
        <v>200</v>
      </c>
      <c r="O120" s="435">
        <f t="shared" si="35"/>
        <v>1</v>
      </c>
    </row>
    <row r="121" spans="1:15" ht="30">
      <c r="A121" s="13" t="s">
        <v>896</v>
      </c>
      <c r="B121" s="56" t="s">
        <v>894</v>
      </c>
      <c r="C121" s="13" t="s">
        <v>138</v>
      </c>
      <c r="D121" s="13">
        <v>110</v>
      </c>
      <c r="E121" s="13"/>
      <c r="F121" s="13" t="s">
        <v>12</v>
      </c>
      <c r="G121" s="28">
        <v>12</v>
      </c>
      <c r="H121" s="440">
        <v>10</v>
      </c>
      <c r="I121" s="28">
        <v>2</v>
      </c>
      <c r="J121" s="441">
        <f t="shared" si="32"/>
        <v>1.6666666666666667</v>
      </c>
      <c r="K121" s="28">
        <v>1</v>
      </c>
      <c r="L121" s="267">
        <f t="shared" si="33"/>
        <v>1.6666666666666667</v>
      </c>
      <c r="M121" s="433">
        <f t="shared" si="34"/>
        <v>333.33333333333337</v>
      </c>
      <c r="N121" s="434">
        <v>200</v>
      </c>
      <c r="O121" s="435">
        <f t="shared" si="35"/>
        <v>0.83333333333333337</v>
      </c>
    </row>
    <row r="122" spans="1:15" ht="30">
      <c r="A122" s="13" t="s">
        <v>243</v>
      </c>
      <c r="B122" s="56" t="s">
        <v>244</v>
      </c>
      <c r="C122" s="13" t="s">
        <v>25</v>
      </c>
      <c r="D122" s="13">
        <v>110</v>
      </c>
      <c r="E122" s="13" t="s">
        <v>53</v>
      </c>
      <c r="F122" s="13" t="s">
        <v>10</v>
      </c>
      <c r="G122" s="28">
        <v>40</v>
      </c>
      <c r="H122" s="440">
        <v>10</v>
      </c>
      <c r="I122" s="28">
        <v>1</v>
      </c>
      <c r="J122" s="441">
        <f t="shared" si="32"/>
        <v>0.25</v>
      </c>
      <c r="K122" s="28">
        <f>3816*2/1000</f>
        <v>7.6319999999999997</v>
      </c>
      <c r="L122" s="267">
        <f t="shared" si="33"/>
        <v>1.9079999999999999</v>
      </c>
      <c r="M122" s="433">
        <f t="shared" si="34"/>
        <v>381.60</v>
      </c>
      <c r="N122" s="434">
        <v>200</v>
      </c>
      <c r="O122" s="435">
        <f t="shared" si="35"/>
        <v>1.9079999999999999</v>
      </c>
    </row>
    <row r="123" spans="1:15" ht="14.1" customHeight="1">
      <c r="A123" s="13" t="s">
        <v>237</v>
      </c>
      <c r="B123" s="56" t="s">
        <v>71</v>
      </c>
      <c r="C123" s="13" t="s">
        <v>68</v>
      </c>
      <c r="D123" s="13">
        <v>110</v>
      </c>
      <c r="E123" s="13"/>
      <c r="F123" s="13" t="s">
        <v>34</v>
      </c>
      <c r="G123" s="28">
        <v>20</v>
      </c>
      <c r="H123" s="440">
        <v>10</v>
      </c>
      <c r="I123" s="28">
        <v>2</v>
      </c>
      <c r="J123" s="441">
        <f t="shared" si="32"/>
        <v>1</v>
      </c>
      <c r="K123" s="28">
        <v>1</v>
      </c>
      <c r="L123" s="267">
        <f t="shared" si="33"/>
        <v>1</v>
      </c>
      <c r="M123" s="433">
        <f t="shared" si="34"/>
        <v>200</v>
      </c>
      <c r="N123" s="434">
        <v>200</v>
      </c>
      <c r="O123" s="435">
        <f t="shared" si="35"/>
        <v>0.50</v>
      </c>
    </row>
    <row r="124" spans="1:15" ht="30">
      <c r="A124" s="13" t="s">
        <v>897</v>
      </c>
      <c r="B124" s="56" t="s">
        <v>895</v>
      </c>
      <c r="C124" s="13" t="s">
        <v>138</v>
      </c>
      <c r="D124" s="13">
        <v>110</v>
      </c>
      <c r="E124" s="13"/>
      <c r="F124" s="13" t="s">
        <v>12</v>
      </c>
      <c r="G124" s="28">
        <v>12</v>
      </c>
      <c r="H124" s="440">
        <v>10</v>
      </c>
      <c r="I124" s="28">
        <v>2</v>
      </c>
      <c r="J124" s="441">
        <f t="shared" si="32"/>
        <v>1.6666666666666667</v>
      </c>
      <c r="K124" s="28">
        <v>1</v>
      </c>
      <c r="L124" s="267">
        <f t="shared" si="33"/>
        <v>1.6666666666666667</v>
      </c>
      <c r="M124" s="433">
        <f t="shared" si="34"/>
        <v>333.33333333333337</v>
      </c>
      <c r="N124" s="434">
        <v>200</v>
      </c>
      <c r="O124" s="435">
        <f t="shared" si="35"/>
        <v>0.83333333333333337</v>
      </c>
    </row>
    <row r="125" spans="1:15" ht="30">
      <c r="A125" s="13" t="s">
        <v>249</v>
      </c>
      <c r="B125" s="56" t="s">
        <v>248</v>
      </c>
      <c r="C125" s="13" t="s">
        <v>25</v>
      </c>
      <c r="D125" s="13">
        <v>110</v>
      </c>
      <c r="E125" s="13" t="s">
        <v>53</v>
      </c>
      <c r="F125" s="13" t="s">
        <v>10</v>
      </c>
      <c r="G125" s="28">
        <v>40</v>
      </c>
      <c r="H125" s="440">
        <v>10</v>
      </c>
      <c r="I125" s="28">
        <v>1</v>
      </c>
      <c r="J125" s="441">
        <f t="shared" si="32"/>
        <v>0.25</v>
      </c>
      <c r="K125" s="28">
        <f>3816*2/1000</f>
        <v>7.6319999999999997</v>
      </c>
      <c r="L125" s="267">
        <f t="shared" si="33"/>
        <v>1.9079999999999999</v>
      </c>
      <c r="M125" s="433">
        <f t="shared" si="34"/>
        <v>381.60</v>
      </c>
      <c r="N125" s="434">
        <v>200</v>
      </c>
      <c r="O125" s="435">
        <f t="shared" si="35"/>
        <v>1.9079999999999999</v>
      </c>
    </row>
    <row r="126" spans="1:15" ht="14.1" customHeight="1">
      <c r="A126" s="13" t="s">
        <v>237</v>
      </c>
      <c r="B126" s="56" t="s">
        <v>71</v>
      </c>
      <c r="C126" s="13" t="s">
        <v>68</v>
      </c>
      <c r="D126" s="13">
        <v>110</v>
      </c>
      <c r="E126" s="13"/>
      <c r="F126" s="13" t="s">
        <v>34</v>
      </c>
      <c r="G126" s="28">
        <v>20</v>
      </c>
      <c r="H126" s="440">
        <v>10</v>
      </c>
      <c r="I126" s="28">
        <v>2</v>
      </c>
      <c r="J126" s="441">
        <f t="shared" si="32"/>
        <v>1</v>
      </c>
      <c r="K126" s="28">
        <v>1</v>
      </c>
      <c r="L126" s="267">
        <f t="shared" si="33"/>
        <v>1</v>
      </c>
      <c r="M126" s="433">
        <f t="shared" si="34"/>
        <v>200</v>
      </c>
      <c r="N126" s="434">
        <v>200</v>
      </c>
      <c r="O126" s="435">
        <f t="shared" si="35"/>
        <v>0.50</v>
      </c>
    </row>
    <row r="127" spans="1:15" ht="30">
      <c r="A127" s="13" t="s">
        <v>239</v>
      </c>
      <c r="B127" s="56" t="s">
        <v>240</v>
      </c>
      <c r="C127" s="13" t="s">
        <v>25</v>
      </c>
      <c r="D127" s="13">
        <v>113</v>
      </c>
      <c r="E127" s="13"/>
      <c r="F127" s="13" t="s">
        <v>63</v>
      </c>
      <c r="G127" s="432">
        <v>112</v>
      </c>
      <c r="H127" s="440">
        <v>10</v>
      </c>
      <c r="I127" s="28">
        <v>1</v>
      </c>
      <c r="J127" s="441">
        <f t="shared" si="32"/>
        <v>0.089285714285714288</v>
      </c>
      <c r="K127" s="28">
        <v>66</v>
      </c>
      <c r="L127" s="267">
        <f t="shared" si="33"/>
        <v>5.8928571428571432</v>
      </c>
      <c r="M127" s="433">
        <f t="shared" si="34"/>
        <v>1532.1428571428573</v>
      </c>
      <c r="N127" s="434">
        <v>260</v>
      </c>
      <c r="O127" s="435">
        <f t="shared" si="35"/>
        <v>5.8928571428571432</v>
      </c>
    </row>
    <row r="128" spans="1:15" ht="30">
      <c r="A128" s="13" t="s">
        <v>317</v>
      </c>
      <c r="B128" s="56" t="s">
        <v>242</v>
      </c>
      <c r="C128" s="13" t="s">
        <v>25</v>
      </c>
      <c r="D128" s="13">
        <v>113</v>
      </c>
      <c r="E128" s="13" t="s">
        <v>70</v>
      </c>
      <c r="F128" s="13" t="s">
        <v>10</v>
      </c>
      <c r="G128" s="28">
        <v>40</v>
      </c>
      <c r="H128" s="440">
        <v>10</v>
      </c>
      <c r="I128" s="28">
        <v>1</v>
      </c>
      <c r="J128" s="441">
        <f t="shared" si="32"/>
        <v>0.25</v>
      </c>
      <c r="K128" s="436">
        <f>822/1000*3.1415</f>
        <v>2.5823130000000001</v>
      </c>
      <c r="L128" s="267">
        <f t="shared" si="33"/>
        <v>0.64557825000000002</v>
      </c>
      <c r="M128" s="433">
        <f t="shared" si="34"/>
        <v>129.11565000000002</v>
      </c>
      <c r="N128" s="434">
        <v>200</v>
      </c>
      <c r="O128" s="435">
        <f t="shared" si="35"/>
        <v>0.64557825000000002</v>
      </c>
    </row>
    <row r="129" spans="1:15" ht="30">
      <c r="A129" s="13" t="s">
        <v>245</v>
      </c>
      <c r="B129" s="56" t="s">
        <v>246</v>
      </c>
      <c r="C129" s="13" t="s">
        <v>25</v>
      </c>
      <c r="D129" s="13">
        <v>113</v>
      </c>
      <c r="E129" s="13"/>
      <c r="F129" s="13" t="s">
        <v>63</v>
      </c>
      <c r="G129" s="432">
        <v>112</v>
      </c>
      <c r="H129" s="440">
        <v>10</v>
      </c>
      <c r="I129" s="28">
        <v>1</v>
      </c>
      <c r="J129" s="441">
        <f t="shared" si="32"/>
        <v>0.089285714285714288</v>
      </c>
      <c r="K129" s="28">
        <v>66</v>
      </c>
      <c r="L129" s="267">
        <f t="shared" si="33"/>
        <v>5.8928571428571432</v>
      </c>
      <c r="M129" s="433">
        <f t="shared" si="34"/>
        <v>1532.1428571428573</v>
      </c>
      <c r="N129" s="434">
        <v>260</v>
      </c>
      <c r="O129" s="435">
        <f t="shared" si="35"/>
        <v>5.8928571428571432</v>
      </c>
    </row>
    <row r="130" spans="1:15" ht="14.1" customHeight="1">
      <c r="A130" s="13" t="s">
        <v>741</v>
      </c>
      <c r="B130" s="56" t="s">
        <v>1281</v>
      </c>
      <c r="C130" s="13" t="s">
        <v>33</v>
      </c>
      <c r="D130" s="13">
        <v>115</v>
      </c>
      <c r="E130" s="13"/>
      <c r="F130" s="13"/>
      <c r="G130" s="28">
        <v>5</v>
      </c>
      <c r="H130" s="440">
        <v>10</v>
      </c>
      <c r="I130" s="28">
        <v>1</v>
      </c>
      <c r="J130" s="441">
        <f t="shared" si="32"/>
        <v>2</v>
      </c>
      <c r="K130" s="28">
        <v>1</v>
      </c>
      <c r="L130" s="267">
        <f t="shared" si="33"/>
        <v>2</v>
      </c>
      <c r="M130" s="433">
        <f t="shared" si="34"/>
        <v>400</v>
      </c>
      <c r="N130" s="434">
        <v>200</v>
      </c>
      <c r="O130" s="435">
        <f t="shared" si="35"/>
        <v>2</v>
      </c>
    </row>
    <row r="131" spans="1:15" ht="15" customHeight="1">
      <c r="A131" s="645" t="s">
        <v>254</v>
      </c>
      <c r="B131" s="639" t="s">
        <v>884</v>
      </c>
      <c r="C131" s="13" t="s">
        <v>76</v>
      </c>
      <c r="D131" s="13">
        <v>115</v>
      </c>
      <c r="E131" s="13"/>
      <c r="F131" s="13" t="s">
        <v>78</v>
      </c>
      <c r="G131" s="28">
        <v>20</v>
      </c>
      <c r="H131" s="440">
        <v>10</v>
      </c>
      <c r="I131" s="28">
        <v>2</v>
      </c>
      <c r="J131" s="441">
        <f t="shared" si="32"/>
        <v>1</v>
      </c>
      <c r="K131" s="28">
        <v>2</v>
      </c>
      <c r="L131" s="267">
        <f t="shared" si="33"/>
        <v>2</v>
      </c>
      <c r="M131" s="433">
        <f t="shared" si="34"/>
        <v>400</v>
      </c>
      <c r="N131" s="434">
        <v>200</v>
      </c>
      <c r="O131" s="435">
        <f t="shared" si="35"/>
        <v>1</v>
      </c>
    </row>
    <row r="132" spans="1:15" ht="15">
      <c r="A132" s="647"/>
      <c r="B132" s="641"/>
      <c r="C132" s="13" t="s">
        <v>77</v>
      </c>
      <c r="D132" s="13">
        <v>115</v>
      </c>
      <c r="E132" s="13" t="s">
        <v>79</v>
      </c>
      <c r="F132" s="13" t="s">
        <v>10</v>
      </c>
      <c r="G132" s="28">
        <v>40</v>
      </c>
      <c r="H132" s="440">
        <v>10</v>
      </c>
      <c r="I132" s="28">
        <v>1</v>
      </c>
      <c r="J132" s="441">
        <f t="shared" si="32"/>
        <v>0.25</v>
      </c>
      <c r="K132" s="442">
        <f>(116*2*6+130*4)/1000</f>
        <v>1.9119999999999999</v>
      </c>
      <c r="L132" s="267">
        <f t="shared" si="33"/>
        <v>0.47799999999999998</v>
      </c>
      <c r="M132" s="433">
        <f t="shared" si="34"/>
        <v>95.60</v>
      </c>
      <c r="N132" s="434">
        <v>200</v>
      </c>
      <c r="O132" s="435">
        <f t="shared" si="35"/>
        <v>0.47799999999999998</v>
      </c>
    </row>
    <row r="133" spans="1:15" ht="15">
      <c r="A133" s="637" t="s">
        <v>257</v>
      </c>
      <c r="B133" s="638" t="s">
        <v>258</v>
      </c>
      <c r="C133" s="13" t="s">
        <v>259</v>
      </c>
      <c r="D133" s="13">
        <v>107</v>
      </c>
      <c r="E133" s="13" t="s">
        <v>260</v>
      </c>
      <c r="F133" s="13" t="s">
        <v>261</v>
      </c>
      <c r="G133" s="442">
        <f>8*2</f>
        <v>16</v>
      </c>
      <c r="H133" s="468">
        <v>10</v>
      </c>
      <c r="I133" s="432">
        <v>2</v>
      </c>
      <c r="J133" s="468">
        <f t="shared" si="32"/>
        <v>1.25</v>
      </c>
      <c r="K133" s="442">
        <v>1</v>
      </c>
      <c r="L133" s="267">
        <f t="shared" si="33"/>
        <v>1.25</v>
      </c>
      <c r="M133" s="266">
        <f t="shared" si="34"/>
        <v>250</v>
      </c>
      <c r="N133" s="433">
        <v>200</v>
      </c>
      <c r="O133" s="267">
        <f t="shared" si="35"/>
        <v>0.625</v>
      </c>
    </row>
    <row r="134" spans="1:15" ht="15">
      <c r="A134" s="637"/>
      <c r="B134" s="638"/>
      <c r="C134" s="13" t="s">
        <v>262</v>
      </c>
      <c r="D134" s="13">
        <v>107</v>
      </c>
      <c r="E134" s="13" t="s">
        <v>260</v>
      </c>
      <c r="F134" s="13" t="s">
        <v>261</v>
      </c>
      <c r="G134" s="442">
        <v>32</v>
      </c>
      <c r="H134" s="472">
        <v>10</v>
      </c>
      <c r="I134" s="432">
        <v>2</v>
      </c>
      <c r="J134" s="472">
        <f t="shared" si="32"/>
        <v>0.625</v>
      </c>
      <c r="K134" s="442">
        <v>2</v>
      </c>
      <c r="L134" s="435">
        <f t="shared" si="33"/>
        <v>1.25</v>
      </c>
      <c r="M134" s="266">
        <f t="shared" si="34"/>
        <v>250</v>
      </c>
      <c r="N134" s="433">
        <v>200</v>
      </c>
      <c r="O134" s="435">
        <f t="shared" si="35"/>
        <v>0.625</v>
      </c>
    </row>
    <row r="135" spans="1:15" ht="15">
      <c r="A135" s="637"/>
      <c r="B135" s="638"/>
      <c r="C135" s="13" t="s">
        <v>263</v>
      </c>
      <c r="D135" s="13">
        <v>107</v>
      </c>
      <c r="E135" s="13" t="s">
        <v>260</v>
      </c>
      <c r="F135" s="13" t="s">
        <v>261</v>
      </c>
      <c r="G135" s="442">
        <v>90</v>
      </c>
      <c r="H135" s="431">
        <v>10</v>
      </c>
      <c r="I135" s="28">
        <v>2</v>
      </c>
      <c r="J135" s="473">
        <f t="shared" si="32"/>
        <v>0.22222222222222221</v>
      </c>
      <c r="K135" s="442">
        <v>4</v>
      </c>
      <c r="L135" s="435">
        <f t="shared" si="33"/>
        <v>0.88888888888888884</v>
      </c>
      <c r="M135" s="266">
        <f t="shared" si="34"/>
        <v>177.77777777777777</v>
      </c>
      <c r="N135" s="433">
        <v>200</v>
      </c>
      <c r="O135" s="435">
        <f t="shared" si="35"/>
        <v>0.44444444444444442</v>
      </c>
    </row>
    <row r="136" spans="1:15" ht="15">
      <c r="A136" s="637" t="s">
        <v>265</v>
      </c>
      <c r="B136" s="638" t="s">
        <v>266</v>
      </c>
      <c r="C136" s="13" t="s">
        <v>76</v>
      </c>
      <c r="D136" s="13">
        <v>116</v>
      </c>
      <c r="E136" s="13"/>
      <c r="F136" s="13" t="s">
        <v>82</v>
      </c>
      <c r="G136" s="28">
        <v>6</v>
      </c>
      <c r="H136" s="440">
        <v>10</v>
      </c>
      <c r="I136" s="28">
        <v>2</v>
      </c>
      <c r="J136" s="441">
        <f t="shared" si="32"/>
        <v>3.3333333333333335</v>
      </c>
      <c r="K136" s="28">
        <v>1</v>
      </c>
      <c r="L136" s="267">
        <f t="shared" si="33"/>
        <v>3.3333333333333335</v>
      </c>
      <c r="M136" s="433">
        <f t="shared" si="34"/>
        <v>666.66666666666674</v>
      </c>
      <c r="N136" s="434">
        <v>200</v>
      </c>
      <c r="O136" s="435">
        <f t="shared" si="35"/>
        <v>1.6666666666666667</v>
      </c>
    </row>
    <row r="137" spans="1:15" ht="15">
      <c r="A137" s="637"/>
      <c r="B137" s="638"/>
      <c r="C137" s="13" t="s">
        <v>77</v>
      </c>
      <c r="D137" s="13">
        <v>116</v>
      </c>
      <c r="E137" s="13" t="s">
        <v>1279</v>
      </c>
      <c r="F137" s="13" t="s">
        <v>10</v>
      </c>
      <c r="G137" s="28">
        <v>40</v>
      </c>
      <c r="H137" s="440">
        <v>10</v>
      </c>
      <c r="I137" s="28">
        <v>1</v>
      </c>
      <c r="J137" s="441">
        <f t="shared" si="32"/>
        <v>0.25</v>
      </c>
      <c r="K137" s="442">
        <f>(133*3.1415*2+273*3.1415)*2/1000</f>
        <v>3.3865370000000001</v>
      </c>
      <c r="L137" s="267">
        <f t="shared" si="33"/>
        <v>0.84663425000000003</v>
      </c>
      <c r="M137" s="433">
        <f t="shared" si="34"/>
        <v>169.32685000000001</v>
      </c>
      <c r="N137" s="434">
        <v>200</v>
      </c>
      <c r="O137" s="435">
        <f t="shared" si="35"/>
        <v>0.84663425000000003</v>
      </c>
    </row>
    <row r="138" spans="1:15" ht="30">
      <c r="A138" s="13" t="s">
        <v>267</v>
      </c>
      <c r="B138" s="27" t="s">
        <v>519</v>
      </c>
      <c r="C138" s="13" t="s">
        <v>77</v>
      </c>
      <c r="D138" s="13">
        <v>116</v>
      </c>
      <c r="E138" s="13"/>
      <c r="F138" s="13" t="s">
        <v>67</v>
      </c>
      <c r="G138" s="28">
        <v>10</v>
      </c>
      <c r="H138" s="440">
        <v>10</v>
      </c>
      <c r="I138" s="28">
        <v>2</v>
      </c>
      <c r="J138" s="441">
        <f t="shared" si="32"/>
        <v>2</v>
      </c>
      <c r="K138" s="28">
        <v>1</v>
      </c>
      <c r="L138" s="267">
        <f t="shared" si="33"/>
        <v>2</v>
      </c>
      <c r="M138" s="433">
        <f t="shared" si="34"/>
        <v>400</v>
      </c>
      <c r="N138" s="434">
        <v>200</v>
      </c>
      <c r="O138" s="435">
        <f t="shared" si="35"/>
        <v>1</v>
      </c>
    </row>
    <row r="139" spans="1:15" ht="14.1" customHeight="1">
      <c r="A139" s="13" t="s">
        <v>268</v>
      </c>
      <c r="B139" s="27" t="s">
        <v>334</v>
      </c>
      <c r="C139" s="13" t="s">
        <v>83</v>
      </c>
      <c r="D139" s="13">
        <v>116</v>
      </c>
      <c r="E139" s="13"/>
      <c r="F139" s="4" t="s">
        <v>84</v>
      </c>
      <c r="G139" s="16">
        <v>10</v>
      </c>
      <c r="H139" s="440">
        <v>10</v>
      </c>
      <c r="I139" s="28">
        <v>2</v>
      </c>
      <c r="J139" s="441">
        <f t="shared" si="32"/>
        <v>2</v>
      </c>
      <c r="K139" s="28">
        <v>1</v>
      </c>
      <c r="L139" s="267">
        <f t="shared" si="33"/>
        <v>2</v>
      </c>
      <c r="M139" s="433">
        <f t="shared" si="34"/>
        <v>400</v>
      </c>
      <c r="N139" s="434">
        <v>200</v>
      </c>
      <c r="O139" s="435">
        <f t="shared" si="35"/>
        <v>1</v>
      </c>
    </row>
    <row r="140" spans="1:15" ht="14.1" customHeight="1">
      <c r="A140" s="13" t="s">
        <v>335</v>
      </c>
      <c r="B140" s="27" t="s">
        <v>336</v>
      </c>
      <c r="C140" s="13" t="s">
        <v>83</v>
      </c>
      <c r="D140" s="13">
        <v>116</v>
      </c>
      <c r="E140" s="13"/>
      <c r="F140" s="4" t="s">
        <v>84</v>
      </c>
      <c r="G140" s="16">
        <v>5</v>
      </c>
      <c r="H140" s="440">
        <v>10</v>
      </c>
      <c r="I140" s="28">
        <v>2</v>
      </c>
      <c r="J140" s="441">
        <f t="shared" si="32"/>
        <v>4</v>
      </c>
      <c r="K140" s="28">
        <v>1</v>
      </c>
      <c r="L140" s="267">
        <f t="shared" si="33"/>
        <v>4</v>
      </c>
      <c r="M140" s="433">
        <f t="shared" si="34"/>
        <v>800</v>
      </c>
      <c r="N140" s="434">
        <v>200</v>
      </c>
      <c r="O140" s="435">
        <f t="shared" si="35"/>
        <v>2</v>
      </c>
    </row>
    <row r="141" spans="1:15" ht="14.1" customHeight="1">
      <c r="A141" s="13" t="s">
        <v>526</v>
      </c>
      <c r="B141" s="56" t="s">
        <v>524</v>
      </c>
      <c r="C141" s="13" t="s">
        <v>523</v>
      </c>
      <c r="D141" s="13">
        <v>224</v>
      </c>
      <c r="E141" s="13"/>
      <c r="F141" s="4" t="s">
        <v>525</v>
      </c>
      <c r="G141" s="28">
        <v>600</v>
      </c>
      <c r="H141" s="431">
        <v>10</v>
      </c>
      <c r="I141" s="28">
        <v>1</v>
      </c>
      <c r="J141" s="441">
        <f t="shared" si="32"/>
        <v>0.016666666666666666</v>
      </c>
      <c r="K141" s="28">
        <v>4</v>
      </c>
      <c r="L141" s="267">
        <f t="shared" si="33"/>
        <v>0.066666666666666666</v>
      </c>
      <c r="M141" s="433">
        <f t="shared" si="34"/>
        <v>11.733333333333333</v>
      </c>
      <c r="N141" s="434">
        <v>176</v>
      </c>
      <c r="O141" s="435">
        <f t="shared" si="35"/>
        <v>0.066666666666666666</v>
      </c>
    </row>
    <row r="142" spans="1:15" ht="14.1" customHeight="1">
      <c r="A142" s="13" t="s">
        <v>269</v>
      </c>
      <c r="B142" s="56" t="s">
        <v>270</v>
      </c>
      <c r="C142" s="13" t="s">
        <v>523</v>
      </c>
      <c r="D142" s="13">
        <v>224</v>
      </c>
      <c r="E142" s="13"/>
      <c r="F142" s="4" t="s">
        <v>88</v>
      </c>
      <c r="G142" s="28">
        <v>300</v>
      </c>
      <c r="H142" s="431">
        <v>10</v>
      </c>
      <c r="I142" s="28">
        <v>1</v>
      </c>
      <c r="J142" s="441">
        <f t="shared" si="32"/>
        <v>0.033333333333333333</v>
      </c>
      <c r="K142" s="28">
        <v>2</v>
      </c>
      <c r="L142" s="267">
        <f t="shared" si="33"/>
        <v>0.066666666666666666</v>
      </c>
      <c r="M142" s="433">
        <f t="shared" si="34"/>
        <v>11.733333333333333</v>
      </c>
      <c r="N142" s="434">
        <v>176</v>
      </c>
      <c r="O142" s="435">
        <f t="shared" si="35"/>
        <v>0.066666666666666666</v>
      </c>
    </row>
    <row r="143" spans="1:15" ht="14.1" customHeight="1">
      <c r="A143" s="13" t="s">
        <v>918</v>
      </c>
      <c r="B143" s="56" t="s">
        <v>898</v>
      </c>
      <c r="C143" s="13" t="s">
        <v>523</v>
      </c>
      <c r="D143" s="13">
        <v>224</v>
      </c>
      <c r="E143" s="13"/>
      <c r="F143" s="4" t="s">
        <v>88</v>
      </c>
      <c r="G143" s="28">
        <v>600</v>
      </c>
      <c r="H143" s="431">
        <v>10</v>
      </c>
      <c r="I143" s="28">
        <v>1</v>
      </c>
      <c r="J143" s="441">
        <f t="shared" si="32"/>
        <v>0.016666666666666666</v>
      </c>
      <c r="K143" s="28">
        <v>1</v>
      </c>
      <c r="L143" s="267">
        <f t="shared" si="33"/>
        <v>0.016666666666666666</v>
      </c>
      <c r="M143" s="433">
        <f t="shared" si="34"/>
        <v>2.9333333333333331</v>
      </c>
      <c r="N143" s="434">
        <v>176</v>
      </c>
      <c r="O143" s="435">
        <f t="shared" si="35"/>
        <v>0.016666666666666666</v>
      </c>
    </row>
    <row r="144" spans="1:15" ht="30" customHeight="1">
      <c r="A144" s="13" t="s">
        <v>271</v>
      </c>
      <c r="B144" s="56" t="s">
        <v>85</v>
      </c>
      <c r="C144" s="13" t="s">
        <v>83</v>
      </c>
      <c r="D144" s="13">
        <v>116</v>
      </c>
      <c r="E144" s="13"/>
      <c r="F144" s="13" t="s">
        <v>12</v>
      </c>
      <c r="G144" s="28">
        <v>2</v>
      </c>
      <c r="H144" s="440">
        <v>10</v>
      </c>
      <c r="I144" s="28">
        <v>2</v>
      </c>
      <c r="J144" s="441">
        <f t="shared" si="32"/>
        <v>10</v>
      </c>
      <c r="K144" s="28">
        <v>1</v>
      </c>
      <c r="L144" s="267">
        <f t="shared" si="33"/>
        <v>10</v>
      </c>
      <c r="M144" s="433">
        <f t="shared" si="34"/>
        <v>2000</v>
      </c>
      <c r="N144" s="434">
        <v>200</v>
      </c>
      <c r="O144" s="435">
        <f t="shared" si="35"/>
        <v>5</v>
      </c>
    </row>
    <row r="145" spans="1:15" ht="14.1" customHeight="1">
      <c r="A145" s="13" t="s">
        <v>272</v>
      </c>
      <c r="B145" s="27" t="s">
        <v>337</v>
      </c>
      <c r="C145" s="13" t="s">
        <v>83</v>
      </c>
      <c r="D145" s="13">
        <v>116</v>
      </c>
      <c r="E145" s="13"/>
      <c r="F145" s="4" t="s">
        <v>89</v>
      </c>
      <c r="G145" s="28">
        <v>10</v>
      </c>
      <c r="H145" s="440">
        <v>10</v>
      </c>
      <c r="I145" s="28">
        <v>2</v>
      </c>
      <c r="J145" s="441">
        <f t="shared" si="32"/>
        <v>2</v>
      </c>
      <c r="K145" s="28">
        <v>1</v>
      </c>
      <c r="L145" s="267">
        <f t="shared" si="33"/>
        <v>2</v>
      </c>
      <c r="M145" s="433">
        <f t="shared" si="34"/>
        <v>400</v>
      </c>
      <c r="N145" s="434">
        <v>200</v>
      </c>
      <c r="O145" s="435">
        <f t="shared" si="35"/>
        <v>1</v>
      </c>
    </row>
    <row r="146" spans="1:15" ht="30">
      <c r="A146" s="13" t="s">
        <v>339</v>
      </c>
      <c r="B146" s="27" t="s">
        <v>338</v>
      </c>
      <c r="C146" s="13" t="s">
        <v>83</v>
      </c>
      <c r="D146" s="13">
        <v>116</v>
      </c>
      <c r="E146" s="13"/>
      <c r="F146" s="4" t="s">
        <v>89</v>
      </c>
      <c r="G146" s="28">
        <v>5.30</v>
      </c>
      <c r="H146" s="440">
        <v>10</v>
      </c>
      <c r="I146" s="28">
        <v>2</v>
      </c>
      <c r="J146" s="441">
        <f t="shared" si="32"/>
        <v>3.7735849056603774</v>
      </c>
      <c r="K146" s="28">
        <v>1</v>
      </c>
      <c r="L146" s="267">
        <f t="shared" si="33"/>
        <v>3.7735849056603774</v>
      </c>
      <c r="M146" s="433">
        <f t="shared" si="34"/>
        <v>754.71698113207549</v>
      </c>
      <c r="N146" s="434">
        <v>200</v>
      </c>
      <c r="O146" s="435">
        <f t="shared" si="35"/>
        <v>1.8867924528301887</v>
      </c>
    </row>
    <row r="147" spans="1:15" ht="30" customHeight="1">
      <c r="A147" s="13" t="s">
        <v>273</v>
      </c>
      <c r="B147" s="27" t="s">
        <v>125</v>
      </c>
      <c r="C147" s="13" t="s">
        <v>54</v>
      </c>
      <c r="D147" s="13">
        <v>116</v>
      </c>
      <c r="E147" s="13"/>
      <c r="F147" s="4" t="s">
        <v>88</v>
      </c>
      <c r="G147" s="28">
        <v>14</v>
      </c>
      <c r="H147" s="440">
        <v>10</v>
      </c>
      <c r="I147" s="28">
        <v>2</v>
      </c>
      <c r="J147" s="441">
        <f t="shared" si="32"/>
        <v>1.4285714285714286</v>
      </c>
      <c r="K147" s="28">
        <v>2</v>
      </c>
      <c r="L147" s="267">
        <f t="shared" si="33"/>
        <v>2.8571428571428572</v>
      </c>
      <c r="M147" s="433">
        <f t="shared" si="34"/>
        <v>571.42857142857144</v>
      </c>
      <c r="N147" s="434">
        <v>200</v>
      </c>
      <c r="O147" s="435">
        <f t="shared" si="35"/>
        <v>1.4285714285714286</v>
      </c>
    </row>
    <row r="148" spans="1:15" ht="30" customHeight="1">
      <c r="A148" s="523" t="s">
        <v>1668</v>
      </c>
      <c r="B148" s="522" t="s">
        <v>1670</v>
      </c>
      <c r="C148" s="523" t="s">
        <v>33</v>
      </c>
      <c r="D148" s="523">
        <v>116</v>
      </c>
      <c r="E148" s="523"/>
      <c r="F148" s="523" t="s">
        <v>1666</v>
      </c>
      <c r="G148" s="527">
        <v>11.36</v>
      </c>
      <c r="H148" s="530">
        <v>10</v>
      </c>
      <c r="I148" s="527">
        <v>2</v>
      </c>
      <c r="J148" s="531">
        <f t="shared" si="32"/>
        <v>1.7605633802816902</v>
      </c>
      <c r="K148" s="527">
        <v>1</v>
      </c>
      <c r="L148" s="267">
        <f t="shared" si="33"/>
        <v>1.7605633802816902</v>
      </c>
      <c r="M148" s="433">
        <f t="shared" si="34"/>
        <v>352.11267605633805</v>
      </c>
      <c r="N148" s="434">
        <v>200</v>
      </c>
      <c r="O148" s="435">
        <f t="shared" si="35"/>
        <v>0.88028169014084512</v>
      </c>
    </row>
    <row r="149" spans="1:15" ht="30" customHeight="1">
      <c r="A149" s="523" t="s">
        <v>1669</v>
      </c>
      <c r="B149" s="522" t="s">
        <v>1671</v>
      </c>
      <c r="C149" s="523" t="s">
        <v>33</v>
      </c>
      <c r="D149" s="523">
        <v>116</v>
      </c>
      <c r="E149" s="523"/>
      <c r="F149" s="523" t="s">
        <v>10</v>
      </c>
      <c r="G149" s="527">
        <v>40</v>
      </c>
      <c r="H149" s="530">
        <v>10</v>
      </c>
      <c r="I149" s="527">
        <v>1</v>
      </c>
      <c r="J149" s="531">
        <f t="shared" si="32"/>
        <v>0.25</v>
      </c>
      <c r="K149" s="525">
        <f>3911/1000</f>
        <v>3.911</v>
      </c>
      <c r="L149" s="267">
        <f t="shared" si="33"/>
        <v>0.97775000000000001</v>
      </c>
      <c r="M149" s="433">
        <f t="shared" si="34"/>
        <v>195.55</v>
      </c>
      <c r="N149" s="434">
        <v>200</v>
      </c>
      <c r="O149" s="435">
        <f t="shared" si="35"/>
        <v>0.97775000000000001</v>
      </c>
    </row>
    <row r="150" spans="1:15" ht="14.1" customHeight="1">
      <c r="A150" s="13" t="s">
        <v>274</v>
      </c>
      <c r="B150" s="27" t="s">
        <v>275</v>
      </c>
      <c r="C150" s="13" t="s">
        <v>83</v>
      </c>
      <c r="D150" s="13">
        <v>116</v>
      </c>
      <c r="E150" s="13"/>
      <c r="F150" s="4" t="s">
        <v>276</v>
      </c>
      <c r="G150" s="28">
        <v>20</v>
      </c>
      <c r="H150" s="440">
        <v>10</v>
      </c>
      <c r="I150" s="28">
        <v>2</v>
      </c>
      <c r="J150" s="441">
        <f t="shared" si="32"/>
        <v>1</v>
      </c>
      <c r="K150" s="28">
        <v>1</v>
      </c>
      <c r="L150" s="267">
        <f t="shared" si="33"/>
        <v>1</v>
      </c>
      <c r="M150" s="433">
        <f t="shared" si="34"/>
        <v>200</v>
      </c>
      <c r="N150" s="434">
        <v>200</v>
      </c>
      <c r="O150" s="435">
        <f t="shared" si="35"/>
        <v>0.50</v>
      </c>
    </row>
    <row r="151" spans="1:15" ht="14.1" customHeight="1">
      <c r="A151" s="13" t="s">
        <v>277</v>
      </c>
      <c r="B151" s="27" t="s">
        <v>278</v>
      </c>
      <c r="C151" s="13" t="s">
        <v>83</v>
      </c>
      <c r="D151" s="13">
        <v>116</v>
      </c>
      <c r="E151" s="13"/>
      <c r="F151" s="4" t="s">
        <v>90</v>
      </c>
      <c r="G151" s="28">
        <v>15</v>
      </c>
      <c r="H151" s="440">
        <v>10</v>
      </c>
      <c r="I151" s="28">
        <v>2</v>
      </c>
      <c r="J151" s="441">
        <f t="shared" si="32"/>
        <v>1.3333333333333333</v>
      </c>
      <c r="K151" s="28">
        <v>1</v>
      </c>
      <c r="L151" s="267">
        <f t="shared" si="33"/>
        <v>1.3333333333333333</v>
      </c>
      <c r="M151" s="433">
        <f t="shared" si="34"/>
        <v>266.66666666666663</v>
      </c>
      <c r="N151" s="434">
        <v>200</v>
      </c>
      <c r="O151" s="435">
        <f t="shared" si="35"/>
        <v>0.66666666666666663</v>
      </c>
    </row>
    <row r="152" spans="1:15" ht="14.1" customHeight="1">
      <c r="A152" s="13" t="s">
        <v>279</v>
      </c>
      <c r="B152" s="27" t="s">
        <v>280</v>
      </c>
      <c r="C152" s="13" t="s">
        <v>29</v>
      </c>
      <c r="D152" s="13">
        <v>120</v>
      </c>
      <c r="E152" s="13"/>
      <c r="F152" s="13" t="s">
        <v>12</v>
      </c>
      <c r="G152" s="28">
        <v>10</v>
      </c>
      <c r="H152" s="440">
        <v>10</v>
      </c>
      <c r="I152" s="28">
        <v>1</v>
      </c>
      <c r="J152" s="441">
        <f t="shared" si="32"/>
        <v>1</v>
      </c>
      <c r="K152" s="28">
        <v>1</v>
      </c>
      <c r="L152" s="435">
        <f t="shared" si="33"/>
        <v>1</v>
      </c>
      <c r="M152" s="266">
        <f t="shared" si="34"/>
        <v>176</v>
      </c>
      <c r="N152" s="433">
        <v>176</v>
      </c>
      <c r="O152" s="435">
        <f t="shared" si="35"/>
        <v>1</v>
      </c>
    </row>
    <row r="153" spans="1:15" ht="14.1" customHeight="1">
      <c r="A153" s="13" t="s">
        <v>281</v>
      </c>
      <c r="B153" s="56" t="s">
        <v>30</v>
      </c>
      <c r="C153" s="13" t="s">
        <v>29</v>
      </c>
      <c r="D153" s="13">
        <v>120</v>
      </c>
      <c r="E153" s="13"/>
      <c r="F153" s="13" t="s">
        <v>12</v>
      </c>
      <c r="G153" s="436">
        <v>4.38</v>
      </c>
      <c r="H153" s="440">
        <v>10</v>
      </c>
      <c r="I153" s="28">
        <v>1</v>
      </c>
      <c r="J153" s="441">
        <f t="shared" si="32"/>
        <v>2.2831050228310503</v>
      </c>
      <c r="K153" s="28">
        <v>1</v>
      </c>
      <c r="L153" s="267">
        <f t="shared" si="33"/>
        <v>2.2831050228310503</v>
      </c>
      <c r="M153" s="433">
        <f t="shared" si="34"/>
        <v>401.82648401826486</v>
      </c>
      <c r="N153" s="434">
        <v>176</v>
      </c>
      <c r="O153" s="435">
        <f t="shared" si="35"/>
        <v>2.2831050228310503</v>
      </c>
    </row>
    <row r="154" spans="1:15" ht="30">
      <c r="A154" s="13" t="s">
        <v>282</v>
      </c>
      <c r="B154" s="56" t="s">
        <v>283</v>
      </c>
      <c r="C154" s="13" t="s">
        <v>29</v>
      </c>
      <c r="D154" s="13">
        <v>120</v>
      </c>
      <c r="E154" s="13"/>
      <c r="F154" s="13" t="s">
        <v>12</v>
      </c>
      <c r="G154" s="436">
        <v>5.31</v>
      </c>
      <c r="H154" s="440">
        <v>10</v>
      </c>
      <c r="I154" s="28">
        <v>1</v>
      </c>
      <c r="J154" s="441">
        <f t="shared" si="32"/>
        <v>1.8832391713747647</v>
      </c>
      <c r="K154" s="28">
        <v>1</v>
      </c>
      <c r="L154" s="267">
        <f t="shared" si="33"/>
        <v>1.8832391713747647</v>
      </c>
      <c r="M154" s="433">
        <f t="shared" si="34"/>
        <v>331.45009416195859</v>
      </c>
      <c r="N154" s="434">
        <v>176</v>
      </c>
      <c r="O154" s="435">
        <f t="shared" si="35"/>
        <v>1.8832391713747647</v>
      </c>
    </row>
    <row r="155" spans="1:15" ht="15">
      <c r="A155" s="13" t="s">
        <v>902</v>
      </c>
      <c r="B155" s="56" t="s">
        <v>1280</v>
      </c>
      <c r="C155" s="13" t="s">
        <v>523</v>
      </c>
      <c r="D155" s="13">
        <v>224</v>
      </c>
      <c r="E155" s="13"/>
      <c r="F155" s="4" t="s">
        <v>900</v>
      </c>
      <c r="G155" s="28">
        <v>600</v>
      </c>
      <c r="H155" s="431">
        <v>10</v>
      </c>
      <c r="I155" s="28">
        <v>1</v>
      </c>
      <c r="J155" s="441">
        <f t="shared" si="32"/>
        <v>0.016666666666666666</v>
      </c>
      <c r="K155" s="28">
        <v>1</v>
      </c>
      <c r="L155" s="267">
        <f t="shared" si="33"/>
        <v>0.016666666666666666</v>
      </c>
      <c r="M155" s="433">
        <f t="shared" si="34"/>
        <v>2.9333333333333331</v>
      </c>
      <c r="N155" s="434">
        <v>176</v>
      </c>
      <c r="O155" s="435">
        <f t="shared" si="35"/>
        <v>0.016666666666666666</v>
      </c>
    </row>
    <row r="156" spans="1:15" ht="14.1" customHeight="1">
      <c r="A156" s="13" t="s">
        <v>285</v>
      </c>
      <c r="B156" s="56" t="s">
        <v>901</v>
      </c>
      <c r="C156" s="13" t="s">
        <v>83</v>
      </c>
      <c r="D156" s="13">
        <v>116</v>
      </c>
      <c r="E156" s="13"/>
      <c r="F156" s="13" t="s">
        <v>12</v>
      </c>
      <c r="G156" s="28">
        <v>8</v>
      </c>
      <c r="H156" s="440">
        <v>10</v>
      </c>
      <c r="I156" s="28">
        <v>2</v>
      </c>
      <c r="J156" s="441">
        <f t="shared" si="32"/>
        <v>2.50</v>
      </c>
      <c r="K156" s="28">
        <v>1</v>
      </c>
      <c r="L156" s="267">
        <f t="shared" si="33"/>
        <v>2.50</v>
      </c>
      <c r="M156" s="433">
        <f t="shared" si="34"/>
        <v>500</v>
      </c>
      <c r="N156" s="434">
        <v>200</v>
      </c>
      <c r="O156" s="435">
        <f t="shared" si="35"/>
        <v>1.25</v>
      </c>
    </row>
    <row r="157" spans="1:15" ht="14.1" customHeight="1">
      <c r="A157" s="645" t="s">
        <v>997</v>
      </c>
      <c r="B157" s="639" t="s">
        <v>998</v>
      </c>
      <c r="C157" s="13" t="s">
        <v>76</v>
      </c>
      <c r="D157" s="13">
        <v>116</v>
      </c>
      <c r="E157" s="13"/>
      <c r="F157" s="13" t="s">
        <v>78</v>
      </c>
      <c r="G157" s="28">
        <v>40</v>
      </c>
      <c r="H157" s="440">
        <v>10</v>
      </c>
      <c r="I157" s="28">
        <v>2</v>
      </c>
      <c r="J157" s="441">
        <f t="shared" si="32"/>
        <v>0.50</v>
      </c>
      <c r="K157" s="28">
        <v>4</v>
      </c>
      <c r="L157" s="267">
        <f t="shared" si="33"/>
        <v>2</v>
      </c>
      <c r="M157" s="433">
        <f t="shared" si="34"/>
        <v>400</v>
      </c>
      <c r="N157" s="434">
        <v>200</v>
      </c>
      <c r="O157" s="435">
        <f t="shared" si="35"/>
        <v>1</v>
      </c>
    </row>
    <row r="158" spans="1:15" ht="14.1" customHeight="1">
      <c r="A158" s="647"/>
      <c r="B158" s="641"/>
      <c r="C158" s="13" t="s">
        <v>77</v>
      </c>
      <c r="D158" s="13">
        <v>116</v>
      </c>
      <c r="E158" s="13" t="s">
        <v>999</v>
      </c>
      <c r="F158" s="13" t="s">
        <v>10</v>
      </c>
      <c r="G158" s="28">
        <v>40</v>
      </c>
      <c r="H158" s="440">
        <v>10</v>
      </c>
      <c r="I158" s="28">
        <v>1</v>
      </c>
      <c r="J158" s="441">
        <f t="shared" si="32"/>
        <v>0.25</v>
      </c>
      <c r="K158" s="442">
        <f>(1100*2*2)/1000</f>
        <v>4.4000000000000004</v>
      </c>
      <c r="L158" s="267">
        <f t="shared" si="33"/>
        <v>1.1000000000000001</v>
      </c>
      <c r="M158" s="433">
        <f t="shared" si="34"/>
        <v>220.00000000000003</v>
      </c>
      <c r="N158" s="434">
        <v>200</v>
      </c>
      <c r="O158" s="435">
        <f t="shared" si="35"/>
        <v>1.1000000000000001</v>
      </c>
    </row>
    <row r="159" spans="1:15" ht="14.1" customHeight="1">
      <c r="A159" s="13" t="s">
        <v>286</v>
      </c>
      <c r="B159" s="27" t="s">
        <v>288</v>
      </c>
      <c r="C159" s="13" t="s">
        <v>287</v>
      </c>
      <c r="D159" s="13">
        <v>116</v>
      </c>
      <c r="E159" s="13"/>
      <c r="F159" s="13" t="s">
        <v>67</v>
      </c>
      <c r="G159" s="28">
        <v>40</v>
      </c>
      <c r="H159" s="440">
        <v>10</v>
      </c>
      <c r="I159" s="28">
        <v>1</v>
      </c>
      <c r="J159" s="441">
        <f t="shared" si="32"/>
        <v>0.25</v>
      </c>
      <c r="K159" s="28">
        <v>4</v>
      </c>
      <c r="L159" s="267">
        <f t="shared" si="33"/>
        <v>1</v>
      </c>
      <c r="M159" s="433">
        <f t="shared" si="34"/>
        <v>152</v>
      </c>
      <c r="N159" s="434">
        <v>152</v>
      </c>
      <c r="O159" s="435">
        <f t="shared" si="35"/>
        <v>1</v>
      </c>
    </row>
    <row r="160" spans="1:15" ht="15" customHeight="1">
      <c r="A160" s="39"/>
      <c r="B160" s="649" t="s">
        <v>134</v>
      </c>
      <c r="C160" s="649"/>
      <c r="D160" s="649"/>
      <c r="E160" s="649"/>
      <c r="F160" s="649"/>
      <c r="G160" s="649"/>
      <c r="H160" s="649"/>
      <c r="I160" s="649"/>
      <c r="J160" s="649"/>
      <c r="K160" s="649"/>
      <c r="L160" s="267"/>
      <c r="M160" s="262">
        <f>SUM(M161:M181)</f>
        <v>9116.7364830581573</v>
      </c>
      <c r="N160" s="263"/>
      <c r="O160" s="264">
        <f>SUM(O161:O181)</f>
        <v>35.044717764554257</v>
      </c>
    </row>
    <row r="161" spans="1:16" ht="30">
      <c r="A161" s="13" t="s">
        <v>297</v>
      </c>
      <c r="B161" s="56" t="s">
        <v>298</v>
      </c>
      <c r="C161" s="13" t="s">
        <v>33</v>
      </c>
      <c r="D161" s="13">
        <v>116</v>
      </c>
      <c r="E161" s="13"/>
      <c r="F161" s="13" t="s">
        <v>96</v>
      </c>
      <c r="G161" s="432">
        <v>10</v>
      </c>
      <c r="H161" s="440">
        <v>10</v>
      </c>
      <c r="I161" s="28">
        <v>2</v>
      </c>
      <c r="J161" s="441">
        <f t="shared" si="36" ref="J161:J181">H161/G161*I161</f>
        <v>2</v>
      </c>
      <c r="K161" s="28">
        <v>1</v>
      </c>
      <c r="L161" s="267">
        <f t="shared" si="37" ref="L161:L181">J161*K161</f>
        <v>2</v>
      </c>
      <c r="M161" s="433">
        <f t="shared" si="38" ref="M161:M181">L161*N161</f>
        <v>400</v>
      </c>
      <c r="N161" s="434">
        <v>200</v>
      </c>
      <c r="O161" s="435">
        <f t="shared" si="39" ref="O161:O181">J161/I161*K161</f>
        <v>1</v>
      </c>
      <c r="P161" s="22"/>
    </row>
    <row r="162" spans="1:16" ht="30">
      <c r="A162" s="523" t="s">
        <v>1663</v>
      </c>
      <c r="B162" s="522" t="s">
        <v>1665</v>
      </c>
      <c r="C162" s="523" t="s">
        <v>33</v>
      </c>
      <c r="D162" s="523">
        <v>116</v>
      </c>
      <c r="E162" s="523"/>
      <c r="F162" s="523" t="s">
        <v>1666</v>
      </c>
      <c r="G162" s="527">
        <v>11.11</v>
      </c>
      <c r="H162" s="530">
        <v>10</v>
      </c>
      <c r="I162" s="527">
        <v>2</v>
      </c>
      <c r="J162" s="531">
        <f t="shared" si="36"/>
        <v>1.8001800180018002</v>
      </c>
      <c r="K162" s="527">
        <v>1</v>
      </c>
      <c r="L162" s="267">
        <f t="shared" si="37"/>
        <v>1.8001800180018002</v>
      </c>
      <c r="M162" s="433">
        <f t="shared" si="38"/>
        <v>360.03600360036</v>
      </c>
      <c r="N162" s="434">
        <v>200</v>
      </c>
      <c r="O162" s="435">
        <f t="shared" si="39"/>
        <v>0.90009000900090008</v>
      </c>
      <c r="P162" s="22"/>
    </row>
    <row r="163" spans="1:16" ht="30">
      <c r="A163" s="523" t="s">
        <v>1664</v>
      </c>
      <c r="B163" s="522" t="s">
        <v>1667</v>
      </c>
      <c r="C163" s="523" t="s">
        <v>33</v>
      </c>
      <c r="D163" s="523">
        <v>116</v>
      </c>
      <c r="E163" s="523"/>
      <c r="F163" s="523" t="s">
        <v>10</v>
      </c>
      <c r="G163" s="527">
        <v>40</v>
      </c>
      <c r="H163" s="530">
        <v>10</v>
      </c>
      <c r="I163" s="527">
        <v>1</v>
      </c>
      <c r="J163" s="531">
        <f t="shared" si="36"/>
        <v>0.25</v>
      </c>
      <c r="K163" s="525">
        <f>3867/1000</f>
        <v>3.867</v>
      </c>
      <c r="L163" s="267">
        <f t="shared" si="37"/>
        <v>0.96675</v>
      </c>
      <c r="M163" s="433">
        <f t="shared" si="38"/>
        <v>193.35</v>
      </c>
      <c r="N163" s="434">
        <v>200</v>
      </c>
      <c r="O163" s="435">
        <f t="shared" si="39"/>
        <v>0.96675</v>
      </c>
      <c r="P163" s="22"/>
    </row>
    <row r="164" spans="1:16" ht="30">
      <c r="A164" s="13" t="s">
        <v>299</v>
      </c>
      <c r="B164" s="56" t="s">
        <v>300</v>
      </c>
      <c r="C164" s="13" t="s">
        <v>33</v>
      </c>
      <c r="D164" s="13">
        <v>116</v>
      </c>
      <c r="E164" s="13"/>
      <c r="F164" s="13" t="s">
        <v>96</v>
      </c>
      <c r="G164" s="442">
        <v>17.77</v>
      </c>
      <c r="H164" s="440">
        <v>10</v>
      </c>
      <c r="I164" s="28">
        <v>2</v>
      </c>
      <c r="J164" s="441">
        <f t="shared" si="36"/>
        <v>1.1254924029262803</v>
      </c>
      <c r="K164" s="28">
        <v>1</v>
      </c>
      <c r="L164" s="267">
        <f t="shared" si="37"/>
        <v>1.1254924029262803</v>
      </c>
      <c r="M164" s="433">
        <f t="shared" si="38"/>
        <v>225.09848058525606</v>
      </c>
      <c r="N164" s="434">
        <v>200</v>
      </c>
      <c r="O164" s="435">
        <f t="shared" si="39"/>
        <v>0.56274620146314014</v>
      </c>
      <c r="P164" s="22"/>
    </row>
    <row r="165" spans="1:16" ht="30">
      <c r="A165" s="13" t="s">
        <v>301</v>
      </c>
      <c r="B165" s="27" t="s">
        <v>97</v>
      </c>
      <c r="C165" s="13" t="s">
        <v>83</v>
      </c>
      <c r="D165" s="13">
        <v>116</v>
      </c>
      <c r="E165" s="13"/>
      <c r="F165" s="13" t="s">
        <v>12</v>
      </c>
      <c r="G165" s="442">
        <v>3.34</v>
      </c>
      <c r="H165" s="440">
        <v>10</v>
      </c>
      <c r="I165" s="28">
        <v>2</v>
      </c>
      <c r="J165" s="441">
        <f t="shared" si="36"/>
        <v>5.9880239520958085</v>
      </c>
      <c r="K165" s="28">
        <v>1</v>
      </c>
      <c r="L165" s="267">
        <f t="shared" si="37"/>
        <v>5.9880239520958085</v>
      </c>
      <c r="M165" s="433">
        <f t="shared" si="38"/>
        <v>1197.6047904191616</v>
      </c>
      <c r="N165" s="434">
        <v>200</v>
      </c>
      <c r="O165" s="435">
        <f t="shared" si="39"/>
        <v>2.9940119760479043</v>
      </c>
      <c r="P165" s="22"/>
    </row>
    <row r="166" spans="1:15" ht="15">
      <c r="A166" s="57" t="s">
        <v>530</v>
      </c>
      <c r="B166" s="269" t="s">
        <v>531</v>
      </c>
      <c r="C166" s="13" t="s">
        <v>33</v>
      </c>
      <c r="D166" s="13">
        <v>226</v>
      </c>
      <c r="E166" s="13"/>
      <c r="F166" s="13" t="s">
        <v>12</v>
      </c>
      <c r="G166" s="28">
        <v>10</v>
      </c>
      <c r="H166" s="440">
        <v>10</v>
      </c>
      <c r="I166" s="28">
        <v>1</v>
      </c>
      <c r="J166" s="441">
        <f t="shared" si="36"/>
        <v>1</v>
      </c>
      <c r="K166" s="442">
        <v>1</v>
      </c>
      <c r="L166" s="267">
        <f t="shared" si="37"/>
        <v>1</v>
      </c>
      <c r="M166" s="266">
        <f t="shared" si="38"/>
        <v>200</v>
      </c>
      <c r="N166" s="433">
        <v>200</v>
      </c>
      <c r="O166" s="435">
        <f t="shared" si="39"/>
        <v>1</v>
      </c>
    </row>
    <row r="167" spans="1:16" ht="15">
      <c r="A167" s="13" t="s">
        <v>290</v>
      </c>
      <c r="B167" s="27" t="s">
        <v>31</v>
      </c>
      <c r="C167" s="13" t="s">
        <v>14</v>
      </c>
      <c r="D167" s="13">
        <v>226</v>
      </c>
      <c r="E167" s="13"/>
      <c r="F167" s="13" t="s">
        <v>58</v>
      </c>
      <c r="G167" s="28">
        <v>61</v>
      </c>
      <c r="H167" s="440">
        <v>10</v>
      </c>
      <c r="I167" s="28">
        <v>1</v>
      </c>
      <c r="J167" s="441">
        <f t="shared" si="36"/>
        <v>0.16393442622950818</v>
      </c>
      <c r="K167" s="28">
        <v>10.66</v>
      </c>
      <c r="L167" s="267">
        <f t="shared" si="37"/>
        <v>1.7475409836065572</v>
      </c>
      <c r="M167" s="433">
        <f t="shared" si="38"/>
        <v>349.50819672131144</v>
      </c>
      <c r="N167" s="434">
        <v>200</v>
      </c>
      <c r="O167" s="435">
        <f t="shared" si="39"/>
        <v>1.7475409836065572</v>
      </c>
      <c r="P167" s="22"/>
    </row>
    <row r="168" spans="1:16" ht="15">
      <c r="A168" s="13" t="s">
        <v>302</v>
      </c>
      <c r="B168" s="27" t="s">
        <v>903</v>
      </c>
      <c r="C168" s="13" t="s">
        <v>523</v>
      </c>
      <c r="D168" s="13">
        <v>224</v>
      </c>
      <c r="E168" s="13"/>
      <c r="F168" s="13" t="s">
        <v>400</v>
      </c>
      <c r="G168" s="442">
        <v>10.62</v>
      </c>
      <c r="H168" s="440">
        <v>10</v>
      </c>
      <c r="I168" s="28">
        <v>2</v>
      </c>
      <c r="J168" s="441">
        <f t="shared" si="36"/>
        <v>1.8832391713747647</v>
      </c>
      <c r="K168" s="28">
        <v>1</v>
      </c>
      <c r="L168" s="267">
        <f t="shared" si="37"/>
        <v>1.8832391713747647</v>
      </c>
      <c r="M168" s="433">
        <f t="shared" si="38"/>
        <v>331.45009416195859</v>
      </c>
      <c r="N168" s="434">
        <v>176</v>
      </c>
      <c r="O168" s="435">
        <f t="shared" si="39"/>
        <v>0.94161958568738235</v>
      </c>
      <c r="P168" s="22"/>
    </row>
    <row r="169" spans="1:16" ht="15">
      <c r="A169" s="13" t="s">
        <v>292</v>
      </c>
      <c r="B169" s="27" t="s">
        <v>21</v>
      </c>
      <c r="C169" s="13" t="s">
        <v>33</v>
      </c>
      <c r="D169" s="13">
        <v>219</v>
      </c>
      <c r="E169" s="13"/>
      <c r="F169" s="13" t="s">
        <v>12</v>
      </c>
      <c r="G169" s="569">
        <f>2.2*2</f>
        <v>4.4000000000000004</v>
      </c>
      <c r="H169" s="440">
        <v>10</v>
      </c>
      <c r="I169" s="28">
        <v>2</v>
      </c>
      <c r="J169" s="441">
        <f t="shared" si="36"/>
        <v>4.545454545454545</v>
      </c>
      <c r="K169" s="28">
        <v>1</v>
      </c>
      <c r="L169" s="267">
        <f t="shared" si="37"/>
        <v>4.545454545454545</v>
      </c>
      <c r="M169" s="433">
        <f t="shared" si="38"/>
        <v>754.5454545454545</v>
      </c>
      <c r="N169" s="434">
        <v>166</v>
      </c>
      <c r="O169" s="435">
        <f t="shared" si="39"/>
        <v>2.2727272727272725</v>
      </c>
      <c r="P169" s="22"/>
    </row>
    <row r="170" spans="1:16" ht="30">
      <c r="A170" s="13" t="s">
        <v>406</v>
      </c>
      <c r="B170" s="27" t="s">
        <v>407</v>
      </c>
      <c r="C170" s="13" t="s">
        <v>14</v>
      </c>
      <c r="D170" s="13">
        <v>226</v>
      </c>
      <c r="E170" s="13"/>
      <c r="F170" s="13" t="s">
        <v>12</v>
      </c>
      <c r="G170" s="442">
        <v>61</v>
      </c>
      <c r="H170" s="440">
        <v>10</v>
      </c>
      <c r="I170" s="28">
        <v>1</v>
      </c>
      <c r="J170" s="441">
        <f t="shared" si="36"/>
        <v>0.16393442622950818</v>
      </c>
      <c r="K170" s="28">
        <v>1.90</v>
      </c>
      <c r="L170" s="435">
        <f t="shared" si="37"/>
        <v>0.31147540983606553</v>
      </c>
      <c r="M170" s="266">
        <f t="shared" si="38"/>
        <v>62.295081967213108</v>
      </c>
      <c r="N170" s="433">
        <v>200</v>
      </c>
      <c r="O170" s="435">
        <f t="shared" si="39"/>
        <v>0.31147540983606553</v>
      </c>
      <c r="P170" s="22"/>
    </row>
    <row r="171" spans="1:16" ht="15">
      <c r="A171" s="13" t="s">
        <v>291</v>
      </c>
      <c r="B171" s="27" t="s">
        <v>101</v>
      </c>
      <c r="C171" s="13" t="s">
        <v>33</v>
      </c>
      <c r="D171" s="13">
        <v>219</v>
      </c>
      <c r="E171" s="13"/>
      <c r="F171" s="13" t="s">
        <v>12</v>
      </c>
      <c r="G171" s="442">
        <v>4.4000000000000004</v>
      </c>
      <c r="H171" s="440">
        <v>10</v>
      </c>
      <c r="I171" s="28">
        <v>2</v>
      </c>
      <c r="J171" s="441">
        <f t="shared" si="36"/>
        <v>4.545454545454545</v>
      </c>
      <c r="K171" s="28">
        <v>1</v>
      </c>
      <c r="L171" s="267">
        <f t="shared" si="37"/>
        <v>4.545454545454545</v>
      </c>
      <c r="M171" s="433">
        <f t="shared" si="38"/>
        <v>909.09090909090901</v>
      </c>
      <c r="N171" s="434">
        <v>200</v>
      </c>
      <c r="O171" s="435">
        <f t="shared" si="39"/>
        <v>2.2727272727272725</v>
      </c>
      <c r="P171" s="22"/>
    </row>
    <row r="172" spans="1:16" ht="15">
      <c r="A172" s="13" t="s">
        <v>303</v>
      </c>
      <c r="B172" s="27" t="s">
        <v>304</v>
      </c>
      <c r="C172" s="13" t="s">
        <v>226</v>
      </c>
      <c r="D172" s="13">
        <v>302</v>
      </c>
      <c r="E172" s="13"/>
      <c r="F172" s="13" t="s">
        <v>103</v>
      </c>
      <c r="G172" s="432">
        <v>84</v>
      </c>
      <c r="H172" s="440">
        <v>10</v>
      </c>
      <c r="I172" s="28">
        <v>1</v>
      </c>
      <c r="J172" s="441">
        <f t="shared" si="36"/>
        <v>0.11904761904761904</v>
      </c>
      <c r="K172" s="28">
        <v>66</v>
      </c>
      <c r="L172" s="267">
        <f t="shared" si="37"/>
        <v>7.8571428571428568</v>
      </c>
      <c r="M172" s="433">
        <f t="shared" si="38"/>
        <v>1382.8571428571429</v>
      </c>
      <c r="N172" s="434">
        <v>176</v>
      </c>
      <c r="O172" s="435">
        <f t="shared" si="39"/>
        <v>7.8571428571428568</v>
      </c>
      <c r="P172" s="22"/>
    </row>
    <row r="173" spans="1:16" ht="15">
      <c r="A173" s="13" t="s">
        <v>293</v>
      </c>
      <c r="B173" s="27" t="s">
        <v>102</v>
      </c>
      <c r="C173" s="13" t="s">
        <v>33</v>
      </c>
      <c r="D173" s="13">
        <v>219</v>
      </c>
      <c r="E173" s="13"/>
      <c r="F173" s="13" t="s">
        <v>103</v>
      </c>
      <c r="G173" s="28">
        <f>10*60/1</f>
        <v>600</v>
      </c>
      <c r="H173" s="440">
        <v>10</v>
      </c>
      <c r="I173" s="28">
        <v>1</v>
      </c>
      <c r="J173" s="441">
        <f t="shared" si="36"/>
        <v>0.016666666666666666</v>
      </c>
      <c r="K173" s="28">
        <v>66</v>
      </c>
      <c r="L173" s="267">
        <f t="shared" si="37"/>
        <v>1.1000000000000001</v>
      </c>
      <c r="M173" s="433">
        <f t="shared" si="38"/>
        <v>167.20000000000002</v>
      </c>
      <c r="N173" s="434">
        <v>152</v>
      </c>
      <c r="O173" s="435">
        <f t="shared" si="39"/>
        <v>1.1000000000000001</v>
      </c>
      <c r="P173" s="22"/>
    </row>
    <row r="174" spans="1:16" ht="15">
      <c r="A174" s="13" t="s">
        <v>305</v>
      </c>
      <c r="B174" s="27" t="s">
        <v>343</v>
      </c>
      <c r="C174" s="13" t="s">
        <v>14</v>
      </c>
      <c r="D174" s="13">
        <v>226</v>
      </c>
      <c r="E174" s="13"/>
      <c r="F174" s="13" t="s">
        <v>58</v>
      </c>
      <c r="G174" s="28">
        <v>55.20</v>
      </c>
      <c r="H174" s="440">
        <v>10</v>
      </c>
      <c r="I174" s="28">
        <v>1</v>
      </c>
      <c r="J174" s="441">
        <f t="shared" si="36"/>
        <v>0.18115942028985507</v>
      </c>
      <c r="K174" s="28">
        <v>1.78</v>
      </c>
      <c r="L174" s="435">
        <f t="shared" si="37"/>
        <v>0.32246376811594202</v>
      </c>
      <c r="M174" s="266">
        <f t="shared" si="38"/>
        <v>64.492753623188406</v>
      </c>
      <c r="N174" s="433">
        <v>200</v>
      </c>
      <c r="O174" s="435">
        <f t="shared" si="39"/>
        <v>0.32246376811594202</v>
      </c>
      <c r="P174" s="22"/>
    </row>
    <row r="175" spans="1:16" ht="30">
      <c r="A175" s="13" t="s">
        <v>306</v>
      </c>
      <c r="B175" s="27" t="s">
        <v>307</v>
      </c>
      <c r="C175" s="13" t="s">
        <v>14</v>
      </c>
      <c r="D175" s="13">
        <v>226</v>
      </c>
      <c r="E175" s="13"/>
      <c r="F175" s="13" t="s">
        <v>12</v>
      </c>
      <c r="G175" s="28">
        <v>10</v>
      </c>
      <c r="H175" s="440">
        <v>10</v>
      </c>
      <c r="I175" s="28">
        <v>1</v>
      </c>
      <c r="J175" s="441">
        <f t="shared" si="36"/>
        <v>1</v>
      </c>
      <c r="K175" s="28">
        <v>1</v>
      </c>
      <c r="L175" s="435">
        <f t="shared" si="37"/>
        <v>1</v>
      </c>
      <c r="M175" s="266">
        <f t="shared" si="38"/>
        <v>200</v>
      </c>
      <c r="N175" s="433">
        <v>200</v>
      </c>
      <c r="O175" s="435">
        <f t="shared" si="39"/>
        <v>1</v>
      </c>
      <c r="P175" s="22"/>
    </row>
    <row r="176" spans="1:16" ht="15">
      <c r="A176" s="13" t="s">
        <v>296</v>
      </c>
      <c r="B176" s="56" t="s">
        <v>105</v>
      </c>
      <c r="C176" s="13" t="s">
        <v>33</v>
      </c>
      <c r="D176" s="13">
        <v>219</v>
      </c>
      <c r="E176" s="13"/>
      <c r="F176" s="13" t="s">
        <v>96</v>
      </c>
      <c r="G176" s="28">
        <v>10.35</v>
      </c>
      <c r="H176" s="440">
        <v>10</v>
      </c>
      <c r="I176" s="28">
        <v>2</v>
      </c>
      <c r="J176" s="441">
        <f t="shared" si="36"/>
        <v>1.9323671497584543</v>
      </c>
      <c r="K176" s="28">
        <v>1</v>
      </c>
      <c r="L176" s="267">
        <f t="shared" si="37"/>
        <v>1.9323671497584543</v>
      </c>
      <c r="M176" s="433">
        <f t="shared" si="38"/>
        <v>386.47342995169083</v>
      </c>
      <c r="N176" s="434">
        <v>200</v>
      </c>
      <c r="O176" s="435">
        <f t="shared" si="39"/>
        <v>0.96618357487922713</v>
      </c>
      <c r="P176" s="22"/>
    </row>
    <row r="177" spans="1:16" ht="15">
      <c r="A177" s="523" t="s">
        <v>1695</v>
      </c>
      <c r="B177" s="522" t="s">
        <v>1696</v>
      </c>
      <c r="C177" s="523" t="s">
        <v>33</v>
      </c>
      <c r="D177" s="523">
        <v>226</v>
      </c>
      <c r="E177" s="523"/>
      <c r="F177" s="523" t="s">
        <v>12</v>
      </c>
      <c r="G177" s="527">
        <v>20</v>
      </c>
      <c r="H177" s="530">
        <v>10</v>
      </c>
      <c r="I177" s="527">
        <v>1</v>
      </c>
      <c r="J177" s="531">
        <f t="shared" si="36"/>
        <v>0.50</v>
      </c>
      <c r="K177" s="527">
        <v>1</v>
      </c>
      <c r="L177" s="267">
        <f t="shared" si="37"/>
        <v>0.50</v>
      </c>
      <c r="M177" s="433">
        <f t="shared" si="38"/>
        <v>100</v>
      </c>
      <c r="N177" s="434">
        <v>200</v>
      </c>
      <c r="O177" s="435">
        <f t="shared" si="39"/>
        <v>0.50</v>
      </c>
      <c r="P177" s="22"/>
    </row>
    <row r="178" spans="1:16" ht="15">
      <c r="A178" s="13" t="s">
        <v>308</v>
      </c>
      <c r="B178" s="27" t="s">
        <v>309</v>
      </c>
      <c r="C178" s="13" t="s">
        <v>14</v>
      </c>
      <c r="D178" s="13">
        <v>226</v>
      </c>
      <c r="E178" s="13"/>
      <c r="F178" s="13" t="s">
        <v>58</v>
      </c>
      <c r="G178" s="442">
        <v>13.15</v>
      </c>
      <c r="H178" s="440">
        <v>10</v>
      </c>
      <c r="I178" s="28">
        <v>1</v>
      </c>
      <c r="J178" s="441">
        <f t="shared" si="36"/>
        <v>0.76045627376425851</v>
      </c>
      <c r="K178" s="28">
        <v>1</v>
      </c>
      <c r="L178" s="435">
        <f t="shared" si="37"/>
        <v>0.76045627376425851</v>
      </c>
      <c r="M178" s="266">
        <f t="shared" si="38"/>
        <v>115.58935361216729</v>
      </c>
      <c r="N178" s="433">
        <v>152</v>
      </c>
      <c r="O178" s="435">
        <f t="shared" si="39"/>
        <v>0.76045627376425851</v>
      </c>
      <c r="P178" s="22"/>
    </row>
    <row r="179" spans="1:16" ht="18.75" customHeight="1">
      <c r="A179" s="13" t="s">
        <v>294</v>
      </c>
      <c r="B179" s="27" t="s">
        <v>521</v>
      </c>
      <c r="C179" s="13" t="s">
        <v>14</v>
      </c>
      <c r="D179" s="13">
        <v>226</v>
      </c>
      <c r="E179" s="13"/>
      <c r="F179" s="13" t="s">
        <v>58</v>
      </c>
      <c r="G179" s="28">
        <v>23.16</v>
      </c>
      <c r="H179" s="440">
        <v>10</v>
      </c>
      <c r="I179" s="28">
        <v>1</v>
      </c>
      <c r="J179" s="441">
        <f t="shared" si="36"/>
        <v>0.43177892918825561</v>
      </c>
      <c r="K179" s="28">
        <v>13</v>
      </c>
      <c r="L179" s="267">
        <f t="shared" si="37"/>
        <v>5.6131260794473228</v>
      </c>
      <c r="M179" s="433">
        <f t="shared" si="38"/>
        <v>1122.6252158894645</v>
      </c>
      <c r="N179" s="434">
        <v>200</v>
      </c>
      <c r="O179" s="435">
        <f t="shared" si="39"/>
        <v>5.6131260794473228</v>
      </c>
      <c r="P179" s="22"/>
    </row>
    <row r="180" spans="1:16" ht="15">
      <c r="A180" s="13" t="s">
        <v>1639</v>
      </c>
      <c r="B180" s="27" t="s">
        <v>1640</v>
      </c>
      <c r="C180" s="13" t="s">
        <v>33</v>
      </c>
      <c r="D180" s="13" t="s">
        <v>1333</v>
      </c>
      <c r="E180" s="13"/>
      <c r="F180" s="13" t="s">
        <v>12</v>
      </c>
      <c r="G180" s="442">
        <v>30</v>
      </c>
      <c r="H180" s="440">
        <v>10</v>
      </c>
      <c r="I180" s="28">
        <v>2</v>
      </c>
      <c r="J180" s="441">
        <f t="shared" si="36"/>
        <v>0.66666666666666663</v>
      </c>
      <c r="K180" s="28">
        <v>1</v>
      </c>
      <c r="L180" s="267">
        <f t="shared" si="37"/>
        <v>0.66666666666666663</v>
      </c>
      <c r="M180" s="433">
        <f t="shared" si="38"/>
        <v>101.33333333333333</v>
      </c>
      <c r="N180" s="434">
        <v>152</v>
      </c>
      <c r="O180" s="435">
        <f t="shared" si="39"/>
        <v>0.33333333333333331</v>
      </c>
      <c r="P180" s="21"/>
    </row>
    <row r="181" spans="1:16" ht="15">
      <c r="A181" s="13" t="s">
        <v>295</v>
      </c>
      <c r="B181" s="27" t="s">
        <v>104</v>
      </c>
      <c r="C181" s="13" t="s">
        <v>33</v>
      </c>
      <c r="D181" s="13" t="s">
        <v>1333</v>
      </c>
      <c r="E181" s="13"/>
      <c r="F181" s="13" t="s">
        <v>12</v>
      </c>
      <c r="G181" s="436">
        <v>6.1639999999999997</v>
      </c>
      <c r="H181" s="440">
        <v>10</v>
      </c>
      <c r="I181" s="28">
        <v>2</v>
      </c>
      <c r="J181" s="441">
        <f t="shared" si="36"/>
        <v>3.2446463335496434</v>
      </c>
      <c r="K181" s="28">
        <v>1</v>
      </c>
      <c r="L181" s="267">
        <f t="shared" si="37"/>
        <v>3.2446463335496434</v>
      </c>
      <c r="M181" s="433">
        <f t="shared" si="38"/>
        <v>493.1862426995458</v>
      </c>
      <c r="N181" s="434">
        <v>152</v>
      </c>
      <c r="O181" s="435">
        <f t="shared" si="39"/>
        <v>1.6223231667748217</v>
      </c>
      <c r="P181" s="21"/>
    </row>
    <row r="182" spans="1:15" s="22" customFormat="1" ht="15">
      <c r="A182" s="443"/>
      <c r="B182" s="495" t="s">
        <v>15</v>
      </c>
      <c r="C182" s="443"/>
      <c r="D182" s="443"/>
      <c r="E182" s="443"/>
      <c r="F182" s="444"/>
      <c r="G182" s="443"/>
      <c r="H182" s="445"/>
      <c r="I182" s="443"/>
      <c r="J182" s="446"/>
      <c r="K182" s="443"/>
      <c r="L182" s="447">
        <f>SUM(L6:L181)</f>
        <v>272.72955794517407</v>
      </c>
      <c r="M182" s="455">
        <f>M17+M62+M87+M100+M111+M160+M107+M5</f>
        <v>53570.384971953288</v>
      </c>
      <c r="N182" s="110"/>
      <c r="O182" s="454">
        <f>O17+O62+O87+O100+O111+O160+O107+O5</f>
        <v>195.87363375473572</v>
      </c>
    </row>
    <row r="183" spans="12:15" ht="15">
      <c r="L183" s="448" t="s">
        <v>16</v>
      </c>
      <c r="O183" s="448" t="s">
        <v>17</v>
      </c>
    </row>
    <row r="184" spans="6:15" ht="15">
      <c r="F184" s="107"/>
      <c r="J184" s="450"/>
      <c r="K184" s="451" t="s">
        <v>18</v>
      </c>
      <c r="L184" s="452">
        <f>L182/G2</f>
        <v>110.59592779609653</v>
      </c>
      <c r="M184" s="450" t="s">
        <v>19</v>
      </c>
      <c r="N184" s="450"/>
      <c r="O184" s="450"/>
    </row>
    <row r="185" spans="6:6" ht="15">
      <c r="F185" s="107"/>
    </row>
    <row r="186" spans="2:8" ht="15">
      <c r="B186" s="493" t="s">
        <v>1242</v>
      </c>
      <c r="C186" s="449"/>
      <c r="F186" s="107"/>
      <c r="H186" s="268"/>
    </row>
    <row r="187" spans="6:6" ht="15">
      <c r="F187" s="107"/>
    </row>
    <row r="188" spans="2:3" ht="15">
      <c r="B188" s="493" t="s">
        <v>848</v>
      </c>
      <c r="C188" s="449"/>
    </row>
    <row r="190" spans="2:3" ht="15">
      <c r="B190" s="493" t="s">
        <v>849</v>
      </c>
      <c r="C190" s="449"/>
    </row>
    <row r="194" spans="1:8" ht="15" hidden="1">
      <c r="A194" s="481" t="s">
        <v>328</v>
      </c>
      <c r="B194" s="496" t="s">
        <v>329</v>
      </c>
      <c r="C194" s="481" t="s">
        <v>330</v>
      </c>
      <c r="D194" s="481" t="s">
        <v>331</v>
      </c>
      <c r="E194" s="481" t="s">
        <v>332</v>
      </c>
      <c r="F194" s="481" t="s">
        <v>333</v>
      </c>
      <c r="G194" s="427"/>
      <c r="H194" s="268"/>
    </row>
    <row r="195" spans="1:8" ht="75" hidden="1">
      <c r="A195" s="482">
        <v>1</v>
      </c>
      <c r="B195" s="483" t="s">
        <v>1283</v>
      </c>
      <c r="C195" s="482">
        <v>600</v>
      </c>
      <c r="D195" s="482">
        <v>400</v>
      </c>
      <c r="E195" s="482" t="s">
        <v>954</v>
      </c>
      <c r="F195" s="484">
        <v>44602</v>
      </c>
      <c r="G195" s="427"/>
      <c r="H195" s="268"/>
    </row>
    <row r="196" spans="1:8" ht="30.75" hidden="1" thickBot="1">
      <c r="A196" s="482">
        <v>2</v>
      </c>
      <c r="B196" s="483" t="s">
        <v>1284</v>
      </c>
      <c r="C196" s="485"/>
      <c r="D196" s="485"/>
      <c r="E196" s="482" t="s">
        <v>954</v>
      </c>
      <c r="F196" s="484">
        <v>44602</v>
      </c>
      <c r="G196" s="427"/>
      <c r="H196" s="268"/>
    </row>
    <row r="197" spans="1:15" ht="15" hidden="1">
      <c r="A197" s="500" t="s">
        <v>328</v>
      </c>
      <c r="B197" s="631" t="s">
        <v>1593</v>
      </c>
      <c r="C197" s="632"/>
      <c r="D197" s="633"/>
      <c r="E197" s="501" t="s">
        <v>332</v>
      </c>
      <c r="F197" s="502" t="s">
        <v>333</v>
      </c>
      <c r="G197" s="427"/>
      <c r="H197" s="268"/>
      <c r="O197" s="503"/>
    </row>
    <row r="198" spans="1:15" ht="15.75" hidden="1" thickBot="1">
      <c r="A198" s="504">
        <v>1</v>
      </c>
      <c r="B198" s="634" t="s">
        <v>1594</v>
      </c>
      <c r="C198" s="635"/>
      <c r="D198" s="636"/>
      <c r="E198" s="505" t="s">
        <v>1334</v>
      </c>
      <c r="F198" s="506">
        <v>44677</v>
      </c>
      <c r="G198" s="427"/>
      <c r="H198" s="268"/>
      <c r="O198" s="503"/>
    </row>
    <row r="199" spans="1:15" ht="15" hidden="1">
      <c r="A199" s="54" t="s">
        <v>656</v>
      </c>
      <c r="B199" s="55" t="s">
        <v>1275</v>
      </c>
      <c r="C199" s="13" t="s">
        <v>862</v>
      </c>
      <c r="D199" s="68">
        <v>224</v>
      </c>
      <c r="E199" s="13"/>
      <c r="F199" s="17"/>
      <c r="G199" s="432">
        <f>(600-20)/3</f>
        <v>193.33333333333334</v>
      </c>
      <c r="H199" s="440">
        <v>10</v>
      </c>
      <c r="I199" s="28">
        <v>2</v>
      </c>
      <c r="J199" s="441">
        <f>H199/G199*I199</f>
        <v>0.10344827586206896</v>
      </c>
      <c r="K199" s="28">
        <v>3</v>
      </c>
      <c r="L199" s="267">
        <f>J199*K199</f>
        <v>0.31034482758620691</v>
      </c>
      <c r="M199" s="433">
        <f>L199*N199</f>
        <v>62.068965517241381</v>
      </c>
      <c r="N199" s="434">
        <v>200</v>
      </c>
      <c r="O199" s="435">
        <f>J199/I199*K199</f>
        <v>0.15517241379310345</v>
      </c>
    </row>
    <row r="200" spans="1:15" ht="15" customHeight="1" hidden="1">
      <c r="A200" s="645" t="s">
        <v>198</v>
      </c>
      <c r="B200" s="639" t="s">
        <v>992</v>
      </c>
      <c r="C200" s="13" t="s">
        <v>28</v>
      </c>
      <c r="D200" s="13">
        <v>112</v>
      </c>
      <c r="E200" s="13"/>
      <c r="F200" s="4" t="s">
        <v>868</v>
      </c>
      <c r="G200" s="28">
        <v>12</v>
      </c>
      <c r="H200" s="437">
        <v>10</v>
      </c>
      <c r="I200" s="28">
        <v>2</v>
      </c>
      <c r="J200" s="438">
        <f>H200/G200*I200</f>
        <v>1.6666666666666667</v>
      </c>
      <c r="K200" s="28">
        <v>1</v>
      </c>
      <c r="L200" s="267">
        <f>J200*K200</f>
        <v>1.6666666666666667</v>
      </c>
      <c r="M200" s="433">
        <f>L200*N200</f>
        <v>333.33333333333337</v>
      </c>
      <c r="N200" s="434">
        <v>200</v>
      </c>
      <c r="O200" s="435">
        <f>J200/I200*K200</f>
        <v>0.83333333333333337</v>
      </c>
    </row>
    <row r="201" spans="1:15" ht="15.75" hidden="1" thickBot="1">
      <c r="A201" s="647"/>
      <c r="B201" s="641"/>
      <c r="C201" s="13" t="s">
        <v>49</v>
      </c>
      <c r="D201" s="13">
        <v>112</v>
      </c>
      <c r="E201" s="13" t="s">
        <v>869</v>
      </c>
      <c r="F201" s="13" t="s">
        <v>10</v>
      </c>
      <c r="G201" s="28">
        <v>40</v>
      </c>
      <c r="H201" s="437">
        <v>10</v>
      </c>
      <c r="I201" s="28">
        <v>1</v>
      </c>
      <c r="J201" s="438">
        <f>H201/G201*I201</f>
        <v>0.25</v>
      </c>
      <c r="K201" s="436">
        <f>(620*2*2+1440*2+350*2+80*2*2)/1000</f>
        <v>6.38</v>
      </c>
      <c r="L201" s="267">
        <f>J201*K201</f>
        <v>1.595</v>
      </c>
      <c r="M201" s="433">
        <f>L201*N201</f>
        <v>319</v>
      </c>
      <c r="N201" s="434">
        <v>200</v>
      </c>
      <c r="O201" s="435">
        <f>J201/I201*K201</f>
        <v>1.595</v>
      </c>
    </row>
    <row r="202" spans="1:15" ht="15" hidden="1">
      <c r="A202" s="500" t="s">
        <v>328</v>
      </c>
      <c r="B202" s="631" t="s">
        <v>1593</v>
      </c>
      <c r="C202" s="632"/>
      <c r="D202" s="633"/>
      <c r="E202" s="501" t="s">
        <v>332</v>
      </c>
      <c r="F202" s="502" t="s">
        <v>333</v>
      </c>
      <c r="G202" s="427"/>
      <c r="H202" s="268"/>
      <c r="O202" s="503"/>
    </row>
    <row r="203" spans="1:15" ht="15.75" hidden="1" thickBot="1">
      <c r="A203" s="504">
        <v>2</v>
      </c>
      <c r="B203" s="634" t="s">
        <v>1605</v>
      </c>
      <c r="C203" s="635"/>
      <c r="D203" s="636"/>
      <c r="E203" s="505" t="s">
        <v>1334</v>
      </c>
      <c r="F203" s="506">
        <v>44677</v>
      </c>
      <c r="G203" s="427"/>
      <c r="H203" s="268"/>
      <c r="O203" s="503"/>
    </row>
    <row r="204" spans="1:15" ht="15" hidden="1">
      <c r="A204" s="57" t="s">
        <v>1285</v>
      </c>
      <c r="B204" s="56" t="s">
        <v>1629</v>
      </c>
      <c r="C204" s="13" t="s">
        <v>1637</v>
      </c>
      <c r="D204" s="13">
        <v>105</v>
      </c>
      <c r="E204" s="13"/>
      <c r="F204" s="13" t="s">
        <v>353</v>
      </c>
      <c r="G204" s="442">
        <v>21.70</v>
      </c>
      <c r="H204" s="440">
        <v>10</v>
      </c>
      <c r="I204" s="28">
        <v>1</v>
      </c>
      <c r="J204" s="441">
        <f t="shared" si="40" ref="J204:J211">H204/G204*I204</f>
        <v>0.46082949308755761</v>
      </c>
      <c r="K204" s="432">
        <v>1</v>
      </c>
      <c r="L204" s="435">
        <f t="shared" si="41" ref="L204:L211">J204*K204</f>
        <v>0.46082949308755761</v>
      </c>
      <c r="M204" s="266">
        <f t="shared" si="42" ref="M204:M211">L204*N204</f>
        <v>92.165898617511516</v>
      </c>
      <c r="N204" s="433">
        <v>200</v>
      </c>
      <c r="O204" s="435">
        <f t="shared" si="43" ref="O204:O211">J204/I204*K204</f>
        <v>0.46082949308755761</v>
      </c>
    </row>
    <row r="205" spans="1:15" ht="15" hidden="1">
      <c r="A205" s="57" t="s">
        <v>648</v>
      </c>
      <c r="B205" s="508" t="s">
        <v>1630</v>
      </c>
      <c r="C205" s="13" t="s">
        <v>1638</v>
      </c>
      <c r="D205" s="13">
        <v>108</v>
      </c>
      <c r="E205" s="13"/>
      <c r="F205" s="13" t="s">
        <v>10</v>
      </c>
      <c r="G205" s="28">
        <v>40</v>
      </c>
      <c r="H205" s="440">
        <v>10</v>
      </c>
      <c r="I205" s="28">
        <v>1</v>
      </c>
      <c r="J205" s="453">
        <f t="shared" si="40"/>
        <v>0.25</v>
      </c>
      <c r="K205" s="436">
        <f>195*2/1000</f>
        <v>0.39</v>
      </c>
      <c r="L205" s="267">
        <f t="shared" si="41"/>
        <v>0.0975</v>
      </c>
      <c r="M205" s="433">
        <f t="shared" si="42"/>
        <v>19.50</v>
      </c>
      <c r="N205" s="434">
        <v>200</v>
      </c>
      <c r="O205" s="435">
        <f t="shared" si="43"/>
        <v>0.0975</v>
      </c>
    </row>
    <row r="206" spans="1:15" ht="15" hidden="1">
      <c r="A206" s="57" t="s">
        <v>1288</v>
      </c>
      <c r="B206" s="56" t="s">
        <v>1631</v>
      </c>
      <c r="C206" s="13" t="s">
        <v>1637</v>
      </c>
      <c r="D206" s="13">
        <v>105</v>
      </c>
      <c r="E206" s="13"/>
      <c r="F206" s="13" t="s">
        <v>353</v>
      </c>
      <c r="G206" s="442">
        <f>21.7/0.65</f>
        <v>33.38461538461538</v>
      </c>
      <c r="H206" s="440">
        <v>10</v>
      </c>
      <c r="I206" s="28">
        <v>1</v>
      </c>
      <c r="J206" s="441">
        <f t="shared" si="40"/>
        <v>0.29953917050691248</v>
      </c>
      <c r="K206" s="432">
        <v>1</v>
      </c>
      <c r="L206" s="435">
        <f t="shared" si="41"/>
        <v>0.29953917050691248</v>
      </c>
      <c r="M206" s="266">
        <f t="shared" si="42"/>
        <v>59.907834101382498</v>
      </c>
      <c r="N206" s="433">
        <v>200</v>
      </c>
      <c r="O206" s="435">
        <f t="shared" si="43"/>
        <v>0.29953917050691248</v>
      </c>
    </row>
    <row r="207" spans="1:15" ht="15" hidden="1">
      <c r="A207" s="57" t="s">
        <v>176</v>
      </c>
      <c r="B207" s="56" t="s">
        <v>1632</v>
      </c>
      <c r="C207" s="13" t="s">
        <v>154</v>
      </c>
      <c r="D207" s="13">
        <v>124</v>
      </c>
      <c r="E207" s="13"/>
      <c r="F207" s="13" t="s">
        <v>354</v>
      </c>
      <c r="G207" s="442">
        <v>13</v>
      </c>
      <c r="H207" s="440">
        <v>10</v>
      </c>
      <c r="I207" s="28">
        <v>1</v>
      </c>
      <c r="J207" s="441">
        <f t="shared" si="40"/>
        <v>0.76923076923076927</v>
      </c>
      <c r="K207" s="432">
        <v>1</v>
      </c>
      <c r="L207" s="267">
        <f t="shared" si="41"/>
        <v>0.76923076923076927</v>
      </c>
      <c r="M207" s="433">
        <f t="shared" si="42"/>
        <v>153.84615384615387</v>
      </c>
      <c r="N207" s="434">
        <v>200</v>
      </c>
      <c r="O207" s="435">
        <f t="shared" si="43"/>
        <v>0.76923076923076927</v>
      </c>
    </row>
    <row r="208" spans="1:15" ht="30" hidden="1">
      <c r="A208" s="57" t="s">
        <v>1289</v>
      </c>
      <c r="B208" s="56" t="s">
        <v>1633</v>
      </c>
      <c r="C208" s="13" t="s">
        <v>24</v>
      </c>
      <c r="D208" s="13">
        <v>117</v>
      </c>
      <c r="E208" s="13"/>
      <c r="F208" s="4" t="s">
        <v>38</v>
      </c>
      <c r="G208" s="442">
        <v>20</v>
      </c>
      <c r="H208" s="440">
        <v>10</v>
      </c>
      <c r="I208" s="28">
        <v>2</v>
      </c>
      <c r="J208" s="441">
        <f t="shared" si="40"/>
        <v>1</v>
      </c>
      <c r="K208" s="28">
        <v>1</v>
      </c>
      <c r="L208" s="267">
        <f t="shared" si="41"/>
        <v>1</v>
      </c>
      <c r="M208" s="433">
        <f t="shared" si="42"/>
        <v>200</v>
      </c>
      <c r="N208" s="434">
        <v>200</v>
      </c>
      <c r="O208" s="435">
        <f t="shared" si="43"/>
        <v>0.50</v>
      </c>
    </row>
    <row r="209" spans="1:15" ht="30" hidden="1">
      <c r="A209" s="13" t="s">
        <v>1290</v>
      </c>
      <c r="B209" s="56" t="s">
        <v>1634</v>
      </c>
      <c r="C209" s="13" t="s">
        <v>160</v>
      </c>
      <c r="D209" s="13">
        <v>117</v>
      </c>
      <c r="E209" s="13" t="s">
        <v>869</v>
      </c>
      <c r="F209" s="13" t="s">
        <v>10</v>
      </c>
      <c r="G209" s="28">
        <v>40</v>
      </c>
      <c r="H209" s="440">
        <v>10</v>
      </c>
      <c r="I209" s="28">
        <v>1</v>
      </c>
      <c r="J209" s="441">
        <f t="shared" si="40"/>
        <v>0.25</v>
      </c>
      <c r="K209" s="436">
        <f>622*3.1415*2/1000</f>
        <v>3.9080260000000004</v>
      </c>
      <c r="L209" s="267">
        <f t="shared" si="41"/>
        <v>0.97700650000000011</v>
      </c>
      <c r="M209" s="433">
        <f t="shared" si="42"/>
        <v>195.40130000000002</v>
      </c>
      <c r="N209" s="434">
        <v>200</v>
      </c>
      <c r="O209" s="435">
        <f t="shared" si="43"/>
        <v>0.97700650000000011</v>
      </c>
    </row>
    <row r="210" spans="1:15" ht="30" hidden="1">
      <c r="A210" s="57" t="s">
        <v>1291</v>
      </c>
      <c r="B210" s="56" t="s">
        <v>1635</v>
      </c>
      <c r="C210" s="13" t="s">
        <v>24</v>
      </c>
      <c r="D210" s="13">
        <v>110</v>
      </c>
      <c r="E210" s="13"/>
      <c r="F210" s="4" t="s">
        <v>38</v>
      </c>
      <c r="G210" s="442">
        <v>20</v>
      </c>
      <c r="H210" s="440">
        <v>10</v>
      </c>
      <c r="I210" s="28">
        <v>2</v>
      </c>
      <c r="J210" s="441">
        <f t="shared" si="40"/>
        <v>1</v>
      </c>
      <c r="K210" s="28">
        <v>1</v>
      </c>
      <c r="L210" s="267">
        <f t="shared" si="41"/>
        <v>1</v>
      </c>
      <c r="M210" s="433">
        <f t="shared" si="42"/>
        <v>200</v>
      </c>
      <c r="N210" s="434">
        <v>200</v>
      </c>
      <c r="O210" s="435">
        <f t="shared" si="43"/>
        <v>0.50</v>
      </c>
    </row>
    <row r="211" spans="1:15" ht="30.75" hidden="1" thickBot="1">
      <c r="A211" s="13" t="s">
        <v>177</v>
      </c>
      <c r="B211" s="56" t="s">
        <v>1636</v>
      </c>
      <c r="C211" s="13" t="s">
        <v>160</v>
      </c>
      <c r="D211" s="13">
        <v>110</v>
      </c>
      <c r="E211" s="13" t="s">
        <v>1604</v>
      </c>
      <c r="F211" s="13" t="s">
        <v>10</v>
      </c>
      <c r="G211" s="28">
        <v>40</v>
      </c>
      <c r="H211" s="440">
        <v>10</v>
      </c>
      <c r="I211" s="28">
        <v>1</v>
      </c>
      <c r="J211" s="441">
        <f t="shared" si="40"/>
        <v>0.25</v>
      </c>
      <c r="K211" s="436">
        <f>638*3.1415*2/1000</f>
        <v>4.0085540000000002</v>
      </c>
      <c r="L211" s="267">
        <f t="shared" si="41"/>
        <v>1.0021385</v>
      </c>
      <c r="M211" s="433">
        <f t="shared" si="42"/>
        <v>200.42770000000002</v>
      </c>
      <c r="N211" s="434">
        <v>200</v>
      </c>
      <c r="O211" s="435">
        <f t="shared" si="43"/>
        <v>1.0021385</v>
      </c>
    </row>
    <row r="212" spans="1:15" ht="15" hidden="1">
      <c r="A212" s="500" t="s">
        <v>328</v>
      </c>
      <c r="B212" s="631" t="s">
        <v>1593</v>
      </c>
      <c r="C212" s="632"/>
      <c r="D212" s="633"/>
      <c r="E212" s="501" t="s">
        <v>332</v>
      </c>
      <c r="F212" s="502" t="s">
        <v>333</v>
      </c>
      <c r="G212" s="427"/>
      <c r="H212" s="268"/>
      <c r="O212" s="503"/>
    </row>
    <row r="213" spans="1:15" ht="15.75" hidden="1" thickBot="1">
      <c r="A213" s="504">
        <v>3</v>
      </c>
      <c r="B213" s="634" t="s">
        <v>1606</v>
      </c>
      <c r="C213" s="635"/>
      <c r="D213" s="636"/>
      <c r="E213" s="505" t="s">
        <v>1334</v>
      </c>
      <c r="F213" s="506">
        <v>44677</v>
      </c>
      <c r="G213" s="427"/>
      <c r="H213" s="268"/>
      <c r="O213" s="503"/>
    </row>
    <row r="214" spans="1:15" ht="15" hidden="1">
      <c r="A214" s="645" t="s">
        <v>177</v>
      </c>
      <c r="B214" s="639" t="s">
        <v>178</v>
      </c>
      <c r="C214" s="13" t="s">
        <v>39</v>
      </c>
      <c r="D214" s="13">
        <v>110</v>
      </c>
      <c r="E214" s="13"/>
      <c r="F214" s="4" t="s">
        <v>179</v>
      </c>
      <c r="G214" s="28">
        <v>22</v>
      </c>
      <c r="H214" s="440">
        <v>10</v>
      </c>
      <c r="I214" s="28">
        <v>2</v>
      </c>
      <c r="J214" s="441">
        <f t="shared" si="44" ref="J214:J216">H214/G214*I214</f>
        <v>0.90909090909090906</v>
      </c>
      <c r="K214" s="28">
        <v>1</v>
      </c>
      <c r="L214" s="435">
        <f t="shared" si="45" ref="L214:L216">J214*K214</f>
        <v>0.90909090909090906</v>
      </c>
      <c r="M214" s="266">
        <f t="shared" si="46" ref="M214:M216">L214*N214</f>
        <v>181.81818181818181</v>
      </c>
      <c r="N214" s="433">
        <v>200</v>
      </c>
      <c r="O214" s="435">
        <f t="shared" si="47" ref="O214:O216">J214/I214*K214</f>
        <v>0.45454545454545453</v>
      </c>
    </row>
    <row r="215" spans="1:15" ht="15" hidden="1">
      <c r="A215" s="647"/>
      <c r="B215" s="641"/>
      <c r="C215" s="13" t="s">
        <v>180</v>
      </c>
      <c r="D215" s="13">
        <v>110</v>
      </c>
      <c r="E215" s="13" t="s">
        <v>1262</v>
      </c>
      <c r="F215" s="13" t="s">
        <v>10</v>
      </c>
      <c r="G215" s="28">
        <v>40</v>
      </c>
      <c r="H215" s="440">
        <v>10</v>
      </c>
      <c r="I215" s="28">
        <v>1</v>
      </c>
      <c r="J215" s="441">
        <f t="shared" si="44"/>
        <v>0.25</v>
      </c>
      <c r="K215" s="436">
        <f>200*2*2/1000</f>
        <v>0.80</v>
      </c>
      <c r="L215" s="435">
        <f t="shared" si="45"/>
        <v>0.20</v>
      </c>
      <c r="M215" s="266">
        <f t="shared" si="46"/>
        <v>40</v>
      </c>
      <c r="N215" s="433">
        <v>200</v>
      </c>
      <c r="O215" s="435">
        <f t="shared" si="47"/>
        <v>0.20</v>
      </c>
    </row>
    <row r="216" spans="1:15" ht="30.75" hidden="1" thickBot="1">
      <c r="A216" s="13" t="s">
        <v>177</v>
      </c>
      <c r="B216" s="56" t="s">
        <v>1636</v>
      </c>
      <c r="C216" s="13" t="s">
        <v>160</v>
      </c>
      <c r="D216" s="13">
        <v>110</v>
      </c>
      <c r="E216" s="13" t="s">
        <v>1604</v>
      </c>
      <c r="F216" s="13" t="s">
        <v>10</v>
      </c>
      <c r="G216" s="28">
        <v>40</v>
      </c>
      <c r="H216" s="440">
        <v>10</v>
      </c>
      <c r="I216" s="28">
        <v>1</v>
      </c>
      <c r="J216" s="441">
        <f t="shared" si="44"/>
        <v>0.25</v>
      </c>
      <c r="K216" s="436">
        <f>638*3.1415*2/1000</f>
        <v>4.0085540000000002</v>
      </c>
      <c r="L216" s="267">
        <f t="shared" si="45"/>
        <v>1.0021385</v>
      </c>
      <c r="M216" s="433">
        <f t="shared" si="46"/>
        <v>200.42770000000002</v>
      </c>
      <c r="N216" s="434">
        <v>200</v>
      </c>
      <c r="O216" s="435">
        <f t="shared" si="47"/>
        <v>1.0021385</v>
      </c>
    </row>
    <row r="217" spans="1:15" ht="15" hidden="1">
      <c r="A217" s="500" t="s">
        <v>328</v>
      </c>
      <c r="B217" s="631" t="s">
        <v>1593</v>
      </c>
      <c r="C217" s="632"/>
      <c r="D217" s="633"/>
      <c r="E217" s="501" t="s">
        <v>332</v>
      </c>
      <c r="F217" s="502" t="s">
        <v>333</v>
      </c>
      <c r="G217" s="427"/>
      <c r="H217" s="268"/>
      <c r="O217" s="503"/>
    </row>
    <row r="218" spans="1:15" ht="15.75" hidden="1" thickBot="1">
      <c r="A218" s="504">
        <v>4</v>
      </c>
      <c r="B218" s="634" t="s">
        <v>1605</v>
      </c>
      <c r="C218" s="635"/>
      <c r="D218" s="636"/>
      <c r="E218" s="505" t="s">
        <v>1334</v>
      </c>
      <c r="F218" s="506">
        <v>44677</v>
      </c>
      <c r="G218" s="427"/>
      <c r="H218" s="268"/>
      <c r="O218" s="503"/>
    </row>
    <row r="219" spans="1:16" ht="15.75" hidden="1" thickBot="1">
      <c r="A219" s="13" t="s">
        <v>1639</v>
      </c>
      <c r="B219" s="27" t="s">
        <v>1640</v>
      </c>
      <c r="C219" s="13" t="s">
        <v>33</v>
      </c>
      <c r="D219" s="13" t="s">
        <v>1333</v>
      </c>
      <c r="E219" s="13"/>
      <c r="F219" s="13" t="s">
        <v>12</v>
      </c>
      <c r="G219" s="442">
        <v>30</v>
      </c>
      <c r="H219" s="440">
        <v>10</v>
      </c>
      <c r="I219" s="28">
        <v>2</v>
      </c>
      <c r="J219" s="441">
        <f t="shared" si="48" ref="J219">H219/G219*I219</f>
        <v>0.66666666666666663</v>
      </c>
      <c r="K219" s="28">
        <v>1</v>
      </c>
      <c r="L219" s="267">
        <f t="shared" si="49" ref="L219">J219*K219</f>
        <v>0.66666666666666663</v>
      </c>
      <c r="M219" s="433">
        <f t="shared" si="50" ref="M219">L219*N219</f>
        <v>101.33333333333333</v>
      </c>
      <c r="N219" s="434">
        <v>152</v>
      </c>
      <c r="O219" s="435">
        <f t="shared" si="51" ref="O219">J219/I219*K219</f>
        <v>0.33333333333333331</v>
      </c>
      <c r="P219" s="21"/>
    </row>
    <row r="220" spans="1:15" ht="15" hidden="1">
      <c r="A220" s="500" t="s">
        <v>328</v>
      </c>
      <c r="B220" s="631" t="s">
        <v>1593</v>
      </c>
      <c r="C220" s="632"/>
      <c r="D220" s="633"/>
      <c r="E220" s="501" t="s">
        <v>332</v>
      </c>
      <c r="F220" s="502" t="s">
        <v>333</v>
      </c>
      <c r="G220" s="427"/>
      <c r="H220" s="268"/>
      <c r="O220" s="503"/>
    </row>
    <row r="221" spans="1:15" ht="15.75" hidden="1" thickBot="1">
      <c r="A221" s="504">
        <v>5</v>
      </c>
      <c r="B221" s="634" t="s">
        <v>1645</v>
      </c>
      <c r="C221" s="635"/>
      <c r="D221" s="636"/>
      <c r="E221" s="505" t="s">
        <v>1250</v>
      </c>
      <c r="F221" s="506">
        <v>44747</v>
      </c>
      <c r="G221" s="427"/>
      <c r="H221" s="268"/>
      <c r="O221" s="503"/>
    </row>
    <row r="222" spans="1:15" s="0" customFormat="1" ht="15" hidden="1">
      <c r="A222" s="642" t="s">
        <v>651</v>
      </c>
      <c r="B222" s="639" t="s">
        <v>1051</v>
      </c>
      <c r="C222" s="13" t="s">
        <v>1052</v>
      </c>
      <c r="D222" s="13">
        <v>106</v>
      </c>
      <c r="E222" s="13"/>
      <c r="F222" s="13" t="s">
        <v>1053</v>
      </c>
      <c r="G222" s="442">
        <v>20</v>
      </c>
      <c r="H222" s="437">
        <v>10</v>
      </c>
      <c r="I222" s="28">
        <v>2</v>
      </c>
      <c r="J222" s="438">
        <f t="shared" si="52" ref="J222:J224">H222/G222*I222</f>
        <v>1</v>
      </c>
      <c r="K222" s="442">
        <v>1</v>
      </c>
      <c r="L222" s="267">
        <f t="shared" si="53" ref="L222:L224">J222*K222</f>
        <v>1</v>
      </c>
      <c r="M222" s="433">
        <f>L222*N222</f>
        <v>200</v>
      </c>
      <c r="N222" s="478">
        <v>200</v>
      </c>
      <c r="O222" s="267">
        <f t="shared" si="54" ref="O222:O224">J222/I222*K222</f>
        <v>0.50</v>
      </c>
    </row>
    <row r="223" spans="1:15" ht="15" hidden="1">
      <c r="A223" s="643"/>
      <c r="B223" s="640"/>
      <c r="C223" s="13" t="s">
        <v>1267</v>
      </c>
      <c r="D223" s="13">
        <v>106</v>
      </c>
      <c r="E223" s="13"/>
      <c r="F223" s="13" t="s">
        <v>10</v>
      </c>
      <c r="G223" s="442">
        <v>40</v>
      </c>
      <c r="H223" s="437">
        <v>10</v>
      </c>
      <c r="I223" s="28">
        <v>1</v>
      </c>
      <c r="J223" s="468">
        <f t="shared" si="52"/>
        <v>0.25</v>
      </c>
      <c r="K223" s="442">
        <f>(910)/1000</f>
        <v>0.91</v>
      </c>
      <c r="L223" s="267">
        <f t="shared" si="53"/>
        <v>0.2275</v>
      </c>
      <c r="M223" s="266">
        <f t="shared" si="55" ref="M223">L223*N223</f>
        <v>45.50</v>
      </c>
      <c r="N223" s="433">
        <v>200</v>
      </c>
      <c r="O223" s="267">
        <f t="shared" si="54"/>
        <v>0.2275</v>
      </c>
    </row>
    <row r="224" spans="1:15" s="0" customFormat="1" ht="15" hidden="1">
      <c r="A224" s="643"/>
      <c r="B224" s="640"/>
      <c r="C224" s="13" t="s">
        <v>1658</v>
      </c>
      <c r="D224" s="13">
        <v>106</v>
      </c>
      <c r="E224" s="13" t="s">
        <v>44</v>
      </c>
      <c r="F224" s="13" t="s">
        <v>10</v>
      </c>
      <c r="G224" s="442">
        <v>27</v>
      </c>
      <c r="H224" s="437">
        <v>10</v>
      </c>
      <c r="I224" s="28">
        <v>1</v>
      </c>
      <c r="J224" s="438">
        <f t="shared" si="52"/>
        <v>0.37037037037037035</v>
      </c>
      <c r="K224" s="442">
        <f>(910)*2/1000+0.2</f>
        <v>2.02</v>
      </c>
      <c r="L224" s="267">
        <f t="shared" si="53"/>
        <v>0.74814814814814812</v>
      </c>
      <c r="M224" s="266">
        <f>L224*N224</f>
        <v>149.62962962962962</v>
      </c>
      <c r="N224" s="433">
        <v>200</v>
      </c>
      <c r="O224" s="267">
        <f t="shared" si="54"/>
        <v>0.74814814814814812</v>
      </c>
    </row>
    <row r="225" ht="15.75" thickBot="1"/>
    <row r="226" spans="1:7" ht="15">
      <c r="A226" s="500" t="s">
        <v>328</v>
      </c>
      <c r="B226" s="631" t="s">
        <v>1593</v>
      </c>
      <c r="C226" s="632"/>
      <c r="D226" s="633"/>
      <c r="E226" s="501" t="s">
        <v>332</v>
      </c>
      <c r="F226" s="502" t="s">
        <v>333</v>
      </c>
      <c r="G226" s="68"/>
    </row>
    <row r="227" spans="1:7" ht="15.75" thickBot="1">
      <c r="A227" s="504">
        <v>1</v>
      </c>
      <c r="B227" s="634" t="s">
        <v>1605</v>
      </c>
      <c r="C227" s="635"/>
      <c r="D227" s="636"/>
      <c r="E227" s="505" t="s">
        <v>1682</v>
      </c>
      <c r="F227" s="506">
        <v>44987</v>
      </c>
      <c r="G227" s="68"/>
    </row>
    <row r="228" spans="1:15" ht="30">
      <c r="A228" s="529" t="s">
        <v>1662</v>
      </c>
      <c r="B228" s="522" t="s">
        <v>1661</v>
      </c>
      <c r="C228" s="523" t="s">
        <v>9</v>
      </c>
      <c r="D228" s="523">
        <v>109</v>
      </c>
      <c r="E228" s="523"/>
      <c r="F228" s="524" t="s">
        <v>10</v>
      </c>
      <c r="G228" s="525">
        <v>33</v>
      </c>
      <c r="H228" s="526">
        <v>10</v>
      </c>
      <c r="I228" s="527">
        <v>1</v>
      </c>
      <c r="J228" s="528">
        <f t="shared" si="56" ref="J228:J232">H228/G228*I228</f>
        <v>0.30303030303030304</v>
      </c>
      <c r="K228" s="525">
        <f>(350*2)/1000</f>
        <v>0.70</v>
      </c>
      <c r="L228" s="267">
        <f t="shared" si="57" ref="L228:L232">J228*K228</f>
        <v>0.21212121212121213</v>
      </c>
      <c r="M228" s="266">
        <f t="shared" si="58" ref="M228:M232">L228*N228</f>
        <v>32.242424242424242</v>
      </c>
      <c r="N228" s="433">
        <v>152</v>
      </c>
      <c r="O228" s="267">
        <f t="shared" si="59" ref="O228:O232">J228/I228*K228</f>
        <v>0.21212121212121213</v>
      </c>
    </row>
    <row r="229" spans="1:15" ht="30">
      <c r="A229" s="523" t="s">
        <v>1668</v>
      </c>
      <c r="B229" s="522" t="s">
        <v>1670</v>
      </c>
      <c r="C229" s="523" t="s">
        <v>33</v>
      </c>
      <c r="D229" s="523">
        <v>116</v>
      </c>
      <c r="E229" s="523"/>
      <c r="F229" s="523" t="s">
        <v>1666</v>
      </c>
      <c r="G229" s="527">
        <v>11.36</v>
      </c>
      <c r="H229" s="530">
        <v>10</v>
      </c>
      <c r="I229" s="527">
        <v>2</v>
      </c>
      <c r="J229" s="531">
        <f t="shared" si="56"/>
        <v>1.7605633802816902</v>
      </c>
      <c r="K229" s="527">
        <v>1</v>
      </c>
      <c r="L229" s="267">
        <f t="shared" si="57"/>
        <v>1.7605633802816902</v>
      </c>
      <c r="M229" s="433">
        <f t="shared" si="58"/>
        <v>352.11267605633805</v>
      </c>
      <c r="N229" s="434">
        <v>200</v>
      </c>
      <c r="O229" s="435">
        <f t="shared" si="59"/>
        <v>0.88028169014084512</v>
      </c>
    </row>
    <row r="230" spans="1:15" ht="30">
      <c r="A230" s="523" t="s">
        <v>1669</v>
      </c>
      <c r="B230" s="522" t="s">
        <v>1671</v>
      </c>
      <c r="C230" s="523" t="s">
        <v>33</v>
      </c>
      <c r="D230" s="523">
        <v>116</v>
      </c>
      <c r="E230" s="523"/>
      <c r="F230" s="523" t="s">
        <v>10</v>
      </c>
      <c r="G230" s="527">
        <v>40</v>
      </c>
      <c r="H230" s="530">
        <v>10</v>
      </c>
      <c r="I230" s="527">
        <v>1</v>
      </c>
      <c r="J230" s="531">
        <f t="shared" si="56"/>
        <v>0.25</v>
      </c>
      <c r="K230" s="525">
        <f>3911/1000</f>
        <v>3.911</v>
      </c>
      <c r="L230" s="267">
        <f t="shared" si="57"/>
        <v>0.97775000000000001</v>
      </c>
      <c r="M230" s="433">
        <f t="shared" si="58"/>
        <v>195.55</v>
      </c>
      <c r="N230" s="434">
        <v>200</v>
      </c>
      <c r="O230" s="435">
        <f t="shared" si="59"/>
        <v>0.97775000000000001</v>
      </c>
    </row>
    <row r="231" spans="1:15" ht="30">
      <c r="A231" s="523" t="s">
        <v>1663</v>
      </c>
      <c r="B231" s="522" t="s">
        <v>1665</v>
      </c>
      <c r="C231" s="523" t="s">
        <v>33</v>
      </c>
      <c r="D231" s="523">
        <v>116</v>
      </c>
      <c r="E231" s="523"/>
      <c r="F231" s="523" t="s">
        <v>1666</v>
      </c>
      <c r="G231" s="527">
        <v>11.11</v>
      </c>
      <c r="H231" s="530">
        <v>10</v>
      </c>
      <c r="I231" s="527">
        <v>2</v>
      </c>
      <c r="J231" s="531">
        <f t="shared" si="56"/>
        <v>1.8001800180018002</v>
      </c>
      <c r="K231" s="527">
        <v>1</v>
      </c>
      <c r="L231" s="267">
        <f t="shared" si="57"/>
        <v>1.8001800180018002</v>
      </c>
      <c r="M231" s="433">
        <f t="shared" si="58"/>
        <v>360.03600360036</v>
      </c>
      <c r="N231" s="434">
        <v>200</v>
      </c>
      <c r="O231" s="435">
        <f t="shared" si="59"/>
        <v>0.90009000900090008</v>
      </c>
    </row>
    <row r="232" spans="1:15" ht="30">
      <c r="A232" s="523" t="s">
        <v>1664</v>
      </c>
      <c r="B232" s="522" t="s">
        <v>1667</v>
      </c>
      <c r="C232" s="523" t="s">
        <v>33</v>
      </c>
      <c r="D232" s="523">
        <v>116</v>
      </c>
      <c r="E232" s="523"/>
      <c r="F232" s="523" t="s">
        <v>10</v>
      </c>
      <c r="G232" s="527">
        <v>40</v>
      </c>
      <c r="H232" s="530">
        <v>10</v>
      </c>
      <c r="I232" s="527">
        <v>1</v>
      </c>
      <c r="J232" s="531">
        <f t="shared" si="56"/>
        <v>0.25</v>
      </c>
      <c r="K232" s="525">
        <f>3867/1000</f>
        <v>3.867</v>
      </c>
      <c r="L232" s="267">
        <f t="shared" si="57"/>
        <v>0.96675</v>
      </c>
      <c r="M232" s="433">
        <f t="shared" si="58"/>
        <v>193.35</v>
      </c>
      <c r="N232" s="434">
        <v>200</v>
      </c>
      <c r="O232" s="435">
        <f t="shared" si="59"/>
        <v>0.96675</v>
      </c>
    </row>
    <row r="233" ht="15.75" thickBot="1"/>
    <row r="234" spans="1:6" ht="15">
      <c r="A234" s="500" t="s">
        <v>328</v>
      </c>
      <c r="B234" s="631" t="s">
        <v>1593</v>
      </c>
      <c r="C234" s="632"/>
      <c r="D234" s="633"/>
      <c r="E234" s="501" t="s">
        <v>332</v>
      </c>
      <c r="F234" s="502" t="s">
        <v>333</v>
      </c>
    </row>
    <row r="235" spans="1:6" ht="15.75" thickBot="1">
      <c r="A235" s="504">
        <v>2</v>
      </c>
      <c r="B235" s="634" t="s">
        <v>1605</v>
      </c>
      <c r="C235" s="635"/>
      <c r="D235" s="636"/>
      <c r="E235" s="505" t="s">
        <v>1682</v>
      </c>
      <c r="F235" s="506">
        <v>45055</v>
      </c>
    </row>
    <row r="236" spans="1:15" ht="15">
      <c r="A236" s="523" t="s">
        <v>1695</v>
      </c>
      <c r="B236" s="522" t="s">
        <v>1696</v>
      </c>
      <c r="C236" s="523" t="s">
        <v>33</v>
      </c>
      <c r="D236" s="523">
        <v>226</v>
      </c>
      <c r="E236" s="523"/>
      <c r="F236" s="523" t="s">
        <v>12</v>
      </c>
      <c r="G236" s="527">
        <v>20</v>
      </c>
      <c r="H236" s="530">
        <v>10</v>
      </c>
      <c r="I236" s="527">
        <v>1</v>
      </c>
      <c r="J236" s="531">
        <f t="shared" si="60" ref="J236">H236/G236*I236</f>
        <v>0.50</v>
      </c>
      <c r="K236" s="527">
        <v>1</v>
      </c>
      <c r="L236" s="267">
        <f t="shared" si="61" ref="L236">J236*K236</f>
        <v>0.50</v>
      </c>
      <c r="M236" s="433">
        <f t="shared" si="62" ref="M236">L236*N236</f>
        <v>100</v>
      </c>
      <c r="N236" s="434">
        <v>200</v>
      </c>
      <c r="O236" s="435">
        <f t="shared" si="63" ref="O236">J236/I236*K236</f>
        <v>0.50</v>
      </c>
    </row>
    <row r="237" ht="15.75" thickBot="1"/>
    <row r="238" spans="1:6" ht="15">
      <c r="A238" s="500" t="s">
        <v>328</v>
      </c>
      <c r="B238" s="631" t="s">
        <v>1593</v>
      </c>
      <c r="C238" s="632"/>
      <c r="D238" s="633"/>
      <c r="E238" s="501" t="s">
        <v>332</v>
      </c>
      <c r="F238" s="502" t="s">
        <v>333</v>
      </c>
    </row>
    <row r="239" spans="1:6" ht="15.75" thickBot="1">
      <c r="A239" s="504">
        <v>3</v>
      </c>
      <c r="B239" s="634" t="s">
        <v>1657</v>
      </c>
      <c r="C239" s="635"/>
      <c r="D239" s="636"/>
      <c r="E239" s="505" t="s">
        <v>1697</v>
      </c>
      <c r="F239" s="506">
        <v>45142</v>
      </c>
    </row>
    <row r="240" spans="1:16" ht="15">
      <c r="A240" s="13" t="s">
        <v>292</v>
      </c>
      <c r="B240" s="27" t="s">
        <v>21</v>
      </c>
      <c r="C240" s="13" t="s">
        <v>33</v>
      </c>
      <c r="D240" s="13">
        <v>219</v>
      </c>
      <c r="E240" s="13"/>
      <c r="F240" s="13" t="s">
        <v>12</v>
      </c>
      <c r="G240" s="436">
        <v>2.2000000000000002</v>
      </c>
      <c r="H240" s="440">
        <v>10</v>
      </c>
      <c r="I240" s="28">
        <v>2</v>
      </c>
      <c r="J240" s="441">
        <f t="shared" si="64" ref="J240:J241">H240/G240*I240</f>
        <v>9.0909090909090899</v>
      </c>
      <c r="K240" s="28">
        <v>1</v>
      </c>
      <c r="L240" s="267">
        <f t="shared" si="65" ref="L240:L241">J240*K240</f>
        <v>9.0909090909090899</v>
      </c>
      <c r="M240" s="433">
        <f t="shared" si="66" ref="M240:M241">L240*N240</f>
        <v>1509.090909090909</v>
      </c>
      <c r="N240" s="434">
        <v>166</v>
      </c>
      <c r="O240" s="435">
        <f t="shared" si="67" ref="O240:O241">J240/I240*K240</f>
        <v>4.545454545454545</v>
      </c>
      <c r="P240" s="22"/>
    </row>
    <row r="241" spans="1:16" ht="15">
      <c r="A241" s="13" t="s">
        <v>292</v>
      </c>
      <c r="B241" s="27" t="s">
        <v>21</v>
      </c>
      <c r="C241" s="13" t="s">
        <v>33</v>
      </c>
      <c r="D241" s="13">
        <v>219</v>
      </c>
      <c r="E241" s="13"/>
      <c r="F241" s="13" t="s">
        <v>12</v>
      </c>
      <c r="G241" s="569">
        <f t="shared" si="68" ref="G241">2.2*2</f>
        <v>4.4000000000000004</v>
      </c>
      <c r="H241" s="440">
        <v>10</v>
      </c>
      <c r="I241" s="28">
        <v>2</v>
      </c>
      <c r="J241" s="441">
        <f t="shared" si="64"/>
        <v>4.545454545454545</v>
      </c>
      <c r="K241" s="28">
        <v>1</v>
      </c>
      <c r="L241" s="267">
        <f t="shared" si="65"/>
        <v>4.545454545454545</v>
      </c>
      <c r="M241" s="433">
        <f t="shared" si="66"/>
        <v>754.5454545454545</v>
      </c>
      <c r="N241" s="434">
        <v>166</v>
      </c>
      <c r="O241" s="435">
        <f t="shared" si="67"/>
        <v>2.2727272727272725</v>
      </c>
      <c r="P241" s="22"/>
    </row>
  </sheetData>
  <autoFilter ref="A4:P184"/>
  <mergeCells count="83">
    <mergeCell ref="B218:D218"/>
    <mergeCell ref="B212:D212"/>
    <mergeCell ref="B213:D213"/>
    <mergeCell ref="A214:A215"/>
    <mergeCell ref="B214:B215"/>
    <mergeCell ref="B217:D217"/>
    <mergeCell ref="B202:D202"/>
    <mergeCell ref="B203:D203"/>
    <mergeCell ref="A200:A201"/>
    <mergeCell ref="B200:B201"/>
    <mergeCell ref="B160:K160"/>
    <mergeCell ref="E78:E80"/>
    <mergeCell ref="A131:A132"/>
    <mergeCell ref="B131:B132"/>
    <mergeCell ref="A83:A84"/>
    <mergeCell ref="B83:B84"/>
    <mergeCell ref="B111:K111"/>
    <mergeCell ref="A118:A119"/>
    <mergeCell ref="B118:B119"/>
    <mergeCell ref="B87:K87"/>
    <mergeCell ref="A88:A90"/>
    <mergeCell ref="B88:B90"/>
    <mergeCell ref="B100:K100"/>
    <mergeCell ref="B107:K107"/>
    <mergeCell ref="B62:K62"/>
    <mergeCell ref="A66:A67"/>
    <mergeCell ref="B66:B67"/>
    <mergeCell ref="A50:A53"/>
    <mergeCell ref="B50:B53"/>
    <mergeCell ref="A63:A65"/>
    <mergeCell ref="B63:B65"/>
    <mergeCell ref="E69:E70"/>
    <mergeCell ref="E71:E72"/>
    <mergeCell ref="A73:A76"/>
    <mergeCell ref="B73:B76"/>
    <mergeCell ref="E73:E74"/>
    <mergeCell ref="E75:E76"/>
    <mergeCell ref="E35:E37"/>
    <mergeCell ref="B44:B45"/>
    <mergeCell ref="E44:E45"/>
    <mergeCell ref="A46:A48"/>
    <mergeCell ref="B46:B48"/>
    <mergeCell ref="E46:E48"/>
    <mergeCell ref="A35:A37"/>
    <mergeCell ref="B35:B37"/>
    <mergeCell ref="A38:A41"/>
    <mergeCell ref="B38:B41"/>
    <mergeCell ref="A44:A45"/>
    <mergeCell ref="A24:A26"/>
    <mergeCell ref="B24:B26"/>
    <mergeCell ref="E24:E26"/>
    <mergeCell ref="A33:A34"/>
    <mergeCell ref="B33:B34"/>
    <mergeCell ref="E33:E34"/>
    <mergeCell ref="B5:K5"/>
    <mergeCell ref="B17:K17"/>
    <mergeCell ref="A18:A20"/>
    <mergeCell ref="B18:B20"/>
    <mergeCell ref="A22:A23"/>
    <mergeCell ref="B22:B23"/>
    <mergeCell ref="E22:E23"/>
    <mergeCell ref="A222:A224"/>
    <mergeCell ref="B222:B224"/>
    <mergeCell ref="B220:D220"/>
    <mergeCell ref="B221:D221"/>
    <mergeCell ref="A69:A72"/>
    <mergeCell ref="B69:B72"/>
    <mergeCell ref="A77:A80"/>
    <mergeCell ref="B77:B80"/>
    <mergeCell ref="B197:D197"/>
    <mergeCell ref="B198:D198"/>
    <mergeCell ref="A133:A135"/>
    <mergeCell ref="B133:B135"/>
    <mergeCell ref="A136:A137"/>
    <mergeCell ref="B136:B137"/>
    <mergeCell ref="A157:A158"/>
    <mergeCell ref="B157:B158"/>
    <mergeCell ref="B238:D238"/>
    <mergeCell ref="B239:D239"/>
    <mergeCell ref="B234:D234"/>
    <mergeCell ref="B235:D235"/>
    <mergeCell ref="B226:D226"/>
    <mergeCell ref="B227:D227"/>
  </mergeCells>
  <pageMargins left="0.7" right="0.7" top="0.75" bottom="0.75" header="0.3" footer="0.3"/>
  <pageSetup orientation="portrait" paperSize="9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276"/>
  <sheetViews>
    <sheetView zoomScale="80" zoomScaleNormal="80" workbookViewId="0" topLeftCell="A1">
      <pane ySplit="4" topLeftCell="A34" activePane="bottomLeft" state="frozen"/>
      <selection pane="topLeft" activeCell="A1" sqref="A1"/>
      <selection pane="bottomLeft" activeCell="C50" sqref="A50:XFD53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3.285714285714285" style="268" customWidth="1"/>
    <col min="4" max="4" width="22.571428571428573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44508</v>
      </c>
    </row>
    <row r="2" spans="2:9" ht="31.5">
      <c r="B2" s="492" t="s">
        <v>1109</v>
      </c>
      <c r="F2" s="429" t="s">
        <v>22</v>
      </c>
      <c r="G2" s="268">
        <f>2466/1000</f>
        <v>2.4660000000000002</v>
      </c>
      <c r="H2" s="427" t="s">
        <v>23</v>
      </c>
      <c r="I2" s="268" t="s">
        <v>23</v>
      </c>
    </row>
    <row r="3" spans="2:5" ht="15.75">
      <c r="B3" s="493" t="s">
        <v>1014</v>
      </c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SUM(M6:M16)</f>
        <v>704.61599999999987</v>
      </c>
      <c r="N5" s="263"/>
      <c r="O5" s="264">
        <f>SUM(O6:O16)</f>
        <v>4.0034999999999998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6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18</v>
      </c>
      <c r="L6" s="465">
        <f t="shared" si="1" ref="L6:L16">J6*K6</f>
        <v>0.35099999999999998</v>
      </c>
      <c r="M6" s="466">
        <f t="shared" si="2" ref="M6:M16">L6*N6</f>
        <v>61.775999999999996</v>
      </c>
      <c r="N6" s="466">
        <v>176</v>
      </c>
      <c r="O6" s="456">
        <f t="shared" si="3" ref="O6:O16">J6/I6*K6</f>
        <v>0.35099999999999998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3</v>
      </c>
      <c r="L9" s="465">
        <f t="shared" si="1"/>
        <v>0.051500000000000004</v>
      </c>
      <c r="M9" s="466">
        <f t="shared" si="2"/>
        <v>9.0640000000000001</v>
      </c>
      <c r="N9" s="466">
        <v>176</v>
      </c>
      <c r="O9" s="456">
        <f t="shared" si="3"/>
        <v>0.051500000000000004</v>
      </c>
    </row>
    <row r="10" spans="1:15" s="457" customFormat="1" ht="15">
      <c r="A10" s="459" t="s">
        <v>839</v>
      </c>
      <c r="B10" s="494" t="s">
        <v>957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88.888888888888886</v>
      </c>
      <c r="H10" s="462">
        <v>10</v>
      </c>
      <c r="I10" s="463">
        <v>1</v>
      </c>
      <c r="J10" s="464">
        <f>6.75/60</f>
        <v>0.1125</v>
      </c>
      <c r="K10" s="461">
        <v>2</v>
      </c>
      <c r="L10" s="465">
        <f t="shared" si="1"/>
        <v>0.225</v>
      </c>
      <c r="M10" s="466">
        <f t="shared" si="2"/>
        <v>39.60</v>
      </c>
      <c r="N10" s="466">
        <v>176</v>
      </c>
      <c r="O10" s="456">
        <f t="shared" si="3"/>
        <v>0.225</v>
      </c>
    </row>
    <row r="11" spans="1:15" s="457" customFormat="1" ht="15">
      <c r="A11" s="459" t="s">
        <v>840</v>
      </c>
      <c r="B11" s="494" t="s">
        <v>857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322.58064516129036</v>
      </c>
      <c r="H11" s="462">
        <v>10</v>
      </c>
      <c r="I11" s="463">
        <v>1</v>
      </c>
      <c r="J11" s="464">
        <f>1.86/60</f>
        <v>0.030999999999999996</v>
      </c>
      <c r="K11" s="461">
        <v>1</v>
      </c>
      <c r="L11" s="465">
        <f t="shared" si="1"/>
        <v>0.030999999999999996</v>
      </c>
      <c r="M11" s="466">
        <f t="shared" si="2"/>
        <v>5.4559999999999995</v>
      </c>
      <c r="N11" s="466">
        <v>176</v>
      </c>
      <c r="O11" s="456">
        <f t="shared" si="3"/>
        <v>0.030999999999999996</v>
      </c>
    </row>
    <row r="12" spans="1:15" s="457" customFormat="1" ht="15">
      <c r="A12" s="459" t="s">
        <v>841</v>
      </c>
      <c r="B12" s="494" t="s">
        <v>959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287.08133971291863</v>
      </c>
      <c r="H12" s="462">
        <v>10</v>
      </c>
      <c r="I12" s="463">
        <v>1</v>
      </c>
      <c r="J12" s="464">
        <f>2.09/60</f>
        <v>0.034833333333333334</v>
      </c>
      <c r="K12" s="461">
        <v>6</v>
      </c>
      <c r="L12" s="465">
        <f t="shared" si="1"/>
        <v>0.20900000000000002</v>
      </c>
      <c r="M12" s="466">
        <f t="shared" si="2"/>
        <v>36.784000000000006</v>
      </c>
      <c r="N12" s="466">
        <v>176</v>
      </c>
      <c r="O12" s="456">
        <f t="shared" si="3"/>
        <v>0.20900000000000002</v>
      </c>
    </row>
    <row r="13" spans="1:15" s="457" customFormat="1" ht="15">
      <c r="A13" s="459" t="s">
        <v>842</v>
      </c>
      <c r="B13" s="494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0.038833333333333338</v>
      </c>
      <c r="K13" s="461">
        <v>66</v>
      </c>
      <c r="L13" s="465">
        <f t="shared" si="1"/>
        <v>2.5630000000000002</v>
      </c>
      <c r="M13" s="466">
        <f t="shared" si="2"/>
        <v>451.08800000000002</v>
      </c>
      <c r="N13" s="466">
        <v>176</v>
      </c>
      <c r="O13" s="456">
        <f t="shared" si="3"/>
        <v>2.5630000000000002</v>
      </c>
    </row>
    <row r="14" spans="1:15" s="457" customFormat="1" ht="15">
      <c r="A14" s="459" t="s">
        <v>843</v>
      </c>
      <c r="B14" s="494" t="s">
        <v>854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631.57894736842115</v>
      </c>
      <c r="H14" s="462">
        <v>10</v>
      </c>
      <c r="I14" s="463">
        <v>1</v>
      </c>
      <c r="J14" s="464">
        <f>0.95/60</f>
        <v>0.015833333333333331</v>
      </c>
      <c r="K14" s="461">
        <v>8</v>
      </c>
      <c r="L14" s="465">
        <f t="shared" si="1"/>
        <v>0.12666666666666665</v>
      </c>
      <c r="M14" s="466">
        <f t="shared" si="2"/>
        <v>22.293333333333329</v>
      </c>
      <c r="N14" s="466">
        <v>176</v>
      </c>
      <c r="O14" s="456">
        <f t="shared" si="3"/>
        <v>0.12666666666666665</v>
      </c>
    </row>
    <row r="15" spans="1:15" s="457" customFormat="1" ht="15">
      <c r="A15" s="459" t="s">
        <v>844</v>
      </c>
      <c r="B15" s="494" t="s">
        <v>855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454.5454545454545</v>
      </c>
      <c r="H15" s="462">
        <v>10</v>
      </c>
      <c r="I15" s="463">
        <v>1</v>
      </c>
      <c r="J15" s="464">
        <f>1.32/60</f>
        <v>0.022000000000000002</v>
      </c>
      <c r="K15" s="461">
        <v>6</v>
      </c>
      <c r="L15" s="465">
        <f t="shared" si="1"/>
        <v>0.13200000000000001</v>
      </c>
      <c r="M15" s="466">
        <f t="shared" si="2"/>
        <v>23.231999999999999</v>
      </c>
      <c r="N15" s="466">
        <v>176</v>
      </c>
      <c r="O15" s="456">
        <f t="shared" si="3"/>
        <v>0.13200000000000001</v>
      </c>
    </row>
    <row r="16" spans="1:15" s="457" customFormat="1" ht="15">
      <c r="A16" s="459" t="s">
        <v>845</v>
      </c>
      <c r="B16" s="494" t="s">
        <v>960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179.1044776119403</v>
      </c>
      <c r="H16" s="462">
        <v>10</v>
      </c>
      <c r="I16" s="463">
        <v>1</v>
      </c>
      <c r="J16" s="464">
        <f>3.35/60</f>
        <v>0.055833333333333332</v>
      </c>
      <c r="K16" s="461">
        <v>2</v>
      </c>
      <c r="L16" s="465">
        <f t="shared" si="1"/>
        <v>0.11166666666666666</v>
      </c>
      <c r="M16" s="466">
        <f t="shared" si="2"/>
        <v>19.653333333333332</v>
      </c>
      <c r="N16" s="466">
        <v>176</v>
      </c>
      <c r="O16" s="456">
        <f t="shared" si="3"/>
        <v>0.11166666666666666</v>
      </c>
    </row>
    <row r="17" spans="1:15" ht="15">
      <c r="A17" s="39"/>
      <c r="B17" s="649" t="s">
        <v>130</v>
      </c>
      <c r="C17" s="649"/>
      <c r="D17" s="649"/>
      <c r="E17" s="649"/>
      <c r="F17" s="649"/>
      <c r="G17" s="649"/>
      <c r="H17" s="649"/>
      <c r="I17" s="649"/>
      <c r="J17" s="649"/>
      <c r="K17" s="649"/>
      <c r="L17" s="265"/>
      <c r="M17" s="262">
        <f>SUM(M18:M61)</f>
        <v>7537.2023156451851</v>
      </c>
      <c r="N17" s="430"/>
      <c r="O17" s="264">
        <f>SUM(O18:O61)</f>
        <v>33.889634837330334</v>
      </c>
    </row>
    <row r="18" spans="1:15" ht="15">
      <c r="A18" s="642" t="s">
        <v>601</v>
      </c>
      <c r="B18" s="685" t="s">
        <v>1128</v>
      </c>
      <c r="C18" s="13" t="s">
        <v>1052</v>
      </c>
      <c r="D18" s="13">
        <v>106</v>
      </c>
      <c r="E18" s="13"/>
      <c r="F18" s="13" t="s">
        <v>1053</v>
      </c>
      <c r="G18" s="442">
        <v>20</v>
      </c>
      <c r="H18" s="437">
        <v>10</v>
      </c>
      <c r="I18" s="28">
        <v>2</v>
      </c>
      <c r="J18" s="468">
        <f t="shared" si="4" ref="J18:J20">H18/G18*I18</f>
        <v>1</v>
      </c>
      <c r="K18" s="442">
        <v>1</v>
      </c>
      <c r="L18" s="267">
        <f t="shared" si="5" ref="L18:L61">J18*K18</f>
        <v>1</v>
      </c>
      <c r="M18" s="474">
        <f t="shared" si="6" ref="M18:M20">L18*N18</f>
        <v>200</v>
      </c>
      <c r="N18" s="475">
        <v>200</v>
      </c>
      <c r="O18" s="267">
        <f t="shared" si="7" ref="O18:O20">J18/I18*K18</f>
        <v>0.50</v>
      </c>
    </row>
    <row r="19" spans="1:15" ht="15">
      <c r="A19" s="643"/>
      <c r="B19" s="683"/>
      <c r="C19" s="13" t="s">
        <v>1110</v>
      </c>
      <c r="D19" s="13">
        <v>106</v>
      </c>
      <c r="E19" s="13"/>
      <c r="F19" s="13" t="s">
        <v>10</v>
      </c>
      <c r="G19" s="442">
        <v>40</v>
      </c>
      <c r="H19" s="437">
        <v>10</v>
      </c>
      <c r="I19" s="28">
        <v>1</v>
      </c>
      <c r="J19" s="468">
        <f t="shared" si="4"/>
        <v>0.25</v>
      </c>
      <c r="K19" s="442">
        <f>(1885)/1000</f>
        <v>1.885</v>
      </c>
      <c r="L19" s="267">
        <f t="shared" si="5"/>
        <v>0.47125</v>
      </c>
      <c r="M19" s="266">
        <f t="shared" si="6"/>
        <v>94.25</v>
      </c>
      <c r="N19" s="433">
        <v>200</v>
      </c>
      <c r="O19" s="267">
        <f t="shared" si="7"/>
        <v>0.47125</v>
      </c>
    </row>
    <row r="20" spans="1:15" ht="15">
      <c r="A20" s="644"/>
      <c r="B20" s="684"/>
      <c r="C20" s="13" t="s">
        <v>1111</v>
      </c>
      <c r="D20" s="13">
        <v>106</v>
      </c>
      <c r="E20" s="13" t="s">
        <v>44</v>
      </c>
      <c r="F20" s="13" t="s">
        <v>10</v>
      </c>
      <c r="G20" s="442">
        <v>27</v>
      </c>
      <c r="H20" s="437">
        <v>10</v>
      </c>
      <c r="I20" s="28">
        <v>1</v>
      </c>
      <c r="J20" s="468">
        <f t="shared" si="4"/>
        <v>0.37037037037037035</v>
      </c>
      <c r="K20" s="442">
        <f>(1885*2)/1000+0.2</f>
        <v>3.97</v>
      </c>
      <c r="L20" s="267">
        <f t="shared" si="5"/>
        <v>1.4703703703703703</v>
      </c>
      <c r="M20" s="266">
        <f t="shared" si="6"/>
        <v>294.07407407407408</v>
      </c>
      <c r="N20" s="433">
        <v>200</v>
      </c>
      <c r="O20" s="267">
        <f t="shared" si="7"/>
        <v>1.4703703703703703</v>
      </c>
    </row>
    <row r="21" spans="1:15" s="0" customFormat="1" ht="15">
      <c r="A21" s="58" t="s">
        <v>143</v>
      </c>
      <c r="B21" s="476" t="s">
        <v>144</v>
      </c>
      <c r="C21" s="13" t="s">
        <v>1112</v>
      </c>
      <c r="D21" s="13">
        <v>105</v>
      </c>
      <c r="E21" s="13"/>
      <c r="F21" s="17" t="s">
        <v>353</v>
      </c>
      <c r="G21" s="469">
        <v>15.80</v>
      </c>
      <c r="H21" s="252">
        <v>10</v>
      </c>
      <c r="I21" s="16">
        <v>1</v>
      </c>
      <c r="J21" s="253">
        <f>H21/G21*I21</f>
        <v>0.63291139240506322</v>
      </c>
      <c r="K21" s="52">
        <v>1</v>
      </c>
      <c r="L21" s="26">
        <f t="shared" si="5"/>
        <v>0.63291139240506322</v>
      </c>
      <c r="M21" s="37">
        <f>L21*N21</f>
        <v>126.58227848101265</v>
      </c>
      <c r="N21" s="85">
        <v>200</v>
      </c>
      <c r="O21" s="8">
        <f>J21/I21*K21</f>
        <v>0.63291139240506322</v>
      </c>
    </row>
    <row r="22" spans="1:15" s="0" customFormat="1" ht="15">
      <c r="A22" s="642" t="s">
        <v>146</v>
      </c>
      <c r="B22" s="639" t="s">
        <v>411</v>
      </c>
      <c r="C22" s="13" t="s">
        <v>1113</v>
      </c>
      <c r="D22" s="54">
        <v>109</v>
      </c>
      <c r="E22" s="645" t="s">
        <v>911</v>
      </c>
      <c r="F22" s="17" t="s">
        <v>10</v>
      </c>
      <c r="G22" s="16">
        <v>40</v>
      </c>
      <c r="H22" s="252">
        <v>10</v>
      </c>
      <c r="I22" s="16">
        <v>1</v>
      </c>
      <c r="J22" s="253">
        <f t="shared" si="8" ref="J22:J61">H22/G22*I22</f>
        <v>0.25</v>
      </c>
      <c r="K22" s="260">
        <f>1885/1000+0.1</f>
        <v>1.985</v>
      </c>
      <c r="L22" s="26">
        <f t="shared" si="5"/>
        <v>0.49625</v>
      </c>
      <c r="M22" s="43">
        <f t="shared" si="9" ref="M22:M61">L22*N22</f>
        <v>99.25</v>
      </c>
      <c r="N22" s="85">
        <v>200</v>
      </c>
      <c r="O22" s="8">
        <f t="shared" si="10" ref="O22:O61">J22/I22*K22</f>
        <v>0.49625</v>
      </c>
    </row>
    <row r="23" spans="1:15" s="0" customFormat="1" ht="15">
      <c r="A23" s="644"/>
      <c r="B23" s="641"/>
      <c r="C23" s="13" t="s">
        <v>1114</v>
      </c>
      <c r="D23" s="90">
        <v>109</v>
      </c>
      <c r="E23" s="647"/>
      <c r="F23" s="17" t="s">
        <v>10</v>
      </c>
      <c r="G23" s="16">
        <v>27</v>
      </c>
      <c r="H23" s="252">
        <v>10</v>
      </c>
      <c r="I23" s="16">
        <v>1</v>
      </c>
      <c r="J23" s="253">
        <f t="shared" si="8"/>
        <v>0.37037037037037035</v>
      </c>
      <c r="K23" s="260">
        <f>1885/1000+0.1</f>
        <v>1.985</v>
      </c>
      <c r="L23" s="26">
        <f t="shared" si="5"/>
        <v>0.73518518518518516</v>
      </c>
      <c r="M23" s="43">
        <f t="shared" si="9"/>
        <v>147.03703703703704</v>
      </c>
      <c r="N23" s="85">
        <v>200</v>
      </c>
      <c r="O23" s="8">
        <f t="shared" si="10"/>
        <v>0.73518518518518516</v>
      </c>
    </row>
    <row r="24" spans="1:15" s="0" customFormat="1" ht="15">
      <c r="A24" s="642" t="s">
        <v>148</v>
      </c>
      <c r="B24" s="639" t="s">
        <v>412</v>
      </c>
      <c r="C24" s="13" t="s">
        <v>1115</v>
      </c>
      <c r="D24" s="13">
        <v>107</v>
      </c>
      <c r="E24" s="637" t="s">
        <v>43</v>
      </c>
      <c r="F24" s="17" t="s">
        <v>10</v>
      </c>
      <c r="G24" s="16">
        <v>40</v>
      </c>
      <c r="H24" s="252">
        <v>10</v>
      </c>
      <c r="I24" s="16">
        <v>1</v>
      </c>
      <c r="J24" s="253">
        <f t="shared" si="8"/>
        <v>0.25</v>
      </c>
      <c r="K24" s="30">
        <f>1885/1000+0.1</f>
        <v>1.985</v>
      </c>
      <c r="L24" s="26">
        <f t="shared" si="5"/>
        <v>0.49625</v>
      </c>
      <c r="M24" s="37">
        <f t="shared" si="9"/>
        <v>99.25</v>
      </c>
      <c r="N24" s="85">
        <v>200</v>
      </c>
      <c r="O24" s="8">
        <f t="shared" si="10"/>
        <v>0.49625</v>
      </c>
    </row>
    <row r="25" spans="1:15" s="0" customFormat="1" ht="15">
      <c r="A25" s="643"/>
      <c r="B25" s="640"/>
      <c r="C25" s="13" t="s">
        <v>1116</v>
      </c>
      <c r="D25" s="13">
        <v>107</v>
      </c>
      <c r="E25" s="637"/>
      <c r="F25" s="17" t="s">
        <v>10</v>
      </c>
      <c r="G25" s="16">
        <v>25</v>
      </c>
      <c r="H25" s="252">
        <v>10</v>
      </c>
      <c r="I25" s="16">
        <v>1</v>
      </c>
      <c r="J25" s="253">
        <f t="shared" si="8"/>
        <v>0.40</v>
      </c>
      <c r="K25" s="30">
        <f>1885/1000</f>
        <v>1.885</v>
      </c>
      <c r="L25" s="26">
        <f t="shared" si="5"/>
        <v>0.754</v>
      </c>
      <c r="M25" s="37">
        <f t="shared" si="9"/>
        <v>132.70400000000001</v>
      </c>
      <c r="N25" s="85">
        <v>176</v>
      </c>
      <c r="O25" s="8">
        <f t="shared" si="10"/>
        <v>0.754</v>
      </c>
    </row>
    <row r="26" spans="1:15" s="0" customFormat="1" ht="15">
      <c r="A26" s="644"/>
      <c r="B26" s="641"/>
      <c r="C26" s="13" t="s">
        <v>1117</v>
      </c>
      <c r="D26" s="13">
        <v>107</v>
      </c>
      <c r="E26" s="637"/>
      <c r="F26" s="17" t="s">
        <v>10</v>
      </c>
      <c r="G26" s="16">
        <v>28.50</v>
      </c>
      <c r="H26" s="252">
        <v>10</v>
      </c>
      <c r="I26" s="16">
        <v>1</v>
      </c>
      <c r="J26" s="253">
        <f t="shared" si="8"/>
        <v>0.35087719298245612</v>
      </c>
      <c r="K26" s="30">
        <f>1885/1000+0.1</f>
        <v>1.985</v>
      </c>
      <c r="L26" s="26">
        <f t="shared" si="5"/>
        <v>0.69649122807017538</v>
      </c>
      <c r="M26" s="37">
        <f t="shared" si="9"/>
        <v>139.29824561403507</v>
      </c>
      <c r="N26" s="85">
        <v>200</v>
      </c>
      <c r="O26" s="8">
        <f t="shared" si="10"/>
        <v>0.69649122807017538</v>
      </c>
    </row>
    <row r="27" spans="1:15" s="0" customFormat="1" ht="30">
      <c r="A27" s="58" t="s">
        <v>421</v>
      </c>
      <c r="B27" s="55" t="s">
        <v>149</v>
      </c>
      <c r="C27" s="13" t="s">
        <v>1118</v>
      </c>
      <c r="D27" s="13">
        <v>105</v>
      </c>
      <c r="E27" s="13"/>
      <c r="F27" s="17" t="s">
        <v>353</v>
      </c>
      <c r="G27" s="469">
        <f>15.8/0.65</f>
        <v>24.307692307692307</v>
      </c>
      <c r="H27" s="252">
        <v>10</v>
      </c>
      <c r="I27" s="16">
        <v>1</v>
      </c>
      <c r="J27" s="253">
        <f>H27/G27*I27</f>
        <v>0.41139240506329117</v>
      </c>
      <c r="K27" s="52">
        <v>1</v>
      </c>
      <c r="L27" s="26">
        <f t="shared" si="5"/>
        <v>0.41139240506329117</v>
      </c>
      <c r="M27" s="37">
        <f>L27*N27</f>
        <v>82.278481012658233</v>
      </c>
      <c r="N27" s="85">
        <v>200</v>
      </c>
      <c r="O27" s="8">
        <f>J27/I27*K27</f>
        <v>0.41139240506329117</v>
      </c>
    </row>
    <row r="28" spans="1:15" s="0" customFormat="1" ht="30">
      <c r="A28" s="529" t="s">
        <v>1662</v>
      </c>
      <c r="B28" s="522" t="s">
        <v>1661</v>
      </c>
      <c r="C28" s="523" t="s">
        <v>9</v>
      </c>
      <c r="D28" s="523">
        <v>109</v>
      </c>
      <c r="E28" s="523"/>
      <c r="F28" s="524" t="s">
        <v>10</v>
      </c>
      <c r="G28" s="525">
        <v>33</v>
      </c>
      <c r="H28" s="526">
        <v>10</v>
      </c>
      <c r="I28" s="527">
        <v>1</v>
      </c>
      <c r="J28" s="528">
        <f t="shared" si="11" ref="J28">H28/G28*I28</f>
        <v>0.30303030303030304</v>
      </c>
      <c r="K28" s="525">
        <f>(350*2)/1000</f>
        <v>0.70</v>
      </c>
      <c r="L28" s="267">
        <f t="shared" si="5"/>
        <v>0.21212121212121213</v>
      </c>
      <c r="M28" s="266">
        <f t="shared" si="12" ref="M28">L28*N28</f>
        <v>32.242424242424242</v>
      </c>
      <c r="N28" s="433">
        <v>152</v>
      </c>
      <c r="O28" s="267">
        <f t="shared" si="13" ref="O28">J28/I28*K28</f>
        <v>0.21212121212121213</v>
      </c>
    </row>
    <row r="29" spans="1:15" ht="15">
      <c r="A29" s="57" t="s">
        <v>152</v>
      </c>
      <c r="B29" s="56" t="s">
        <v>153</v>
      </c>
      <c r="C29" s="13" t="s">
        <v>154</v>
      </c>
      <c r="D29" s="13">
        <v>124</v>
      </c>
      <c r="E29" s="13"/>
      <c r="F29" s="13" t="s">
        <v>354</v>
      </c>
      <c r="G29" s="442">
        <v>6.16</v>
      </c>
      <c r="H29" s="440">
        <v>10</v>
      </c>
      <c r="I29" s="28">
        <v>1</v>
      </c>
      <c r="J29" s="441">
        <f t="shared" si="8"/>
        <v>1.6233766233766234</v>
      </c>
      <c r="K29" s="432">
        <v>1</v>
      </c>
      <c r="L29" s="267">
        <f t="shared" si="5"/>
        <v>1.6233766233766234</v>
      </c>
      <c r="M29" s="433">
        <f t="shared" si="9"/>
        <v>324.67532467532465</v>
      </c>
      <c r="N29" s="434">
        <v>200</v>
      </c>
      <c r="O29" s="435">
        <f t="shared" si="10"/>
        <v>1.6233766233766234</v>
      </c>
    </row>
    <row r="30" spans="1:15" ht="30">
      <c r="A30" s="57" t="s">
        <v>155</v>
      </c>
      <c r="B30" s="56" t="s">
        <v>156</v>
      </c>
      <c r="C30" s="13" t="s">
        <v>157</v>
      </c>
      <c r="D30" s="13" t="s">
        <v>1329</v>
      </c>
      <c r="E30" s="13"/>
      <c r="F30" s="13" t="s">
        <v>354</v>
      </c>
      <c r="G30" s="442">
        <v>4.93</v>
      </c>
      <c r="H30" s="440">
        <v>10</v>
      </c>
      <c r="I30" s="28">
        <v>1</v>
      </c>
      <c r="J30" s="441">
        <f t="shared" si="8"/>
        <v>2.028397565922921</v>
      </c>
      <c r="K30" s="432">
        <v>1</v>
      </c>
      <c r="L30" s="267">
        <f t="shared" si="5"/>
        <v>2.028397565922921</v>
      </c>
      <c r="M30" s="433">
        <f t="shared" si="9"/>
        <v>405.67951318458421</v>
      </c>
      <c r="N30" s="434">
        <v>200</v>
      </c>
      <c r="O30" s="435">
        <f t="shared" si="10"/>
        <v>2.028397565922921</v>
      </c>
    </row>
    <row r="31" spans="1:15" ht="30">
      <c r="A31" s="57" t="s">
        <v>158</v>
      </c>
      <c r="B31" s="56" t="s">
        <v>159</v>
      </c>
      <c r="C31" s="13" t="s">
        <v>160</v>
      </c>
      <c r="D31" s="13" t="s">
        <v>1331</v>
      </c>
      <c r="E31" s="13" t="s">
        <v>161</v>
      </c>
      <c r="F31" s="13" t="s">
        <v>10</v>
      </c>
      <c r="G31" s="439">
        <v>15.40</v>
      </c>
      <c r="H31" s="440">
        <v>10</v>
      </c>
      <c r="I31" s="28">
        <v>1</v>
      </c>
      <c r="J31" s="441">
        <f t="shared" si="8"/>
        <v>0.64935064935064934</v>
      </c>
      <c r="K31" s="436">
        <f>(61/1000)*3.1415*4</f>
        <v>0.76652600000000004</v>
      </c>
      <c r="L31" s="435">
        <f t="shared" si="5"/>
        <v>0.49774415584415588</v>
      </c>
      <c r="M31" s="266">
        <f t="shared" si="9"/>
        <v>99.548831168831171</v>
      </c>
      <c r="N31" s="433">
        <v>200</v>
      </c>
      <c r="O31" s="435">
        <f t="shared" si="10"/>
        <v>0.49774415584415588</v>
      </c>
    </row>
    <row r="32" spans="1:15" ht="15">
      <c r="A32" s="57" t="s">
        <v>427</v>
      </c>
      <c r="B32" s="56" t="s">
        <v>428</v>
      </c>
      <c r="C32" s="13" t="s">
        <v>24</v>
      </c>
      <c r="D32" s="13">
        <v>110</v>
      </c>
      <c r="E32" s="13"/>
      <c r="F32" s="4" t="s">
        <v>38</v>
      </c>
      <c r="G32" s="442">
        <v>11.44</v>
      </c>
      <c r="H32" s="440">
        <v>10</v>
      </c>
      <c r="I32" s="28">
        <v>2</v>
      </c>
      <c r="J32" s="441">
        <f t="shared" si="8"/>
        <v>1.7482517482517483</v>
      </c>
      <c r="K32" s="28">
        <v>1</v>
      </c>
      <c r="L32" s="267">
        <f t="shared" si="5"/>
        <v>1.7482517482517483</v>
      </c>
      <c r="M32" s="433">
        <f t="shared" si="9"/>
        <v>349.65034965034965</v>
      </c>
      <c r="N32" s="434">
        <v>200</v>
      </c>
      <c r="O32" s="435">
        <f t="shared" si="10"/>
        <v>0.87412587412587417</v>
      </c>
    </row>
    <row r="33" spans="1:15" ht="15">
      <c r="A33" s="637" t="s">
        <v>162</v>
      </c>
      <c r="B33" s="638" t="s">
        <v>429</v>
      </c>
      <c r="C33" s="13" t="s">
        <v>160</v>
      </c>
      <c r="D33" s="13">
        <v>109</v>
      </c>
      <c r="E33" s="637" t="s">
        <v>911</v>
      </c>
      <c r="F33" s="13" t="s">
        <v>10</v>
      </c>
      <c r="G33" s="28">
        <v>40</v>
      </c>
      <c r="H33" s="440">
        <v>10</v>
      </c>
      <c r="I33" s="28">
        <v>1</v>
      </c>
      <c r="J33" s="441">
        <f t="shared" si="8"/>
        <v>0.25</v>
      </c>
      <c r="K33" s="436">
        <f>720/1000*3.1415</f>
        <v>2.2618800000000001</v>
      </c>
      <c r="L33" s="267">
        <f t="shared" si="5"/>
        <v>0.56547000000000003</v>
      </c>
      <c r="M33" s="433">
        <f t="shared" si="9"/>
        <v>113.09400000000001</v>
      </c>
      <c r="N33" s="434">
        <v>200</v>
      </c>
      <c r="O33" s="435">
        <f t="shared" si="10"/>
        <v>0.56547000000000003</v>
      </c>
    </row>
    <row r="34" spans="1:15" ht="15">
      <c r="A34" s="637"/>
      <c r="B34" s="638"/>
      <c r="C34" s="13" t="s">
        <v>9</v>
      </c>
      <c r="D34" s="13">
        <v>109</v>
      </c>
      <c r="E34" s="637"/>
      <c r="F34" s="13" t="s">
        <v>10</v>
      </c>
      <c r="G34" s="28">
        <v>27</v>
      </c>
      <c r="H34" s="440">
        <v>10</v>
      </c>
      <c r="I34" s="28">
        <v>1</v>
      </c>
      <c r="J34" s="441">
        <f t="shared" si="8"/>
        <v>0.37037037037037035</v>
      </c>
      <c r="K34" s="436">
        <f>720/1000*3.1415</f>
        <v>2.2618800000000001</v>
      </c>
      <c r="L34" s="267">
        <f t="shared" si="5"/>
        <v>0.83773333333333333</v>
      </c>
      <c r="M34" s="433">
        <f t="shared" si="9"/>
        <v>167.54666666666665</v>
      </c>
      <c r="N34" s="434">
        <v>200</v>
      </c>
      <c r="O34" s="435">
        <f t="shared" si="10"/>
        <v>0.83773333333333333</v>
      </c>
    </row>
    <row r="35" spans="1:15" ht="15">
      <c r="A35" s="642" t="s">
        <v>430</v>
      </c>
      <c r="B35" s="639" t="s">
        <v>431</v>
      </c>
      <c r="C35" s="13" t="s">
        <v>160</v>
      </c>
      <c r="D35" s="54">
        <v>107</v>
      </c>
      <c r="E35" s="645" t="s">
        <v>43</v>
      </c>
      <c r="F35" s="13" t="s">
        <v>10</v>
      </c>
      <c r="G35" s="28">
        <v>40</v>
      </c>
      <c r="H35" s="440">
        <v>10</v>
      </c>
      <c r="I35" s="28">
        <v>1</v>
      </c>
      <c r="J35" s="441">
        <f t="shared" si="8"/>
        <v>0.25</v>
      </c>
      <c r="K35" s="436">
        <f>720/1000*3.1415</f>
        <v>2.2618800000000001</v>
      </c>
      <c r="L35" s="267">
        <f t="shared" si="5"/>
        <v>0.56547000000000003</v>
      </c>
      <c r="M35" s="433">
        <f t="shared" si="9"/>
        <v>113.09400000000001</v>
      </c>
      <c r="N35" s="434">
        <v>200</v>
      </c>
      <c r="O35" s="435">
        <f t="shared" si="10"/>
        <v>0.56547000000000003</v>
      </c>
    </row>
    <row r="36" spans="1:15" ht="15">
      <c r="A36" s="643"/>
      <c r="B36" s="640"/>
      <c r="C36" s="13" t="s">
        <v>511</v>
      </c>
      <c r="D36" s="274">
        <v>107</v>
      </c>
      <c r="E36" s="646"/>
      <c r="F36" s="13" t="s">
        <v>10</v>
      </c>
      <c r="G36" s="28">
        <v>25</v>
      </c>
      <c r="H36" s="440">
        <v>10</v>
      </c>
      <c r="I36" s="28">
        <v>1</v>
      </c>
      <c r="J36" s="453">
        <f t="shared" si="8"/>
        <v>0.40</v>
      </c>
      <c r="K36" s="436">
        <f>720*3.1415/1000</f>
        <v>2.2618800000000001</v>
      </c>
      <c r="L36" s="267">
        <f t="shared" si="5"/>
        <v>0.90475200000000011</v>
      </c>
      <c r="M36" s="433">
        <f t="shared" si="9"/>
        <v>159.23635200000001</v>
      </c>
      <c r="N36" s="434">
        <v>176</v>
      </c>
      <c r="O36" s="435">
        <f t="shared" si="10"/>
        <v>0.90475200000000011</v>
      </c>
    </row>
    <row r="37" spans="1:15" ht="15">
      <c r="A37" s="644"/>
      <c r="B37" s="641"/>
      <c r="C37" s="13" t="s">
        <v>313</v>
      </c>
      <c r="D37" s="90">
        <v>107</v>
      </c>
      <c r="E37" s="647"/>
      <c r="F37" s="13" t="s">
        <v>10</v>
      </c>
      <c r="G37" s="28">
        <v>28.50</v>
      </c>
      <c r="H37" s="440">
        <v>10</v>
      </c>
      <c r="I37" s="28">
        <v>1</v>
      </c>
      <c r="J37" s="453">
        <f t="shared" si="8"/>
        <v>0.35087719298245612</v>
      </c>
      <c r="K37" s="436">
        <f>720*3.1415/1000</f>
        <v>2.2618800000000001</v>
      </c>
      <c r="L37" s="267">
        <f t="shared" si="5"/>
        <v>0.79364210526315793</v>
      </c>
      <c r="M37" s="433">
        <f t="shared" si="9"/>
        <v>158.72842105263157</v>
      </c>
      <c r="N37" s="434">
        <v>200</v>
      </c>
      <c r="O37" s="435">
        <f t="shared" si="10"/>
        <v>0.79364210526315793</v>
      </c>
    </row>
    <row r="38" spans="1:15" s="0" customFormat="1" ht="15">
      <c r="A38" s="650" t="s">
        <v>163</v>
      </c>
      <c r="B38" s="638" t="s">
        <v>164</v>
      </c>
      <c r="C38" s="13" t="s">
        <v>165</v>
      </c>
      <c r="D38" s="13">
        <v>123</v>
      </c>
      <c r="E38" s="13"/>
      <c r="F38" s="17" t="s">
        <v>973</v>
      </c>
      <c r="G38" s="16">
        <v>11.90</v>
      </c>
      <c r="H38" s="252">
        <v>10</v>
      </c>
      <c r="I38" s="16">
        <v>1</v>
      </c>
      <c r="J38" s="253">
        <f t="shared" si="8"/>
        <v>0.84033613445378152</v>
      </c>
      <c r="K38" s="52">
        <v>1</v>
      </c>
      <c r="L38" s="26">
        <f t="shared" si="5"/>
        <v>0.84033613445378152</v>
      </c>
      <c r="M38" s="43">
        <f t="shared" si="9"/>
        <v>168.0672268907563</v>
      </c>
      <c r="N38" s="85">
        <v>200</v>
      </c>
      <c r="O38" s="8">
        <f t="shared" si="10"/>
        <v>0.84033613445378152</v>
      </c>
    </row>
    <row r="39" spans="1:15" s="0" customFormat="1" ht="15">
      <c r="A39" s="650"/>
      <c r="B39" s="638"/>
      <c r="C39" s="13" t="s">
        <v>166</v>
      </c>
      <c r="D39" s="13">
        <v>123</v>
      </c>
      <c r="E39" s="13"/>
      <c r="F39" s="17" t="s">
        <v>973</v>
      </c>
      <c r="G39" s="16">
        <f>$G$38*2</f>
        <v>23.80</v>
      </c>
      <c r="H39" s="252">
        <v>10</v>
      </c>
      <c r="I39" s="16">
        <v>1</v>
      </c>
      <c r="J39" s="253">
        <f t="shared" si="8"/>
        <v>0.42016806722689076</v>
      </c>
      <c r="K39" s="52">
        <v>1</v>
      </c>
      <c r="L39" s="26">
        <f t="shared" si="5"/>
        <v>0.42016806722689076</v>
      </c>
      <c r="M39" s="43">
        <f t="shared" si="9"/>
        <v>84.033613445378151</v>
      </c>
      <c r="N39" s="85">
        <v>200</v>
      </c>
      <c r="O39" s="8">
        <f t="shared" si="10"/>
        <v>0.42016806722689076</v>
      </c>
    </row>
    <row r="40" spans="1:15" s="0" customFormat="1" ht="15">
      <c r="A40" s="650"/>
      <c r="B40" s="638"/>
      <c r="C40" s="13" t="s">
        <v>167</v>
      </c>
      <c r="D40" s="13">
        <v>112</v>
      </c>
      <c r="E40" s="13"/>
      <c r="F40" s="17" t="s">
        <v>973</v>
      </c>
      <c r="G40" s="16">
        <f>$G$38*2</f>
        <v>23.80</v>
      </c>
      <c r="H40" s="252">
        <v>10</v>
      </c>
      <c r="I40" s="16">
        <v>1</v>
      </c>
      <c r="J40" s="253">
        <f t="shared" si="8"/>
        <v>0.42016806722689076</v>
      </c>
      <c r="K40" s="52">
        <v>1</v>
      </c>
      <c r="L40" s="26">
        <f t="shared" si="5"/>
        <v>0.42016806722689076</v>
      </c>
      <c r="M40" s="43">
        <f t="shared" si="9"/>
        <v>84.033613445378151</v>
      </c>
      <c r="N40" s="85">
        <v>200</v>
      </c>
      <c r="O40" s="8">
        <f t="shared" si="10"/>
        <v>0.42016806722689076</v>
      </c>
    </row>
    <row r="41" spans="1:15" s="0" customFormat="1" ht="15">
      <c r="A41" s="650"/>
      <c r="B41" s="638"/>
      <c r="C41" s="13" t="s">
        <v>168</v>
      </c>
      <c r="D41" s="13" t="s">
        <v>1332</v>
      </c>
      <c r="E41" s="13"/>
      <c r="F41" s="17" t="s">
        <v>973</v>
      </c>
      <c r="G41" s="16">
        <f>$G$38*2</f>
        <v>23.80</v>
      </c>
      <c r="H41" s="252">
        <v>10</v>
      </c>
      <c r="I41" s="16">
        <v>1</v>
      </c>
      <c r="J41" s="253">
        <f t="shared" si="8"/>
        <v>0.42016806722689076</v>
      </c>
      <c r="K41" s="52">
        <v>1</v>
      </c>
      <c r="L41" s="26">
        <f t="shared" si="5"/>
        <v>0.42016806722689076</v>
      </c>
      <c r="M41" s="43">
        <f t="shared" si="9"/>
        <v>73.94957983193278</v>
      </c>
      <c r="N41" s="85">
        <v>176</v>
      </c>
      <c r="O41" s="8">
        <f t="shared" si="10"/>
        <v>0.42016806722689076</v>
      </c>
    </row>
    <row r="42" spans="1:15" s="0" customFormat="1" ht="15">
      <c r="A42" s="57" t="s">
        <v>514</v>
      </c>
      <c r="B42" s="213" t="s">
        <v>974</v>
      </c>
      <c r="C42" s="13" t="s">
        <v>975</v>
      </c>
      <c r="D42" s="13" t="s">
        <v>1332</v>
      </c>
      <c r="E42" s="13"/>
      <c r="F42" s="17" t="s">
        <v>973</v>
      </c>
      <c r="G42" s="16">
        <v>40</v>
      </c>
      <c r="H42" s="252">
        <v>10</v>
      </c>
      <c r="I42" s="16">
        <v>1</v>
      </c>
      <c r="J42" s="253">
        <f t="shared" si="8"/>
        <v>0.25</v>
      </c>
      <c r="K42" s="30">
        <f>822*3.1415/1000</f>
        <v>2.5823130000000001</v>
      </c>
      <c r="L42" s="26">
        <f t="shared" si="5"/>
        <v>0.64557825000000002</v>
      </c>
      <c r="M42" s="43">
        <f t="shared" si="9"/>
        <v>113.62177200000001</v>
      </c>
      <c r="N42" s="85">
        <v>176</v>
      </c>
      <c r="O42" s="8">
        <f t="shared" si="10"/>
        <v>0.64557825000000002</v>
      </c>
    </row>
    <row r="43" spans="1:15" s="0" customFormat="1" ht="15">
      <c r="A43" s="57" t="s">
        <v>432</v>
      </c>
      <c r="B43" s="56" t="s">
        <v>433</v>
      </c>
      <c r="C43" s="13" t="s">
        <v>39</v>
      </c>
      <c r="D43" s="13">
        <v>110</v>
      </c>
      <c r="E43" s="13"/>
      <c r="F43" s="25" t="s">
        <v>170</v>
      </c>
      <c r="G43" s="16">
        <v>7.63</v>
      </c>
      <c r="H43" s="252">
        <v>10</v>
      </c>
      <c r="I43" s="16">
        <v>2</v>
      </c>
      <c r="J43" s="253">
        <f t="shared" si="8"/>
        <v>2.6212319790301444</v>
      </c>
      <c r="K43" s="16">
        <v>1</v>
      </c>
      <c r="L43" s="26">
        <f t="shared" si="5"/>
        <v>2.6212319790301444</v>
      </c>
      <c r="M43" s="43">
        <f t="shared" si="9"/>
        <v>524.24639580602889</v>
      </c>
      <c r="N43" s="43">
        <v>200</v>
      </c>
      <c r="O43" s="8">
        <f t="shared" si="10"/>
        <v>1.3106159895150722</v>
      </c>
    </row>
    <row r="44" spans="1:15" s="0" customFormat="1" ht="15">
      <c r="A44" s="650" t="s">
        <v>169</v>
      </c>
      <c r="B44" s="638" t="s">
        <v>435</v>
      </c>
      <c r="C44" s="13" t="s">
        <v>976</v>
      </c>
      <c r="D44" s="54">
        <v>109</v>
      </c>
      <c r="E44" s="645" t="s">
        <v>44</v>
      </c>
      <c r="F44" s="17" t="s">
        <v>10</v>
      </c>
      <c r="G44" s="16">
        <v>40</v>
      </c>
      <c r="H44" s="252">
        <v>10</v>
      </c>
      <c r="I44" s="16">
        <v>1</v>
      </c>
      <c r="J44" s="253">
        <f t="shared" si="8"/>
        <v>0.25</v>
      </c>
      <c r="K44" s="30">
        <f>720*3.1415/1000</f>
        <v>2.2618800000000001</v>
      </c>
      <c r="L44" s="26">
        <f t="shared" si="5"/>
        <v>0.56547000000000003</v>
      </c>
      <c r="M44" s="43">
        <f t="shared" si="9"/>
        <v>113.09400000000001</v>
      </c>
      <c r="N44" s="43">
        <v>200</v>
      </c>
      <c r="O44" s="8">
        <f t="shared" si="10"/>
        <v>0.56547000000000003</v>
      </c>
    </row>
    <row r="45" spans="1:15" s="0" customFormat="1" ht="15">
      <c r="A45" s="650"/>
      <c r="B45" s="638"/>
      <c r="C45" s="13" t="s">
        <v>977</v>
      </c>
      <c r="D45" s="90">
        <v>109</v>
      </c>
      <c r="E45" s="647"/>
      <c r="F45" s="17" t="s">
        <v>10</v>
      </c>
      <c r="G45" s="16">
        <v>27</v>
      </c>
      <c r="H45" s="252">
        <v>10</v>
      </c>
      <c r="I45" s="16">
        <v>1</v>
      </c>
      <c r="J45" s="253">
        <f t="shared" si="8"/>
        <v>0.37037037037037035</v>
      </c>
      <c r="K45" s="30">
        <f>720*3.1415*2/1000</f>
        <v>4.5237600000000002</v>
      </c>
      <c r="L45" s="26">
        <f t="shared" si="5"/>
        <v>1.6754666666666667</v>
      </c>
      <c r="M45" s="43">
        <f t="shared" si="9"/>
        <v>335.09333333333331</v>
      </c>
      <c r="N45" s="43">
        <v>200</v>
      </c>
      <c r="O45" s="8">
        <f t="shared" si="10"/>
        <v>1.6754666666666667</v>
      </c>
    </row>
    <row r="46" spans="1:15" s="0" customFormat="1" ht="15">
      <c r="A46" s="650" t="s">
        <v>434</v>
      </c>
      <c r="B46" s="638" t="s">
        <v>436</v>
      </c>
      <c r="C46" s="13" t="s">
        <v>976</v>
      </c>
      <c r="D46" s="13">
        <v>107</v>
      </c>
      <c r="E46" s="637" t="s">
        <v>43</v>
      </c>
      <c r="F46" s="17" t="s">
        <v>10</v>
      </c>
      <c r="G46" s="16">
        <v>40</v>
      </c>
      <c r="H46" s="252">
        <v>10</v>
      </c>
      <c r="I46" s="16">
        <v>1</v>
      </c>
      <c r="J46" s="471">
        <f t="shared" si="8"/>
        <v>0.25</v>
      </c>
      <c r="K46" s="30">
        <f>(720*3.1415)/1000</f>
        <v>2.2618800000000001</v>
      </c>
      <c r="L46" s="26">
        <f t="shared" si="5"/>
        <v>0.56547000000000003</v>
      </c>
      <c r="M46" s="43">
        <f t="shared" si="9"/>
        <v>113.09400000000001</v>
      </c>
      <c r="N46" s="85">
        <v>200</v>
      </c>
      <c r="O46" s="8">
        <f t="shared" si="10"/>
        <v>0.56547000000000003</v>
      </c>
    </row>
    <row r="47" spans="1:15" s="0" customFormat="1" ht="15">
      <c r="A47" s="650"/>
      <c r="B47" s="638"/>
      <c r="C47" s="13" t="s">
        <v>978</v>
      </c>
      <c r="D47" s="13">
        <v>107</v>
      </c>
      <c r="E47" s="637"/>
      <c r="F47" s="17" t="s">
        <v>10</v>
      </c>
      <c r="G47" s="16">
        <v>25</v>
      </c>
      <c r="H47" s="252">
        <v>10</v>
      </c>
      <c r="I47" s="16">
        <v>1</v>
      </c>
      <c r="J47" s="471">
        <f t="shared" si="8"/>
        <v>0.40</v>
      </c>
      <c r="K47" s="30">
        <f>(720*3.1415)/1000</f>
        <v>2.2618800000000001</v>
      </c>
      <c r="L47" s="26">
        <f t="shared" si="5"/>
        <v>0.90475200000000011</v>
      </c>
      <c r="M47" s="43">
        <f t="shared" si="9"/>
        <v>159.23635200000001</v>
      </c>
      <c r="N47" s="85">
        <v>176</v>
      </c>
      <c r="O47" s="8">
        <f t="shared" si="10"/>
        <v>0.90475200000000011</v>
      </c>
    </row>
    <row r="48" spans="1:15" s="0" customFormat="1" ht="15">
      <c r="A48" s="650"/>
      <c r="B48" s="638"/>
      <c r="C48" s="13" t="s">
        <v>979</v>
      </c>
      <c r="D48" s="13">
        <v>107</v>
      </c>
      <c r="E48" s="637"/>
      <c r="F48" s="17" t="s">
        <v>10</v>
      </c>
      <c r="G48" s="16">
        <v>28.50</v>
      </c>
      <c r="H48" s="252">
        <v>10</v>
      </c>
      <c r="I48" s="16">
        <v>1</v>
      </c>
      <c r="J48" s="471">
        <f t="shared" si="8"/>
        <v>0.35087719298245612</v>
      </c>
      <c r="K48" s="30">
        <f>(720*3.1415*2)/1000</f>
        <v>4.5237600000000002</v>
      </c>
      <c r="L48" s="26">
        <f t="shared" si="5"/>
        <v>1.5872842105263159</v>
      </c>
      <c r="M48" s="43">
        <f t="shared" si="9"/>
        <v>317.45684210526315</v>
      </c>
      <c r="N48" s="85">
        <v>200</v>
      </c>
      <c r="O48" s="8">
        <f t="shared" si="10"/>
        <v>1.5872842105263159</v>
      </c>
    </row>
    <row r="49" spans="1:15" ht="15">
      <c r="A49" s="57" t="s">
        <v>629</v>
      </c>
      <c r="B49" s="56" t="s">
        <v>1129</v>
      </c>
      <c r="C49" s="13" t="s">
        <v>862</v>
      </c>
      <c r="D49" s="13">
        <v>224</v>
      </c>
      <c r="E49" s="13"/>
      <c r="F49" s="17"/>
      <c r="G49" s="28">
        <f>(600-25)/10</f>
        <v>57.50</v>
      </c>
      <c r="H49" s="440">
        <v>10</v>
      </c>
      <c r="I49" s="28">
        <v>2</v>
      </c>
      <c r="J49" s="441">
        <f t="shared" si="8"/>
        <v>0.34782608695652173</v>
      </c>
      <c r="K49" s="28">
        <v>1</v>
      </c>
      <c r="L49" s="267">
        <f t="shared" si="5"/>
        <v>0.34782608695652173</v>
      </c>
      <c r="M49" s="433">
        <f t="shared" si="9"/>
        <v>69.565217391304344</v>
      </c>
      <c r="N49" s="434">
        <v>200</v>
      </c>
      <c r="O49" s="435">
        <f t="shared" si="10"/>
        <v>0.17391304347826086</v>
      </c>
    </row>
    <row r="50" spans="1:15" s="0" customFormat="1" ht="15">
      <c r="A50" s="637" t="s">
        <v>172</v>
      </c>
      <c r="B50" s="638" t="s">
        <v>121</v>
      </c>
      <c r="C50" s="13" t="s">
        <v>24</v>
      </c>
      <c r="D50" s="13">
        <v>110</v>
      </c>
      <c r="E50" s="13"/>
      <c r="F50" s="25" t="s">
        <v>173</v>
      </c>
      <c r="G50" s="30">
        <v>14.88</v>
      </c>
      <c r="H50" s="252">
        <v>10</v>
      </c>
      <c r="I50" s="16">
        <v>2</v>
      </c>
      <c r="J50" s="253">
        <f t="shared" si="8"/>
        <v>1.3440860215053763</v>
      </c>
      <c r="K50" s="16">
        <v>1</v>
      </c>
      <c r="L50" s="26">
        <f t="shared" si="5"/>
        <v>1.3440860215053763</v>
      </c>
      <c r="M50" s="43">
        <f t="shared" si="9"/>
        <v>268.81720430107526</v>
      </c>
      <c r="N50" s="43">
        <v>200</v>
      </c>
      <c r="O50" s="8">
        <f t="shared" si="10"/>
        <v>0.67204301075268813</v>
      </c>
    </row>
    <row r="51" spans="1:15" s="0" customFormat="1" ht="15">
      <c r="A51" s="637"/>
      <c r="B51" s="638"/>
      <c r="C51" s="13" t="s">
        <v>25</v>
      </c>
      <c r="D51" s="13">
        <v>110</v>
      </c>
      <c r="E51" s="13" t="s">
        <v>122</v>
      </c>
      <c r="F51" s="25" t="s">
        <v>10</v>
      </c>
      <c r="G51" s="16">
        <v>40</v>
      </c>
      <c r="H51" s="252">
        <v>10</v>
      </c>
      <c r="I51" s="16">
        <v>1</v>
      </c>
      <c r="J51" s="253">
        <f t="shared" si="8"/>
        <v>0.25</v>
      </c>
      <c r="K51" s="30">
        <f>822*3.1415*2/1000</f>
        <v>5.1646260000000002</v>
      </c>
      <c r="L51" s="26">
        <f t="shared" si="5"/>
        <v>1.2911565</v>
      </c>
      <c r="M51" s="42">
        <f t="shared" si="9"/>
        <v>258.23130000000003</v>
      </c>
      <c r="N51" s="43">
        <v>200</v>
      </c>
      <c r="O51" s="8">
        <f t="shared" si="10"/>
        <v>1.2911565</v>
      </c>
    </row>
    <row r="52" spans="1:15" s="0" customFormat="1" ht="15">
      <c r="A52" s="637"/>
      <c r="B52" s="638"/>
      <c r="C52" s="13" t="s">
        <v>981</v>
      </c>
      <c r="D52" s="13">
        <v>110</v>
      </c>
      <c r="E52" s="13"/>
      <c r="F52" s="25" t="s">
        <v>10</v>
      </c>
      <c r="G52" s="16">
        <v>25</v>
      </c>
      <c r="H52" s="252">
        <v>10</v>
      </c>
      <c r="I52" s="16">
        <v>1</v>
      </c>
      <c r="J52" s="253">
        <f t="shared" si="8"/>
        <v>0.40</v>
      </c>
      <c r="K52" s="30">
        <f>822*3.1415/1000</f>
        <v>2.5823130000000001</v>
      </c>
      <c r="L52" s="26">
        <f t="shared" si="5"/>
        <v>1.0329252</v>
      </c>
      <c r="M52" s="42">
        <f t="shared" si="9"/>
        <v>181.79483519999999</v>
      </c>
      <c r="N52" s="43">
        <v>176</v>
      </c>
      <c r="O52" s="8">
        <f t="shared" si="10"/>
        <v>1.0329252</v>
      </c>
    </row>
    <row r="53" spans="1:15" s="0" customFormat="1" ht="15">
      <c r="A53" s="637"/>
      <c r="B53" s="638"/>
      <c r="C53" s="13" t="s">
        <v>1015</v>
      </c>
      <c r="D53" s="13">
        <v>110</v>
      </c>
      <c r="E53" s="13"/>
      <c r="F53" s="4" t="s">
        <v>10</v>
      </c>
      <c r="G53" s="28">
        <v>25</v>
      </c>
      <c r="H53" s="437">
        <v>10</v>
      </c>
      <c r="I53" s="28">
        <v>1</v>
      </c>
      <c r="J53" s="438">
        <f t="shared" si="8"/>
        <v>0.40</v>
      </c>
      <c r="K53" s="436">
        <f>822*3.1415/1000</f>
        <v>2.5823130000000001</v>
      </c>
      <c r="L53" s="435">
        <f t="shared" si="5"/>
        <v>1.0329252</v>
      </c>
      <c r="M53" s="266">
        <f t="shared" si="9"/>
        <v>181.79483519999999</v>
      </c>
      <c r="N53" s="433">
        <v>176</v>
      </c>
      <c r="O53" s="435">
        <f t="shared" si="10"/>
        <v>1.0329252</v>
      </c>
    </row>
    <row r="54" spans="1:15" ht="15">
      <c r="A54" s="57" t="s">
        <v>1285</v>
      </c>
      <c r="B54" s="56" t="s">
        <v>1367</v>
      </c>
      <c r="C54" s="13" t="s">
        <v>1324</v>
      </c>
      <c r="D54" s="13">
        <v>105</v>
      </c>
      <c r="E54" s="13"/>
      <c r="F54" s="13" t="s">
        <v>353</v>
      </c>
      <c r="G54" s="442">
        <v>18.10</v>
      </c>
      <c r="H54" s="440">
        <v>10</v>
      </c>
      <c r="I54" s="28">
        <v>1</v>
      </c>
      <c r="J54" s="441">
        <f t="shared" si="8"/>
        <v>0.55248618784530379</v>
      </c>
      <c r="K54" s="432">
        <v>1</v>
      </c>
      <c r="L54" s="435">
        <f t="shared" si="5"/>
        <v>0.55248618784530379</v>
      </c>
      <c r="M54" s="266">
        <f t="shared" si="9"/>
        <v>110.49723756906076</v>
      </c>
      <c r="N54" s="433">
        <v>200</v>
      </c>
      <c r="O54" s="435">
        <f t="shared" si="10"/>
        <v>0.55248618784530379</v>
      </c>
    </row>
    <row r="55" spans="1:15" ht="15">
      <c r="A55" s="57" t="s">
        <v>648</v>
      </c>
      <c r="B55" s="499" t="s">
        <v>1366</v>
      </c>
      <c r="C55" s="13" t="s">
        <v>1325</v>
      </c>
      <c r="D55" s="13">
        <v>108</v>
      </c>
      <c r="E55" s="13"/>
      <c r="F55" s="13" t="s">
        <v>10</v>
      </c>
      <c r="G55" s="28">
        <v>40</v>
      </c>
      <c r="H55" s="440">
        <v>10</v>
      </c>
      <c r="I55" s="28">
        <v>1</v>
      </c>
      <c r="J55" s="453">
        <f t="shared" si="8"/>
        <v>0.25</v>
      </c>
      <c r="K55" s="436">
        <f>196*2/1000</f>
        <v>0.39200000000000002</v>
      </c>
      <c r="L55" s="267">
        <f t="shared" si="5"/>
        <v>0.098000000000000004</v>
      </c>
      <c r="M55" s="433">
        <f t="shared" si="9"/>
        <v>19.60</v>
      </c>
      <c r="N55" s="434">
        <v>200</v>
      </c>
      <c r="O55" s="435">
        <f t="shared" si="10"/>
        <v>0.098000000000000004</v>
      </c>
    </row>
    <row r="56" spans="1:15" ht="15">
      <c r="A56" s="57" t="s">
        <v>1288</v>
      </c>
      <c r="B56" s="56" t="s">
        <v>1368</v>
      </c>
      <c r="C56" s="13" t="s">
        <v>1324</v>
      </c>
      <c r="D56" s="13">
        <v>105</v>
      </c>
      <c r="E56" s="13"/>
      <c r="F56" s="13" t="s">
        <v>353</v>
      </c>
      <c r="G56" s="442">
        <f>18.1/0.65</f>
        <v>27.846153846153847</v>
      </c>
      <c r="H56" s="440">
        <v>10</v>
      </c>
      <c r="I56" s="28">
        <v>1</v>
      </c>
      <c r="J56" s="441">
        <f t="shared" si="8"/>
        <v>0.35911602209944748</v>
      </c>
      <c r="K56" s="432">
        <v>1</v>
      </c>
      <c r="L56" s="435">
        <f t="shared" si="5"/>
        <v>0.35911602209944748</v>
      </c>
      <c r="M56" s="266">
        <f t="shared" si="9"/>
        <v>71.823204419889493</v>
      </c>
      <c r="N56" s="433">
        <v>200</v>
      </c>
      <c r="O56" s="435">
        <f t="shared" si="10"/>
        <v>0.35911602209944748</v>
      </c>
    </row>
    <row r="57" spans="1:15" ht="15">
      <c r="A57" s="57" t="s">
        <v>176</v>
      </c>
      <c r="B57" s="56" t="s">
        <v>1467</v>
      </c>
      <c r="C57" s="13" t="s">
        <v>154</v>
      </c>
      <c r="D57" s="13">
        <v>124</v>
      </c>
      <c r="E57" s="13"/>
      <c r="F57" s="13" t="s">
        <v>354</v>
      </c>
      <c r="G57" s="442">
        <v>13</v>
      </c>
      <c r="H57" s="440">
        <v>10</v>
      </c>
      <c r="I57" s="28">
        <v>1</v>
      </c>
      <c r="J57" s="441">
        <f t="shared" si="8"/>
        <v>0.76923076923076927</v>
      </c>
      <c r="K57" s="432">
        <v>1</v>
      </c>
      <c r="L57" s="267">
        <f t="shared" si="5"/>
        <v>0.76923076923076927</v>
      </c>
      <c r="M57" s="433">
        <f t="shared" si="9"/>
        <v>153.84615384615387</v>
      </c>
      <c r="N57" s="434">
        <v>200</v>
      </c>
      <c r="O57" s="435">
        <f t="shared" si="10"/>
        <v>0.76923076923076927</v>
      </c>
    </row>
    <row r="58" spans="1:15" ht="30">
      <c r="A58" s="57" t="s">
        <v>1289</v>
      </c>
      <c r="B58" s="56" t="s">
        <v>1468</v>
      </c>
      <c r="C58" s="13" t="s">
        <v>24</v>
      </c>
      <c r="D58" s="13">
        <v>117</v>
      </c>
      <c r="E58" s="13"/>
      <c r="F58" s="4" t="s">
        <v>38</v>
      </c>
      <c r="G58" s="442">
        <v>20</v>
      </c>
      <c r="H58" s="440">
        <v>10</v>
      </c>
      <c r="I58" s="28">
        <v>2</v>
      </c>
      <c r="J58" s="441">
        <f t="shared" si="8"/>
        <v>1</v>
      </c>
      <c r="K58" s="28">
        <v>1</v>
      </c>
      <c r="L58" s="267">
        <f t="shared" si="5"/>
        <v>1</v>
      </c>
      <c r="M58" s="433">
        <f t="shared" si="9"/>
        <v>200</v>
      </c>
      <c r="N58" s="434">
        <v>200</v>
      </c>
      <c r="O58" s="435">
        <f t="shared" si="10"/>
        <v>0.50</v>
      </c>
    </row>
    <row r="59" spans="1:15" ht="30">
      <c r="A59" s="13" t="s">
        <v>1290</v>
      </c>
      <c r="B59" s="56" t="s">
        <v>1469</v>
      </c>
      <c r="C59" s="13" t="s">
        <v>160</v>
      </c>
      <c r="D59" s="13">
        <v>117</v>
      </c>
      <c r="E59" s="13" t="s">
        <v>869</v>
      </c>
      <c r="F59" s="13" t="s">
        <v>10</v>
      </c>
      <c r="G59" s="28">
        <v>40</v>
      </c>
      <c r="H59" s="440">
        <v>10</v>
      </c>
      <c r="I59" s="28">
        <v>1</v>
      </c>
      <c r="J59" s="441">
        <f t="shared" si="8"/>
        <v>0.25</v>
      </c>
      <c r="K59" s="436">
        <f>624*3.1415*2/1000</f>
        <v>3.9205920000000001</v>
      </c>
      <c r="L59" s="267">
        <f t="shared" si="5"/>
        <v>0.98014800000000002</v>
      </c>
      <c r="M59" s="433">
        <f t="shared" si="9"/>
        <v>196.02960000000002</v>
      </c>
      <c r="N59" s="434">
        <v>200</v>
      </c>
      <c r="O59" s="435">
        <f t="shared" si="10"/>
        <v>0.98014800000000002</v>
      </c>
    </row>
    <row r="60" spans="1:15" ht="30">
      <c r="A60" s="57" t="s">
        <v>1291</v>
      </c>
      <c r="B60" s="56" t="s">
        <v>1369</v>
      </c>
      <c r="C60" s="13" t="s">
        <v>24</v>
      </c>
      <c r="D60" s="13">
        <v>110</v>
      </c>
      <c r="E60" s="13"/>
      <c r="F60" s="4" t="s">
        <v>38</v>
      </c>
      <c r="G60" s="442">
        <v>20</v>
      </c>
      <c r="H60" s="440">
        <v>10</v>
      </c>
      <c r="I60" s="28">
        <v>2</v>
      </c>
      <c r="J60" s="441">
        <f t="shared" si="8"/>
        <v>1</v>
      </c>
      <c r="K60" s="28">
        <v>1</v>
      </c>
      <c r="L60" s="267">
        <f t="shared" si="5"/>
        <v>1</v>
      </c>
      <c r="M60" s="433">
        <f t="shared" si="9"/>
        <v>200</v>
      </c>
      <c r="N60" s="434">
        <v>200</v>
      </c>
      <c r="O60" s="435">
        <f t="shared" si="10"/>
        <v>0.50</v>
      </c>
    </row>
    <row r="61" spans="1:15" ht="30">
      <c r="A61" s="13" t="s">
        <v>177</v>
      </c>
      <c r="B61" s="56" t="s">
        <v>1370</v>
      </c>
      <c r="C61" s="13" t="s">
        <v>160</v>
      </c>
      <c r="D61" s="13">
        <v>110</v>
      </c>
      <c r="E61" s="13" t="s">
        <v>869</v>
      </c>
      <c r="F61" s="13" t="s">
        <v>10</v>
      </c>
      <c r="G61" s="28">
        <v>40</v>
      </c>
      <c r="H61" s="440">
        <v>10</v>
      </c>
      <c r="I61" s="28">
        <v>1</v>
      </c>
      <c r="J61" s="441">
        <f t="shared" si="8"/>
        <v>0.25</v>
      </c>
      <c r="K61" s="436">
        <f>640*3.1415*2/1000</f>
        <v>4.0211200000000007</v>
      </c>
      <c r="L61" s="267">
        <f t="shared" si="5"/>
        <v>1.0052800000000002</v>
      </c>
      <c r="M61" s="433">
        <f t="shared" si="9"/>
        <v>201.05600000000004</v>
      </c>
      <c r="N61" s="434">
        <v>200</v>
      </c>
      <c r="O61" s="435">
        <f t="shared" si="10"/>
        <v>1.0052800000000002</v>
      </c>
    </row>
    <row r="62" spans="1:15" ht="15">
      <c r="A62" s="39"/>
      <c r="B62" s="649" t="s">
        <v>131</v>
      </c>
      <c r="C62" s="649"/>
      <c r="D62" s="649"/>
      <c r="E62" s="649"/>
      <c r="F62" s="649"/>
      <c r="G62" s="649"/>
      <c r="H62" s="649"/>
      <c r="I62" s="649"/>
      <c r="J62" s="649"/>
      <c r="K62" s="649"/>
      <c r="L62" s="267"/>
      <c r="M62" s="262">
        <f>SUM(M63:M86)</f>
        <v>5561.6542056563176</v>
      </c>
      <c r="N62" s="263"/>
      <c r="O62" s="518">
        <f>SUM(O66:O86)</f>
        <v>20.653915242445251</v>
      </c>
    </row>
    <row r="63" spans="1:15" s="0" customFormat="1" ht="15">
      <c r="A63" s="642" t="s">
        <v>651</v>
      </c>
      <c r="B63" s="639" t="s">
        <v>1051</v>
      </c>
      <c r="C63" s="13" t="s">
        <v>1052</v>
      </c>
      <c r="D63" s="13">
        <v>106</v>
      </c>
      <c r="E63" s="13"/>
      <c r="F63" s="13" t="s">
        <v>1053</v>
      </c>
      <c r="G63" s="442">
        <v>20</v>
      </c>
      <c r="H63" s="437">
        <v>10</v>
      </c>
      <c r="I63" s="28">
        <v>2</v>
      </c>
      <c r="J63" s="438">
        <f t="shared" si="14" ref="J63:J65">H63/G63*I63</f>
        <v>1</v>
      </c>
      <c r="K63" s="442">
        <v>1</v>
      </c>
      <c r="L63" s="267">
        <f t="shared" si="15" ref="L63:L65">J63*K63</f>
        <v>1</v>
      </c>
      <c r="M63" s="433">
        <f>L63*N63</f>
        <v>200</v>
      </c>
      <c r="N63" s="478">
        <v>200</v>
      </c>
      <c r="O63" s="267">
        <f t="shared" si="16" ref="O63:O65">J63/I63*K63</f>
        <v>0.50</v>
      </c>
    </row>
    <row r="64" spans="1:15" ht="15">
      <c r="A64" s="643"/>
      <c r="B64" s="640"/>
      <c r="C64" s="13" t="s">
        <v>1643</v>
      </c>
      <c r="D64" s="13">
        <v>106</v>
      </c>
      <c r="E64" s="13"/>
      <c r="F64" s="13" t="s">
        <v>10</v>
      </c>
      <c r="G64" s="442">
        <v>40</v>
      </c>
      <c r="H64" s="437">
        <v>10</v>
      </c>
      <c r="I64" s="28">
        <v>1</v>
      </c>
      <c r="J64" s="468">
        <f t="shared" si="14"/>
        <v>0.25</v>
      </c>
      <c r="K64" s="442">
        <f>(854)/1000</f>
        <v>0.85399999999999998</v>
      </c>
      <c r="L64" s="267">
        <f t="shared" si="15"/>
        <v>0.2135</v>
      </c>
      <c r="M64" s="266">
        <f t="shared" si="17" ref="M64">L64*N64</f>
        <v>42.70</v>
      </c>
      <c r="N64" s="433">
        <v>200</v>
      </c>
      <c r="O64" s="267">
        <f t="shared" si="16"/>
        <v>0.2135</v>
      </c>
    </row>
    <row r="65" spans="1:15" s="0" customFormat="1" ht="15">
      <c r="A65" s="643"/>
      <c r="B65" s="640"/>
      <c r="C65" s="13" t="s">
        <v>1644</v>
      </c>
      <c r="D65" s="13">
        <v>106</v>
      </c>
      <c r="E65" s="13" t="s">
        <v>44</v>
      </c>
      <c r="F65" s="13" t="s">
        <v>10</v>
      </c>
      <c r="G65" s="442">
        <v>27</v>
      </c>
      <c r="H65" s="437">
        <v>10</v>
      </c>
      <c r="I65" s="28">
        <v>1</v>
      </c>
      <c r="J65" s="438">
        <f t="shared" si="14"/>
        <v>0.37037037037037035</v>
      </c>
      <c r="K65" s="442">
        <f>(854)*2/1000+0.2</f>
        <v>1.9079999999999999</v>
      </c>
      <c r="L65" s="267">
        <f t="shared" si="15"/>
        <v>0.70666666666666655</v>
      </c>
      <c r="M65" s="266">
        <f>L65*N65</f>
        <v>141.33333333333331</v>
      </c>
      <c r="N65" s="433">
        <v>200</v>
      </c>
      <c r="O65" s="267">
        <f t="shared" si="16"/>
        <v>0.70666666666666655</v>
      </c>
    </row>
    <row r="66" spans="1:15" s="0" customFormat="1" ht="15">
      <c r="A66" s="650" t="s">
        <v>182</v>
      </c>
      <c r="B66" s="638" t="s">
        <v>183</v>
      </c>
      <c r="C66" s="13" t="s">
        <v>1648</v>
      </c>
      <c r="D66" s="13">
        <v>105</v>
      </c>
      <c r="E66" s="13"/>
      <c r="F66" s="17" t="s">
        <v>353</v>
      </c>
      <c r="G66" s="31">
        <v>11.462999999999999</v>
      </c>
      <c r="H66" s="252">
        <v>10</v>
      </c>
      <c r="I66" s="16">
        <v>1</v>
      </c>
      <c r="J66" s="253">
        <f t="shared" si="18" ref="J66:J86">H66/G66*I66</f>
        <v>0.87237197941202138</v>
      </c>
      <c r="K66" s="31">
        <v>1</v>
      </c>
      <c r="L66" s="26">
        <f t="shared" si="19" ref="L66:L86">J66*K66</f>
        <v>0.87237197941202138</v>
      </c>
      <c r="M66" s="42">
        <f t="shared" si="20" ref="M66:M86">L66*N66</f>
        <v>174.47439588240428</v>
      </c>
      <c r="N66" s="43">
        <v>200</v>
      </c>
      <c r="O66" s="26">
        <f t="shared" si="21" ref="O66:O86">J66/I66*K66</f>
        <v>0.87237197941202138</v>
      </c>
    </row>
    <row r="67" spans="1:15" s="0" customFormat="1" ht="15">
      <c r="A67" s="650"/>
      <c r="B67" s="638"/>
      <c r="C67" s="13" t="s">
        <v>1651</v>
      </c>
      <c r="D67" s="13">
        <v>105</v>
      </c>
      <c r="E67" s="13"/>
      <c r="F67" s="17" t="s">
        <v>353</v>
      </c>
      <c r="G67" s="31">
        <v>11.462999999999999</v>
      </c>
      <c r="H67" s="252">
        <v>10</v>
      </c>
      <c r="I67" s="16">
        <v>1</v>
      </c>
      <c r="J67" s="253">
        <f t="shared" si="18"/>
        <v>0.87237197941202138</v>
      </c>
      <c r="K67" s="31">
        <v>1</v>
      </c>
      <c r="L67" s="26">
        <f t="shared" si="19"/>
        <v>0.87237197941202138</v>
      </c>
      <c r="M67" s="42">
        <f t="shared" si="20"/>
        <v>174.47439588240428</v>
      </c>
      <c r="N67" s="43">
        <v>200</v>
      </c>
      <c r="O67" s="26">
        <f t="shared" si="21"/>
        <v>0.87237197941202138</v>
      </c>
    </row>
    <row r="68" spans="1:15" ht="30">
      <c r="A68" s="57" t="s">
        <v>185</v>
      </c>
      <c r="B68" s="56" t="s">
        <v>186</v>
      </c>
      <c r="C68" s="13" t="s">
        <v>187</v>
      </c>
      <c r="D68" s="13">
        <v>105</v>
      </c>
      <c r="E68" s="13"/>
      <c r="F68" s="13" t="s">
        <v>522</v>
      </c>
      <c r="G68" s="442">
        <v>55</v>
      </c>
      <c r="H68" s="440">
        <v>10</v>
      </c>
      <c r="I68" s="28">
        <v>1</v>
      </c>
      <c r="J68" s="441">
        <f t="shared" si="18"/>
        <v>0.18181818181818182</v>
      </c>
      <c r="K68" s="442">
        <v>5</v>
      </c>
      <c r="L68" s="267">
        <f t="shared" si="19"/>
        <v>0.90909090909090917</v>
      </c>
      <c r="M68" s="266">
        <f t="shared" si="20"/>
        <v>181.81818181818184</v>
      </c>
      <c r="N68" s="433">
        <v>200</v>
      </c>
      <c r="O68" s="267">
        <f t="shared" si="21"/>
        <v>0.90909090909090917</v>
      </c>
    </row>
    <row r="69" spans="1:15" ht="15">
      <c r="A69" s="642" t="s">
        <v>188</v>
      </c>
      <c r="B69" s="685" t="s">
        <v>438</v>
      </c>
      <c r="C69" s="13" t="s">
        <v>1649</v>
      </c>
      <c r="D69" s="13">
        <v>109</v>
      </c>
      <c r="E69" s="637" t="s">
        <v>44</v>
      </c>
      <c r="F69" s="13" t="s">
        <v>10</v>
      </c>
      <c r="G69" s="442">
        <v>40</v>
      </c>
      <c r="H69" s="440">
        <v>10</v>
      </c>
      <c r="I69" s="28">
        <v>1</v>
      </c>
      <c r="J69" s="453">
        <f t="shared" si="18"/>
        <v>0.25</v>
      </c>
      <c r="K69" s="442">
        <f>(1356)/1000</f>
        <v>1.3560000000000001</v>
      </c>
      <c r="L69" s="267">
        <f t="shared" si="19"/>
        <v>0.33900000000000002</v>
      </c>
      <c r="M69" s="433">
        <f t="shared" si="20"/>
        <v>67.800000000000011</v>
      </c>
      <c r="N69" s="434">
        <v>200</v>
      </c>
      <c r="O69" s="267">
        <f t="shared" si="21"/>
        <v>0.33900000000000002</v>
      </c>
    </row>
    <row r="70" spans="1:15" ht="15">
      <c r="A70" s="643"/>
      <c r="B70" s="686"/>
      <c r="C70" s="13" t="s">
        <v>1650</v>
      </c>
      <c r="D70" s="13">
        <v>109</v>
      </c>
      <c r="E70" s="637"/>
      <c r="F70" s="13" t="s">
        <v>10</v>
      </c>
      <c r="G70" s="442">
        <v>27</v>
      </c>
      <c r="H70" s="440">
        <v>10</v>
      </c>
      <c r="I70" s="28">
        <v>1</v>
      </c>
      <c r="J70" s="441">
        <f t="shared" si="18"/>
        <v>0.37037037037037035</v>
      </c>
      <c r="K70" s="442">
        <f>(1356*2)/1000+0.2</f>
        <v>2.9120000000000004</v>
      </c>
      <c r="L70" s="267">
        <f t="shared" si="19"/>
        <v>1.0785185185185187</v>
      </c>
      <c r="M70" s="266">
        <f t="shared" si="20"/>
        <v>215.70370370370372</v>
      </c>
      <c r="N70" s="433">
        <v>200</v>
      </c>
      <c r="O70" s="267">
        <f t="shared" si="21"/>
        <v>1.0785185185185187</v>
      </c>
    </row>
    <row r="71" spans="1:15" ht="15">
      <c r="A71" s="643"/>
      <c r="B71" s="686"/>
      <c r="C71" s="13" t="s">
        <v>1643</v>
      </c>
      <c r="D71" s="13">
        <v>109</v>
      </c>
      <c r="E71" s="637" t="s">
        <v>44</v>
      </c>
      <c r="F71" s="13" t="s">
        <v>10</v>
      </c>
      <c r="G71" s="442">
        <v>40</v>
      </c>
      <c r="H71" s="440">
        <v>10</v>
      </c>
      <c r="I71" s="28">
        <v>1</v>
      </c>
      <c r="J71" s="453">
        <f t="shared" si="18"/>
        <v>0.25</v>
      </c>
      <c r="K71" s="442">
        <f>(854)/1000</f>
        <v>0.85399999999999998</v>
      </c>
      <c r="L71" s="267">
        <f t="shared" si="19"/>
        <v>0.2135</v>
      </c>
      <c r="M71" s="433">
        <f t="shared" si="20"/>
        <v>42.70</v>
      </c>
      <c r="N71" s="434">
        <v>200</v>
      </c>
      <c r="O71" s="267">
        <f t="shared" si="21"/>
        <v>0.2135</v>
      </c>
    </row>
    <row r="72" spans="1:15" ht="15">
      <c r="A72" s="644"/>
      <c r="B72" s="676"/>
      <c r="C72" s="13" t="s">
        <v>1652</v>
      </c>
      <c r="D72" s="13">
        <v>109</v>
      </c>
      <c r="E72" s="637"/>
      <c r="F72" s="13" t="s">
        <v>10</v>
      </c>
      <c r="G72" s="442">
        <v>27</v>
      </c>
      <c r="H72" s="440">
        <v>10</v>
      </c>
      <c r="I72" s="28">
        <v>1</v>
      </c>
      <c r="J72" s="441">
        <f t="shared" si="18"/>
        <v>0.37037037037037035</v>
      </c>
      <c r="K72" s="442">
        <f>(854*2)/1000+0.2</f>
        <v>1.9079999999999999</v>
      </c>
      <c r="L72" s="267">
        <f t="shared" si="19"/>
        <v>0.70666666666666655</v>
      </c>
      <c r="M72" s="266">
        <f t="shared" si="20"/>
        <v>141.33333333333331</v>
      </c>
      <c r="N72" s="433">
        <v>200</v>
      </c>
      <c r="O72" s="267">
        <f t="shared" si="21"/>
        <v>0.70666666666666655</v>
      </c>
    </row>
    <row r="73" spans="1:15" ht="15">
      <c r="A73" s="642" t="s">
        <v>437</v>
      </c>
      <c r="B73" s="639" t="s">
        <v>439</v>
      </c>
      <c r="C73" s="13" t="s">
        <v>1653</v>
      </c>
      <c r="D73" s="13">
        <v>107</v>
      </c>
      <c r="E73" s="637" t="s">
        <v>43</v>
      </c>
      <c r="F73" s="13" t="s">
        <v>10</v>
      </c>
      <c r="G73" s="442">
        <v>25</v>
      </c>
      <c r="H73" s="440">
        <v>10</v>
      </c>
      <c r="I73" s="28">
        <v>1</v>
      </c>
      <c r="J73" s="453">
        <f t="shared" si="18"/>
        <v>0.40</v>
      </c>
      <c r="K73" s="442">
        <f>(1356*2)/1000</f>
        <v>2.7120000000000002</v>
      </c>
      <c r="L73" s="267">
        <f t="shared" si="19"/>
        <v>1.0848000000000002</v>
      </c>
      <c r="M73" s="433">
        <f t="shared" si="20"/>
        <v>190.92480000000003</v>
      </c>
      <c r="N73" s="434">
        <v>176</v>
      </c>
      <c r="O73" s="267">
        <f t="shared" si="21"/>
        <v>1.0848000000000002</v>
      </c>
    </row>
    <row r="74" spans="1:15" ht="15">
      <c r="A74" s="643"/>
      <c r="B74" s="640"/>
      <c r="C74" s="13" t="s">
        <v>1654</v>
      </c>
      <c r="D74" s="13">
        <v>107</v>
      </c>
      <c r="E74" s="637"/>
      <c r="F74" s="13" t="s">
        <v>10</v>
      </c>
      <c r="G74" s="442">
        <v>28.50</v>
      </c>
      <c r="H74" s="440">
        <v>10</v>
      </c>
      <c r="I74" s="28">
        <v>1</v>
      </c>
      <c r="J74" s="453">
        <f t="shared" si="18"/>
        <v>0.35087719298245612</v>
      </c>
      <c r="K74" s="442">
        <f>1356*2/1000+0.2</f>
        <v>2.9120000000000004</v>
      </c>
      <c r="L74" s="267">
        <f t="shared" si="19"/>
        <v>1.0217543859649123</v>
      </c>
      <c r="M74" s="433">
        <f t="shared" si="20"/>
        <v>204.35087719298247</v>
      </c>
      <c r="N74" s="434">
        <v>200</v>
      </c>
      <c r="O74" s="267">
        <f t="shared" si="21"/>
        <v>1.0217543859649123</v>
      </c>
    </row>
    <row r="75" spans="1:15" ht="15">
      <c r="A75" s="643"/>
      <c r="B75" s="640"/>
      <c r="C75" s="13" t="s">
        <v>1655</v>
      </c>
      <c r="D75" s="13">
        <v>107</v>
      </c>
      <c r="E75" s="637" t="s">
        <v>43</v>
      </c>
      <c r="F75" s="13" t="s">
        <v>10</v>
      </c>
      <c r="G75" s="442">
        <v>25</v>
      </c>
      <c r="H75" s="440">
        <v>10</v>
      </c>
      <c r="I75" s="28">
        <v>1</v>
      </c>
      <c r="J75" s="453">
        <f t="shared" si="18"/>
        <v>0.40</v>
      </c>
      <c r="K75" s="442">
        <f>(854*2)/1000</f>
        <v>1.708</v>
      </c>
      <c r="L75" s="267">
        <f t="shared" si="19"/>
        <v>0.68320000000000003</v>
      </c>
      <c r="M75" s="433">
        <f t="shared" si="20"/>
        <v>120.2432</v>
      </c>
      <c r="N75" s="434">
        <v>176</v>
      </c>
      <c r="O75" s="267">
        <f t="shared" si="21"/>
        <v>0.68320000000000003</v>
      </c>
    </row>
    <row r="76" spans="1:15" ht="15">
      <c r="A76" s="644"/>
      <c r="B76" s="641"/>
      <c r="C76" s="13" t="s">
        <v>1656</v>
      </c>
      <c r="D76" s="13">
        <v>107</v>
      </c>
      <c r="E76" s="637"/>
      <c r="F76" s="13" t="s">
        <v>10</v>
      </c>
      <c r="G76" s="442">
        <v>28.50</v>
      </c>
      <c r="H76" s="440">
        <v>10</v>
      </c>
      <c r="I76" s="28">
        <v>1</v>
      </c>
      <c r="J76" s="453">
        <f t="shared" si="18"/>
        <v>0.35087719298245612</v>
      </c>
      <c r="K76" s="442">
        <f>854*2/1000+0.2</f>
        <v>1.9079999999999999</v>
      </c>
      <c r="L76" s="267">
        <f t="shared" si="19"/>
        <v>0.66947368421052622</v>
      </c>
      <c r="M76" s="433">
        <f t="shared" si="20"/>
        <v>133.89473684210523</v>
      </c>
      <c r="N76" s="434">
        <v>200</v>
      </c>
      <c r="O76" s="267">
        <f t="shared" si="21"/>
        <v>0.66947368421052622</v>
      </c>
    </row>
    <row r="77" spans="1:15" s="0" customFormat="1" ht="15">
      <c r="A77" s="650" t="s">
        <v>190</v>
      </c>
      <c r="B77" s="638" t="s">
        <v>191</v>
      </c>
      <c r="C77" s="13" t="s">
        <v>24</v>
      </c>
      <c r="D77" s="13">
        <v>111</v>
      </c>
      <c r="E77" s="13"/>
      <c r="F77" s="25" t="s">
        <v>45</v>
      </c>
      <c r="G77" s="31">
        <v>6.87</v>
      </c>
      <c r="H77" s="252">
        <v>10</v>
      </c>
      <c r="I77" s="16">
        <v>2</v>
      </c>
      <c r="J77" s="253">
        <f t="shared" si="18"/>
        <v>2.9112081513828238</v>
      </c>
      <c r="K77" s="31">
        <v>1</v>
      </c>
      <c r="L77" s="26">
        <f t="shared" si="19"/>
        <v>2.9112081513828238</v>
      </c>
      <c r="M77" s="43">
        <f t="shared" si="20"/>
        <v>582.24163027656482</v>
      </c>
      <c r="N77" s="85">
        <v>200</v>
      </c>
      <c r="O77" s="26">
        <f t="shared" si="21"/>
        <v>1.4556040756914119</v>
      </c>
    </row>
    <row r="78" spans="1:15" s="0" customFormat="1" ht="15">
      <c r="A78" s="650"/>
      <c r="B78" s="638"/>
      <c r="C78" s="13" t="s">
        <v>106</v>
      </c>
      <c r="D78" s="54">
        <v>111</v>
      </c>
      <c r="E78" s="645" t="s">
        <v>122</v>
      </c>
      <c r="F78" s="17" t="s">
        <v>10</v>
      </c>
      <c r="G78" s="31">
        <v>40</v>
      </c>
      <c r="H78" s="252">
        <v>10</v>
      </c>
      <c r="I78" s="16">
        <v>1</v>
      </c>
      <c r="J78" s="253">
        <f t="shared" si="18"/>
        <v>0.25</v>
      </c>
      <c r="K78" s="31">
        <f>3816/1000</f>
        <v>3.8159999999999998</v>
      </c>
      <c r="L78" s="26">
        <f t="shared" si="19"/>
        <v>0.95399999999999996</v>
      </c>
      <c r="M78" s="43">
        <f t="shared" si="20"/>
        <v>190.79999999999998</v>
      </c>
      <c r="N78" s="85">
        <v>200</v>
      </c>
      <c r="O78" s="26">
        <f t="shared" si="21"/>
        <v>0.95399999999999996</v>
      </c>
    </row>
    <row r="79" spans="1:15" s="0" customFormat="1" ht="15">
      <c r="A79" s="650"/>
      <c r="B79" s="638"/>
      <c r="C79" s="4" t="s">
        <v>511</v>
      </c>
      <c r="D79" s="487">
        <v>111</v>
      </c>
      <c r="E79" s="646"/>
      <c r="F79" s="25" t="s">
        <v>10</v>
      </c>
      <c r="G79" s="31">
        <v>25</v>
      </c>
      <c r="H79" s="252">
        <v>10</v>
      </c>
      <c r="I79" s="16">
        <v>1</v>
      </c>
      <c r="J79" s="253">
        <f t="shared" si="18"/>
        <v>0.40</v>
      </c>
      <c r="K79" s="31">
        <f>3816/1000</f>
        <v>3.8159999999999998</v>
      </c>
      <c r="L79" s="26">
        <f t="shared" si="19"/>
        <v>1.5264</v>
      </c>
      <c r="M79" s="42">
        <f t="shared" si="20"/>
        <v>268.64639999999997</v>
      </c>
      <c r="N79" s="43">
        <v>176</v>
      </c>
      <c r="O79" s="26">
        <f t="shared" si="21"/>
        <v>1.5264</v>
      </c>
    </row>
    <row r="80" spans="1:15" s="0" customFormat="1" ht="15">
      <c r="A80" s="650"/>
      <c r="B80" s="638"/>
      <c r="C80" s="13" t="s">
        <v>990</v>
      </c>
      <c r="D80" s="90">
        <v>111</v>
      </c>
      <c r="E80" s="647"/>
      <c r="F80" s="17" t="s">
        <v>10</v>
      </c>
      <c r="G80" s="31">
        <v>40</v>
      </c>
      <c r="H80" s="252">
        <v>10</v>
      </c>
      <c r="I80" s="16">
        <v>1</v>
      </c>
      <c r="J80" s="253">
        <f t="shared" si="18"/>
        <v>0.25</v>
      </c>
      <c r="K80" s="31">
        <f>3816*2/1000</f>
        <v>7.6319999999999997</v>
      </c>
      <c r="L80" s="26">
        <f t="shared" si="19"/>
        <v>1.9079999999999999</v>
      </c>
      <c r="M80" s="43">
        <f t="shared" si="20"/>
        <v>381.60</v>
      </c>
      <c r="N80" s="85">
        <v>200</v>
      </c>
      <c r="O80" s="26">
        <f t="shared" si="21"/>
        <v>1.9079999999999999</v>
      </c>
    </row>
    <row r="81" spans="1:15" s="0" customFormat="1" ht="15">
      <c r="A81" s="57" t="s">
        <v>348</v>
      </c>
      <c r="B81" s="56" t="s">
        <v>1007</v>
      </c>
      <c r="C81" s="17" t="s">
        <v>523</v>
      </c>
      <c r="D81" s="17">
        <v>224</v>
      </c>
      <c r="E81" s="13"/>
      <c r="F81" s="17"/>
      <c r="G81" s="31">
        <f>600/10</f>
        <v>60</v>
      </c>
      <c r="H81" s="252">
        <v>10</v>
      </c>
      <c r="I81" s="16">
        <v>1</v>
      </c>
      <c r="J81" s="253">
        <f t="shared" si="18"/>
        <v>0.16666666666666666</v>
      </c>
      <c r="K81" s="31">
        <v>3</v>
      </c>
      <c r="L81" s="26">
        <f t="shared" si="19"/>
        <v>0.50</v>
      </c>
      <c r="M81" s="42">
        <f t="shared" si="20"/>
        <v>100</v>
      </c>
      <c r="N81" s="43">
        <v>200</v>
      </c>
      <c r="O81" s="26">
        <f t="shared" si="21"/>
        <v>0.50</v>
      </c>
    </row>
    <row r="82" spans="1:15" ht="15">
      <c r="A82" s="57" t="s">
        <v>325</v>
      </c>
      <c r="B82" s="56" t="s">
        <v>327</v>
      </c>
      <c r="C82" s="13" t="s">
        <v>326</v>
      </c>
      <c r="D82" s="13">
        <v>110</v>
      </c>
      <c r="E82" s="13"/>
      <c r="F82" s="13" t="s">
        <v>513</v>
      </c>
      <c r="G82" s="442">
        <v>10</v>
      </c>
      <c r="H82" s="440">
        <v>10</v>
      </c>
      <c r="I82" s="28">
        <v>2</v>
      </c>
      <c r="J82" s="441">
        <f t="shared" si="18"/>
        <v>2</v>
      </c>
      <c r="K82" s="442">
        <v>1</v>
      </c>
      <c r="L82" s="267">
        <f t="shared" si="19"/>
        <v>2</v>
      </c>
      <c r="M82" s="266">
        <f t="shared" si="20"/>
        <v>400</v>
      </c>
      <c r="N82" s="433">
        <v>200</v>
      </c>
      <c r="O82" s="267">
        <f t="shared" si="21"/>
        <v>1</v>
      </c>
    </row>
    <row r="83" spans="1:15" s="0" customFormat="1" ht="15">
      <c r="A83" s="637" t="s">
        <v>197</v>
      </c>
      <c r="B83" s="638" t="s">
        <v>110</v>
      </c>
      <c r="C83" s="13" t="s">
        <v>47</v>
      </c>
      <c r="D83" s="13">
        <v>110</v>
      </c>
      <c r="E83" s="13"/>
      <c r="F83" s="25" t="s">
        <v>111</v>
      </c>
      <c r="G83" s="31">
        <v>5</v>
      </c>
      <c r="H83" s="252">
        <v>10</v>
      </c>
      <c r="I83" s="16">
        <v>2</v>
      </c>
      <c r="J83" s="253">
        <f t="shared" si="18"/>
        <v>4</v>
      </c>
      <c r="K83" s="31">
        <v>1</v>
      </c>
      <c r="L83" s="26">
        <f t="shared" si="19"/>
        <v>4</v>
      </c>
      <c r="M83" s="43">
        <f t="shared" si="20"/>
        <v>800</v>
      </c>
      <c r="N83" s="46">
        <v>200</v>
      </c>
      <c r="O83" s="26">
        <f t="shared" si="21"/>
        <v>2</v>
      </c>
    </row>
    <row r="84" spans="1:15" s="0" customFormat="1" ht="30">
      <c r="A84" s="637"/>
      <c r="B84" s="638"/>
      <c r="C84" s="13" t="s">
        <v>48</v>
      </c>
      <c r="D84" s="13">
        <v>110</v>
      </c>
      <c r="E84" s="4" t="s">
        <v>520</v>
      </c>
      <c r="F84" s="17" t="s">
        <v>10</v>
      </c>
      <c r="G84" s="31">
        <v>40</v>
      </c>
      <c r="H84" s="252">
        <v>10</v>
      </c>
      <c r="I84" s="16">
        <v>1</v>
      </c>
      <c r="J84" s="253">
        <f t="shared" si="18"/>
        <v>0.25</v>
      </c>
      <c r="K84" s="31">
        <f>((1642*2)+488*2+(827*2)+(827))/1000</f>
        <v>6.7409999999999997</v>
      </c>
      <c r="L84" s="26">
        <f t="shared" si="19"/>
        <v>1.6852499999999999</v>
      </c>
      <c r="M84" s="43">
        <f t="shared" si="20"/>
        <v>337.04999999999995</v>
      </c>
      <c r="N84" s="46">
        <v>200</v>
      </c>
      <c r="O84" s="26">
        <f t="shared" si="21"/>
        <v>1.6852499999999999</v>
      </c>
    </row>
    <row r="85" spans="1:15" ht="15">
      <c r="A85" s="54" t="s">
        <v>888</v>
      </c>
      <c r="B85" s="56" t="s">
        <v>1124</v>
      </c>
      <c r="C85" s="13" t="s">
        <v>862</v>
      </c>
      <c r="D85" s="13">
        <v>224</v>
      </c>
      <c r="E85" s="13"/>
      <c r="F85" s="17"/>
      <c r="G85" s="442">
        <f>(600-25)/10</f>
        <v>57.50</v>
      </c>
      <c r="H85" s="440">
        <v>10</v>
      </c>
      <c r="I85" s="28">
        <v>2</v>
      </c>
      <c r="J85" s="441">
        <f t="shared" si="18"/>
        <v>0.34782608695652173</v>
      </c>
      <c r="K85" s="442">
        <v>1</v>
      </c>
      <c r="L85" s="267">
        <f t="shared" si="19"/>
        <v>0.34782608695652173</v>
      </c>
      <c r="M85" s="433">
        <f t="shared" si="20"/>
        <v>69.565217391304344</v>
      </c>
      <c r="N85" s="434">
        <v>200</v>
      </c>
      <c r="O85" s="267">
        <f t="shared" si="21"/>
        <v>0.17391304347826086</v>
      </c>
    </row>
    <row r="86" spans="1:15" ht="15">
      <c r="A86" s="13" t="s">
        <v>199</v>
      </c>
      <c r="B86" s="27" t="s">
        <v>890</v>
      </c>
      <c r="C86" s="13" t="s">
        <v>47</v>
      </c>
      <c r="D86" s="13">
        <v>112</v>
      </c>
      <c r="E86" s="13"/>
      <c r="F86" s="4" t="s">
        <v>870</v>
      </c>
      <c r="G86" s="442">
        <v>10</v>
      </c>
      <c r="H86" s="440">
        <v>10</v>
      </c>
      <c r="I86" s="28">
        <v>2</v>
      </c>
      <c r="J86" s="441">
        <f t="shared" si="18"/>
        <v>2</v>
      </c>
      <c r="K86" s="442">
        <v>1</v>
      </c>
      <c r="L86" s="267">
        <f t="shared" si="19"/>
        <v>2</v>
      </c>
      <c r="M86" s="433">
        <f t="shared" si="20"/>
        <v>400</v>
      </c>
      <c r="N86" s="434">
        <v>200</v>
      </c>
      <c r="O86" s="267">
        <f t="shared" si="21"/>
        <v>1</v>
      </c>
    </row>
    <row r="87" spans="1:15" ht="15">
      <c r="A87" s="39"/>
      <c r="B87" s="649" t="s">
        <v>132</v>
      </c>
      <c r="C87" s="649"/>
      <c r="D87" s="649"/>
      <c r="E87" s="649"/>
      <c r="F87" s="649"/>
      <c r="G87" s="649"/>
      <c r="H87" s="649"/>
      <c r="I87" s="649"/>
      <c r="J87" s="649"/>
      <c r="K87" s="649"/>
      <c r="L87" s="267"/>
      <c r="M87" s="262">
        <f>SUM(M88:M99)</f>
        <v>6894.2275502299135</v>
      </c>
      <c r="N87" s="263"/>
      <c r="O87" s="518">
        <f>SUM(O88:O99)</f>
        <v>25.789638844640201</v>
      </c>
    </row>
    <row r="88" spans="1:15" ht="15">
      <c r="A88" s="650" t="s">
        <v>200</v>
      </c>
      <c r="B88" s="638" t="s">
        <v>871</v>
      </c>
      <c r="C88" s="13" t="s">
        <v>993</v>
      </c>
      <c r="D88" s="13">
        <v>224</v>
      </c>
      <c r="E88" s="13"/>
      <c r="F88" s="13" t="s">
        <v>353</v>
      </c>
      <c r="G88" s="442">
        <f>600/10</f>
        <v>60</v>
      </c>
      <c r="H88" s="440">
        <v>10</v>
      </c>
      <c r="I88" s="28">
        <v>1</v>
      </c>
      <c r="J88" s="441">
        <f t="shared" si="22" ref="J88:J99">H88/G88*I88</f>
        <v>0.16666666666666666</v>
      </c>
      <c r="K88" s="432">
        <v>2</v>
      </c>
      <c r="L88" s="435">
        <f t="shared" si="23" ref="L88:L91">J88*K88</f>
        <v>0.33333333333333331</v>
      </c>
      <c r="M88" s="266">
        <f t="shared" si="24" ref="M88:M99">L88*N88</f>
        <v>66.666666666666657</v>
      </c>
      <c r="N88" s="433">
        <v>200</v>
      </c>
      <c r="O88" s="435">
        <f t="shared" si="25" ref="O88:O99">J88/I88*K88</f>
        <v>0.33333333333333331</v>
      </c>
    </row>
    <row r="89" spans="1:15" ht="15">
      <c r="A89" s="650"/>
      <c r="B89" s="638"/>
      <c r="C89" s="13" t="s">
        <v>1125</v>
      </c>
      <c r="D89" s="13">
        <v>224</v>
      </c>
      <c r="E89" s="13"/>
      <c r="F89" s="13" t="s">
        <v>353</v>
      </c>
      <c r="G89" s="442">
        <v>120</v>
      </c>
      <c r="H89" s="440">
        <v>10</v>
      </c>
      <c r="I89" s="28">
        <v>1</v>
      </c>
      <c r="J89" s="441">
        <f t="shared" si="22"/>
        <v>0.083333333333333329</v>
      </c>
      <c r="K89" s="432">
        <v>2</v>
      </c>
      <c r="L89" s="435">
        <f t="shared" si="23"/>
        <v>0.16666666666666666</v>
      </c>
      <c r="M89" s="266">
        <f t="shared" si="24"/>
        <v>33.333333333333329</v>
      </c>
      <c r="N89" s="433">
        <v>200</v>
      </c>
      <c r="O89" s="435">
        <f t="shared" si="25"/>
        <v>0.16666666666666666</v>
      </c>
    </row>
    <row r="90" spans="1:15" ht="15">
      <c r="A90" s="650"/>
      <c r="B90" s="638"/>
      <c r="C90" s="13" t="s">
        <v>873</v>
      </c>
      <c r="D90" s="13">
        <v>224</v>
      </c>
      <c r="E90" s="13"/>
      <c r="F90" s="13" t="s">
        <v>353</v>
      </c>
      <c r="G90" s="442">
        <f>600/5</f>
        <v>120</v>
      </c>
      <c r="H90" s="440">
        <v>10</v>
      </c>
      <c r="I90" s="28">
        <v>1</v>
      </c>
      <c r="J90" s="441">
        <f t="shared" si="22"/>
        <v>0.083333333333333329</v>
      </c>
      <c r="K90" s="432">
        <v>2</v>
      </c>
      <c r="L90" s="435">
        <f t="shared" si="23"/>
        <v>0.16666666666666666</v>
      </c>
      <c r="M90" s="266">
        <f t="shared" si="24"/>
        <v>33.333333333333329</v>
      </c>
      <c r="N90" s="433">
        <v>200</v>
      </c>
      <c r="O90" s="435">
        <f t="shared" si="25"/>
        <v>0.16666666666666666</v>
      </c>
    </row>
    <row r="91" spans="1:15" ht="15">
      <c r="A91" s="57" t="s">
        <v>662</v>
      </c>
      <c r="B91" s="56" t="s">
        <v>1126</v>
      </c>
      <c r="C91" s="13" t="s">
        <v>862</v>
      </c>
      <c r="D91" s="13">
        <v>224</v>
      </c>
      <c r="E91" s="13"/>
      <c r="F91" s="17"/>
      <c r="G91" s="442">
        <f>(600-25)/10</f>
        <v>57.50</v>
      </c>
      <c r="H91" s="440">
        <v>10</v>
      </c>
      <c r="I91" s="28">
        <v>2</v>
      </c>
      <c r="J91" s="441">
        <f t="shared" si="22"/>
        <v>0.34782608695652173</v>
      </c>
      <c r="K91" s="28">
        <v>1</v>
      </c>
      <c r="L91" s="267">
        <f t="shared" si="23"/>
        <v>0.34782608695652173</v>
      </c>
      <c r="M91" s="433">
        <f t="shared" si="24"/>
        <v>69.565217391304344</v>
      </c>
      <c r="N91" s="434">
        <v>200</v>
      </c>
      <c r="O91" s="435">
        <f t="shared" si="25"/>
        <v>0.17391304347826086</v>
      </c>
    </row>
    <row r="92" spans="1:15" ht="15">
      <c r="A92" s="13" t="s">
        <v>205</v>
      </c>
      <c r="B92" s="27" t="s">
        <v>875</v>
      </c>
      <c r="C92" s="13" t="s">
        <v>138</v>
      </c>
      <c r="D92" s="13">
        <v>117</v>
      </c>
      <c r="E92" s="13"/>
      <c r="F92" s="4" t="s">
        <v>13</v>
      </c>
      <c r="G92" s="442">
        <f>1.29*1.4</f>
        <v>1.8059999999999998</v>
      </c>
      <c r="H92" s="440">
        <v>10</v>
      </c>
      <c r="I92" s="28">
        <v>2</v>
      </c>
      <c r="J92" s="441">
        <f t="shared" si="22"/>
        <v>11.07419712070875</v>
      </c>
      <c r="K92" s="28">
        <v>1</v>
      </c>
      <c r="L92" s="267">
        <f>J92*K92</f>
        <v>11.07419712070875</v>
      </c>
      <c r="M92" s="433">
        <f t="shared" si="24"/>
        <v>2214.83942414175</v>
      </c>
      <c r="N92" s="434">
        <v>200</v>
      </c>
      <c r="O92" s="435">
        <f t="shared" si="25"/>
        <v>5.5370985603543748</v>
      </c>
    </row>
    <row r="93" spans="1:15" ht="15">
      <c r="A93" s="13" t="s">
        <v>877</v>
      </c>
      <c r="B93" s="27" t="s">
        <v>876</v>
      </c>
      <c r="C93" s="13" t="s">
        <v>160</v>
      </c>
      <c r="D93" s="13">
        <v>117</v>
      </c>
      <c r="E93" s="13"/>
      <c r="F93" s="4" t="s">
        <v>13</v>
      </c>
      <c r="G93" s="442">
        <v>40</v>
      </c>
      <c r="H93" s="440">
        <v>10</v>
      </c>
      <c r="I93" s="28">
        <v>1</v>
      </c>
      <c r="J93" s="441">
        <f t="shared" si="22"/>
        <v>0.25</v>
      </c>
      <c r="K93" s="442">
        <f>(3998+3625+3590+1010+16*3.1415*18+426*3.1415+30*3)/1000</f>
        <v>14.556031000000001</v>
      </c>
      <c r="L93" s="267">
        <f>J93*K93</f>
        <v>3.6390077500000002</v>
      </c>
      <c r="M93" s="433">
        <f t="shared" si="24"/>
        <v>727.80155000000002</v>
      </c>
      <c r="N93" s="434">
        <v>200</v>
      </c>
      <c r="O93" s="435">
        <f t="shared" si="25"/>
        <v>3.6390077500000002</v>
      </c>
    </row>
    <row r="94" spans="1:15" ht="15">
      <c r="A94" s="13" t="s">
        <v>206</v>
      </c>
      <c r="B94" s="27" t="s">
        <v>94</v>
      </c>
      <c r="C94" s="13" t="s">
        <v>160</v>
      </c>
      <c r="D94" s="13">
        <v>114</v>
      </c>
      <c r="E94" s="13"/>
      <c r="F94" s="4" t="s">
        <v>13</v>
      </c>
      <c r="G94" s="442">
        <v>40</v>
      </c>
      <c r="H94" s="440">
        <v>10</v>
      </c>
      <c r="I94" s="28">
        <v>1</v>
      </c>
      <c r="J94" s="441">
        <f t="shared" si="22"/>
        <v>0.25</v>
      </c>
      <c r="K94" s="442">
        <f>(3998*2+120*3+16*3.1415*18+426*3.1415+3625+3814+3850+19*3.1415*2+23*3.1415*2+3590)/1000</f>
        <v>25.741917000000001</v>
      </c>
      <c r="L94" s="267">
        <f>J94*K94</f>
        <v>6.4354792500000002</v>
      </c>
      <c r="M94" s="433">
        <f t="shared" si="24"/>
        <v>1287.0958500000002</v>
      </c>
      <c r="N94" s="434">
        <v>200</v>
      </c>
      <c r="O94" s="435">
        <f t="shared" si="25"/>
        <v>6.4354792500000002</v>
      </c>
    </row>
    <row r="95" spans="1:15" ht="15">
      <c r="A95" s="13" t="s">
        <v>207</v>
      </c>
      <c r="B95" s="56" t="s">
        <v>55</v>
      </c>
      <c r="C95" s="13" t="s">
        <v>29</v>
      </c>
      <c r="D95" s="13">
        <v>120</v>
      </c>
      <c r="E95" s="13"/>
      <c r="F95" s="13" t="s">
        <v>13</v>
      </c>
      <c r="G95" s="31">
        <v>9.40</v>
      </c>
      <c r="H95" s="440">
        <v>10</v>
      </c>
      <c r="I95" s="28">
        <v>1</v>
      </c>
      <c r="J95" s="441">
        <f t="shared" si="22"/>
        <v>1.0638297872340425</v>
      </c>
      <c r="K95" s="28">
        <v>1</v>
      </c>
      <c r="L95" s="267">
        <f t="shared" si="26" ref="L95:L98">J95*K95</f>
        <v>1.0638297872340425</v>
      </c>
      <c r="M95" s="433">
        <f t="shared" si="24"/>
        <v>187.2340425531915</v>
      </c>
      <c r="N95" s="434">
        <v>176</v>
      </c>
      <c r="O95" s="435">
        <f t="shared" si="25"/>
        <v>1.0638297872340425</v>
      </c>
    </row>
    <row r="96" spans="1:15" ht="15">
      <c r="A96" s="13" t="s">
        <v>208</v>
      </c>
      <c r="B96" s="56" t="s">
        <v>56</v>
      </c>
      <c r="C96" s="13" t="s">
        <v>29</v>
      </c>
      <c r="D96" s="13">
        <v>120</v>
      </c>
      <c r="E96" s="13"/>
      <c r="F96" s="13" t="s">
        <v>13</v>
      </c>
      <c r="G96" s="31">
        <v>9.40</v>
      </c>
      <c r="H96" s="440">
        <v>10</v>
      </c>
      <c r="I96" s="28">
        <v>1</v>
      </c>
      <c r="J96" s="441">
        <f t="shared" si="22"/>
        <v>1.0638297872340425</v>
      </c>
      <c r="K96" s="28">
        <v>1</v>
      </c>
      <c r="L96" s="267">
        <f t="shared" si="26"/>
        <v>1.0638297872340425</v>
      </c>
      <c r="M96" s="433">
        <f t="shared" si="24"/>
        <v>187.2340425531915</v>
      </c>
      <c r="N96" s="434">
        <v>176</v>
      </c>
      <c r="O96" s="435">
        <f t="shared" si="25"/>
        <v>1.0638297872340425</v>
      </c>
    </row>
    <row r="97" spans="1:16" ht="30">
      <c r="A97" s="13" t="s">
        <v>209</v>
      </c>
      <c r="B97" s="56" t="s">
        <v>892</v>
      </c>
      <c r="C97" s="13" t="s">
        <v>14</v>
      </c>
      <c r="D97" s="13">
        <v>119</v>
      </c>
      <c r="E97" s="13"/>
      <c r="F97" s="13" t="s">
        <v>58</v>
      </c>
      <c r="G97" s="28">
        <v>61</v>
      </c>
      <c r="H97" s="440">
        <v>10</v>
      </c>
      <c r="I97" s="28">
        <v>1</v>
      </c>
      <c r="J97" s="441">
        <f t="shared" si="22"/>
        <v>0.16393442622950818</v>
      </c>
      <c r="K97" s="28">
        <v>2.36</v>
      </c>
      <c r="L97" s="267">
        <f t="shared" si="26"/>
        <v>0.38688524590163931</v>
      </c>
      <c r="M97" s="433">
        <f t="shared" si="24"/>
        <v>77.377049180327859</v>
      </c>
      <c r="N97" s="434">
        <v>200</v>
      </c>
      <c r="O97" s="435">
        <f t="shared" si="25"/>
        <v>0.38688524590163931</v>
      </c>
      <c r="P97" s="22"/>
    </row>
    <row r="98" spans="1:16" ht="30">
      <c r="A98" s="13" t="s">
        <v>210</v>
      </c>
      <c r="B98" s="27" t="s">
        <v>114</v>
      </c>
      <c r="C98" s="13" t="s">
        <v>54</v>
      </c>
      <c r="D98" s="13">
        <v>116</v>
      </c>
      <c r="E98" s="13"/>
      <c r="F98" s="13" t="s">
        <v>13</v>
      </c>
      <c r="G98" s="439">
        <v>3.10</v>
      </c>
      <c r="H98" s="440">
        <v>10</v>
      </c>
      <c r="I98" s="28">
        <v>2</v>
      </c>
      <c r="J98" s="441">
        <f t="shared" si="22"/>
        <v>6.4516129032258061</v>
      </c>
      <c r="K98" s="28">
        <v>1</v>
      </c>
      <c r="L98" s="267">
        <f t="shared" si="26"/>
        <v>6.4516129032258061</v>
      </c>
      <c r="M98" s="433">
        <f t="shared" si="24"/>
        <v>1290.3225806451612</v>
      </c>
      <c r="N98" s="434">
        <v>200</v>
      </c>
      <c r="O98" s="435">
        <f t="shared" si="25"/>
        <v>3.225806451612903</v>
      </c>
      <c r="P98" s="22"/>
    </row>
    <row r="99" spans="1:15" ht="30">
      <c r="A99" s="13" t="s">
        <v>211</v>
      </c>
      <c r="B99" s="56" t="s">
        <v>60</v>
      </c>
      <c r="C99" s="13" t="s">
        <v>14</v>
      </c>
      <c r="D99" s="13">
        <v>226</v>
      </c>
      <c r="E99" s="13"/>
      <c r="F99" s="4" t="s">
        <v>58</v>
      </c>
      <c r="G99" s="477">
        <v>2.78</v>
      </c>
      <c r="H99" s="440">
        <v>10</v>
      </c>
      <c r="I99" s="28">
        <v>1</v>
      </c>
      <c r="J99" s="441">
        <f t="shared" si="22"/>
        <v>3.5971223021582737</v>
      </c>
      <c r="K99" s="28">
        <v>1</v>
      </c>
      <c r="L99" s="267">
        <f>J99*K99</f>
        <v>3.5971223021582737</v>
      </c>
      <c r="M99" s="433">
        <f t="shared" si="24"/>
        <v>719.42446043165478</v>
      </c>
      <c r="N99" s="434">
        <v>200</v>
      </c>
      <c r="O99" s="435">
        <f t="shared" si="25"/>
        <v>3.5971223021582737</v>
      </c>
    </row>
    <row r="100" spans="1:15" ht="15">
      <c r="A100" s="39"/>
      <c r="B100" s="649" t="s">
        <v>140</v>
      </c>
      <c r="C100" s="649"/>
      <c r="D100" s="649"/>
      <c r="E100" s="649"/>
      <c r="F100" s="649"/>
      <c r="G100" s="649"/>
      <c r="H100" s="649"/>
      <c r="I100" s="649"/>
      <c r="J100" s="649"/>
      <c r="K100" s="649"/>
      <c r="L100" s="267"/>
      <c r="M100" s="262">
        <f>SUM(M101:M106)</f>
        <v>2638.0256581633898</v>
      </c>
      <c r="N100" s="263"/>
      <c r="O100" s="264">
        <f>SUM(O101:O106)</f>
        <v>8.6417479865870437</v>
      </c>
    </row>
    <row r="101" spans="1:15" ht="15">
      <c r="A101" s="57" t="s">
        <v>893</v>
      </c>
      <c r="B101" s="27" t="s">
        <v>881</v>
      </c>
      <c r="C101" s="13" t="s">
        <v>880</v>
      </c>
      <c r="D101" s="13">
        <v>224</v>
      </c>
      <c r="E101" s="13"/>
      <c r="F101" s="13" t="s">
        <v>353</v>
      </c>
      <c r="G101" s="436">
        <f>600/20</f>
        <v>30</v>
      </c>
      <c r="H101" s="440">
        <v>10</v>
      </c>
      <c r="I101" s="28">
        <v>1</v>
      </c>
      <c r="J101" s="441">
        <f t="shared" si="27" ref="J101:J106">H101/G101*I101</f>
        <v>0.33333333333333331</v>
      </c>
      <c r="K101" s="432">
        <v>1</v>
      </c>
      <c r="L101" s="435">
        <f t="shared" si="28" ref="L101:L106">J101*K101</f>
        <v>0.33333333333333331</v>
      </c>
      <c r="M101" s="266">
        <f t="shared" si="29" ref="M101:M106">L101*N101</f>
        <v>66.666666666666657</v>
      </c>
      <c r="N101" s="433">
        <v>200</v>
      </c>
      <c r="O101" s="435">
        <f t="shared" si="30" ref="O101:O106">J101/I101*K101</f>
        <v>0.33333333333333331</v>
      </c>
    </row>
    <row r="102" spans="1:15" ht="15">
      <c r="A102" s="57" t="s">
        <v>212</v>
      </c>
      <c r="B102" s="56" t="s">
        <v>1127</v>
      </c>
      <c r="C102" s="13" t="s">
        <v>862</v>
      </c>
      <c r="D102" s="13">
        <v>224</v>
      </c>
      <c r="E102" s="13"/>
      <c r="F102" s="17"/>
      <c r="G102" s="28">
        <f>(600-25)/10</f>
        <v>57.50</v>
      </c>
      <c r="H102" s="440">
        <v>10</v>
      </c>
      <c r="I102" s="28">
        <v>2</v>
      </c>
      <c r="J102" s="441">
        <f t="shared" si="27"/>
        <v>0.34782608695652173</v>
      </c>
      <c r="K102" s="28">
        <v>1</v>
      </c>
      <c r="L102" s="267">
        <f t="shared" si="28"/>
        <v>0.34782608695652173</v>
      </c>
      <c r="M102" s="433">
        <f t="shared" si="29"/>
        <v>69.565217391304344</v>
      </c>
      <c r="N102" s="434">
        <v>200</v>
      </c>
      <c r="O102" s="435">
        <f t="shared" si="30"/>
        <v>0.17391304347826086</v>
      </c>
    </row>
    <row r="103" spans="1:15" ht="15">
      <c r="A103" s="57" t="s">
        <v>878</v>
      </c>
      <c r="B103" s="27" t="s">
        <v>882</v>
      </c>
      <c r="C103" s="13" t="s">
        <v>1011</v>
      </c>
      <c r="D103" s="13">
        <v>117</v>
      </c>
      <c r="E103" s="13"/>
      <c r="F103" s="13" t="s">
        <v>353</v>
      </c>
      <c r="G103" s="28">
        <v>34.60</v>
      </c>
      <c r="H103" s="440">
        <v>10</v>
      </c>
      <c r="I103" s="28">
        <v>1</v>
      </c>
      <c r="J103" s="441">
        <f t="shared" si="27"/>
        <v>0.28901734104046239</v>
      </c>
      <c r="K103" s="432">
        <v>1</v>
      </c>
      <c r="L103" s="435">
        <f t="shared" si="28"/>
        <v>0.28901734104046239</v>
      </c>
      <c r="M103" s="266">
        <f t="shared" si="29"/>
        <v>57.803468208092482</v>
      </c>
      <c r="N103" s="433">
        <v>200</v>
      </c>
      <c r="O103" s="435">
        <f t="shared" si="30"/>
        <v>0.28901734104046239</v>
      </c>
    </row>
    <row r="104" spans="1:15" ht="15">
      <c r="A104" s="57" t="s">
        <v>214</v>
      </c>
      <c r="B104" s="56" t="s">
        <v>883</v>
      </c>
      <c r="C104" s="13" t="s">
        <v>33</v>
      </c>
      <c r="D104" s="13">
        <v>118</v>
      </c>
      <c r="E104" s="13"/>
      <c r="F104" s="13" t="s">
        <v>510</v>
      </c>
      <c r="G104" s="28">
        <v>40</v>
      </c>
      <c r="H104" s="440">
        <v>10</v>
      </c>
      <c r="I104" s="28">
        <v>2</v>
      </c>
      <c r="J104" s="441">
        <f t="shared" si="27"/>
        <v>0.50</v>
      </c>
      <c r="K104" s="432">
        <v>2</v>
      </c>
      <c r="L104" s="267">
        <f t="shared" si="28"/>
        <v>1</v>
      </c>
      <c r="M104" s="433">
        <f t="shared" si="29"/>
        <v>200</v>
      </c>
      <c r="N104" s="434">
        <v>200</v>
      </c>
      <c r="O104" s="435">
        <f t="shared" si="30"/>
        <v>0.50</v>
      </c>
    </row>
    <row r="105" spans="1:15" ht="15">
      <c r="A105" s="13" t="s">
        <v>219</v>
      </c>
      <c r="B105" s="56" t="s">
        <v>91</v>
      </c>
      <c r="C105" s="13" t="s">
        <v>54</v>
      </c>
      <c r="D105" s="13">
        <v>118</v>
      </c>
      <c r="E105" s="13"/>
      <c r="F105" s="4" t="s">
        <v>59</v>
      </c>
      <c r="G105" s="30">
        <v>2.581</v>
      </c>
      <c r="H105" s="440">
        <v>10</v>
      </c>
      <c r="I105" s="28">
        <v>2</v>
      </c>
      <c r="J105" s="441">
        <f t="shared" si="27"/>
        <v>7.7489345215032932</v>
      </c>
      <c r="K105" s="432">
        <v>1</v>
      </c>
      <c r="L105" s="267">
        <f t="shared" si="28"/>
        <v>7.7489345215032932</v>
      </c>
      <c r="M105" s="433">
        <f t="shared" si="29"/>
        <v>1549.7869043006585</v>
      </c>
      <c r="N105" s="434">
        <v>200</v>
      </c>
      <c r="O105" s="435">
        <f t="shared" si="30"/>
        <v>3.8744672607516466</v>
      </c>
    </row>
    <row r="106" spans="1:15" ht="15">
      <c r="A106" s="13" t="s">
        <v>220</v>
      </c>
      <c r="B106" s="56" t="s">
        <v>92</v>
      </c>
      <c r="C106" s="13" t="s">
        <v>54</v>
      </c>
      <c r="D106" s="13">
        <v>118</v>
      </c>
      <c r="E106" s="13"/>
      <c r="F106" s="4" t="s">
        <v>59</v>
      </c>
      <c r="G106" s="30">
        <v>2.8809999999999998</v>
      </c>
      <c r="H106" s="440">
        <v>10</v>
      </c>
      <c r="I106" s="28">
        <v>1</v>
      </c>
      <c r="J106" s="441">
        <f t="shared" si="27"/>
        <v>3.4710170079833396</v>
      </c>
      <c r="K106" s="432">
        <v>1</v>
      </c>
      <c r="L106" s="267">
        <f t="shared" si="28"/>
        <v>3.4710170079833396</v>
      </c>
      <c r="M106" s="433">
        <f t="shared" si="29"/>
        <v>694.20340159666796</v>
      </c>
      <c r="N106" s="434">
        <v>200</v>
      </c>
      <c r="O106" s="435">
        <f t="shared" si="30"/>
        <v>3.4710170079833396</v>
      </c>
    </row>
    <row r="107" spans="1:15" ht="15">
      <c r="A107" s="39"/>
      <c r="B107" s="649" t="s">
        <v>135</v>
      </c>
      <c r="C107" s="649"/>
      <c r="D107" s="649"/>
      <c r="E107" s="649"/>
      <c r="F107" s="649"/>
      <c r="G107" s="649"/>
      <c r="H107" s="649"/>
      <c r="I107" s="649"/>
      <c r="J107" s="649"/>
      <c r="K107" s="649"/>
      <c r="L107" s="435"/>
      <c r="M107" s="262">
        <f>SUM(M108:M110)</f>
        <v>542.1416234887738</v>
      </c>
      <c r="N107" s="263"/>
      <c r="O107" s="264">
        <f>SUM(O108:O110)</f>
        <v>1.4607081174438687</v>
      </c>
    </row>
    <row r="108" spans="1:15" ht="15">
      <c r="A108" s="13" t="s">
        <v>136</v>
      </c>
      <c r="B108" s="56" t="s">
        <v>137</v>
      </c>
      <c r="C108" s="13" t="s">
        <v>138</v>
      </c>
      <c r="D108" s="13">
        <v>117</v>
      </c>
      <c r="E108" s="13"/>
      <c r="F108" s="4" t="s">
        <v>139</v>
      </c>
      <c r="G108" s="28">
        <v>10</v>
      </c>
      <c r="H108" s="440">
        <v>10</v>
      </c>
      <c r="I108" s="28">
        <v>2</v>
      </c>
      <c r="J108" s="441">
        <f>H108/G108*I108</f>
        <v>2</v>
      </c>
      <c r="K108" s="28">
        <v>1</v>
      </c>
      <c r="L108" s="435">
        <f t="shared" si="31" ref="L108:L110">J108*K108</f>
        <v>2</v>
      </c>
      <c r="M108" s="266">
        <f>L108*N108</f>
        <v>400</v>
      </c>
      <c r="N108" s="433">
        <v>200</v>
      </c>
      <c r="O108" s="435">
        <f>J108/I108*K108</f>
        <v>1</v>
      </c>
    </row>
    <row r="109" spans="1:15" ht="15">
      <c r="A109" s="13" t="s">
        <v>346</v>
      </c>
      <c r="B109" s="56" t="s">
        <v>347</v>
      </c>
      <c r="C109" s="13" t="s">
        <v>14</v>
      </c>
      <c r="D109" s="13">
        <v>226</v>
      </c>
      <c r="E109" s="13"/>
      <c r="F109" s="13" t="s">
        <v>58</v>
      </c>
      <c r="G109" s="28">
        <v>23.16</v>
      </c>
      <c r="H109" s="440">
        <v>10</v>
      </c>
      <c r="I109" s="28">
        <v>1</v>
      </c>
      <c r="J109" s="441">
        <f>H109/G109*I109</f>
        <v>0.43177892918825561</v>
      </c>
      <c r="K109" s="28">
        <f>0.122*4</f>
        <v>0.48799999999999999</v>
      </c>
      <c r="L109" s="435">
        <f t="shared" si="31"/>
        <v>0.21070811744386872</v>
      </c>
      <c r="M109" s="266">
        <f>L109*N109</f>
        <v>42.141623488773746</v>
      </c>
      <c r="N109" s="433">
        <v>200</v>
      </c>
      <c r="O109" s="435">
        <f>J109/I109*K109</f>
        <v>0.21070811744386872</v>
      </c>
    </row>
    <row r="110" spans="1:15" ht="15">
      <c r="A110" s="13" t="s">
        <v>344</v>
      </c>
      <c r="B110" s="56" t="s">
        <v>345</v>
      </c>
      <c r="C110" s="13" t="s">
        <v>24</v>
      </c>
      <c r="D110" s="13">
        <v>219</v>
      </c>
      <c r="E110" s="13"/>
      <c r="F110" s="4" t="s">
        <v>139</v>
      </c>
      <c r="G110" s="28">
        <v>40</v>
      </c>
      <c r="H110" s="440">
        <v>10</v>
      </c>
      <c r="I110" s="28">
        <v>2</v>
      </c>
      <c r="J110" s="441">
        <f>H110/G110*I110</f>
        <v>0.50</v>
      </c>
      <c r="K110" s="28">
        <v>1</v>
      </c>
      <c r="L110" s="435">
        <f t="shared" si="31"/>
        <v>0.50</v>
      </c>
      <c r="M110" s="266">
        <f>L110*N110</f>
        <v>100</v>
      </c>
      <c r="N110" s="433">
        <v>200</v>
      </c>
      <c r="O110" s="435">
        <f>J110/I110*K110</f>
        <v>0.25</v>
      </c>
    </row>
    <row r="111" spans="1:15" ht="15">
      <c r="A111" s="39"/>
      <c r="B111" s="649" t="s">
        <v>133</v>
      </c>
      <c r="C111" s="649"/>
      <c r="D111" s="649"/>
      <c r="E111" s="649"/>
      <c r="F111" s="649"/>
      <c r="G111" s="649"/>
      <c r="H111" s="649"/>
      <c r="I111" s="649"/>
      <c r="J111" s="649"/>
      <c r="K111" s="649"/>
      <c r="L111" s="267"/>
      <c r="M111" s="262">
        <f>SUM(M112:M160)</f>
        <v>21972.363756346611</v>
      </c>
      <c r="N111" s="263"/>
      <c r="O111" s="264">
        <f>SUM(O112:O160)</f>
        <v>71.82787370889514</v>
      </c>
    </row>
    <row r="112" spans="1:15" ht="15">
      <c r="A112" s="13" t="s">
        <v>221</v>
      </c>
      <c r="B112" s="56" t="s">
        <v>715</v>
      </c>
      <c r="C112" s="13" t="s">
        <v>24</v>
      </c>
      <c r="D112" s="13">
        <v>112</v>
      </c>
      <c r="E112" s="13"/>
      <c r="F112" s="13" t="s">
        <v>11</v>
      </c>
      <c r="G112" s="432">
        <v>7</v>
      </c>
      <c r="H112" s="440">
        <v>10</v>
      </c>
      <c r="I112" s="28">
        <v>2</v>
      </c>
      <c r="J112" s="441">
        <f t="shared" si="32" ref="J112:J160">H112/G112*I112</f>
        <v>2.8571428571428572</v>
      </c>
      <c r="K112" s="28">
        <v>1</v>
      </c>
      <c r="L112" s="267">
        <f t="shared" si="33" ref="L112:L160">J112*K112</f>
        <v>2.8571428571428572</v>
      </c>
      <c r="M112" s="433">
        <f t="shared" si="34" ref="M112:M160">L112*N112</f>
        <v>571.42857142857144</v>
      </c>
      <c r="N112" s="434">
        <v>200</v>
      </c>
      <c r="O112" s="435">
        <f t="shared" si="35" ref="O112:O160">J112/I112*K112</f>
        <v>1.4285714285714286</v>
      </c>
    </row>
    <row r="113" spans="1:15" ht="15">
      <c r="A113" s="54" t="s">
        <v>1293</v>
      </c>
      <c r="B113" s="55" t="s">
        <v>1294</v>
      </c>
      <c r="C113" s="13" t="s">
        <v>160</v>
      </c>
      <c r="D113" s="13">
        <v>112</v>
      </c>
      <c r="E113" s="13" t="s">
        <v>53</v>
      </c>
      <c r="F113" s="13" t="s">
        <v>1295</v>
      </c>
      <c r="G113" s="28">
        <v>40</v>
      </c>
      <c r="H113" s="431">
        <v>10</v>
      </c>
      <c r="I113" s="28">
        <v>1</v>
      </c>
      <c r="J113" s="473">
        <f t="shared" si="32"/>
        <v>0.25</v>
      </c>
      <c r="K113" s="442">
        <f>640*3.1415*2/1000</f>
        <v>4.0211200000000007</v>
      </c>
      <c r="L113" s="267">
        <f t="shared" si="33"/>
        <v>1.0052800000000002</v>
      </c>
      <c r="M113" s="474">
        <f t="shared" si="34"/>
        <v>201.05600000000004</v>
      </c>
      <c r="N113" s="488">
        <v>200</v>
      </c>
      <c r="O113" s="435">
        <f t="shared" si="35"/>
        <v>1.0052800000000002</v>
      </c>
    </row>
    <row r="114" spans="1:15" ht="30">
      <c r="A114" s="13" t="s">
        <v>225</v>
      </c>
      <c r="B114" s="27" t="s">
        <v>230</v>
      </c>
      <c r="C114" s="13" t="s">
        <v>226</v>
      </c>
      <c r="D114" s="13">
        <v>302</v>
      </c>
      <c r="E114" s="13"/>
      <c r="F114" s="13" t="s">
        <v>227</v>
      </c>
      <c r="G114" s="28">
        <f>600/2.5</f>
        <v>240</v>
      </c>
      <c r="H114" s="440">
        <v>10</v>
      </c>
      <c r="I114" s="28">
        <v>2</v>
      </c>
      <c r="J114" s="441">
        <f t="shared" si="32"/>
        <v>0.083333333333333329</v>
      </c>
      <c r="K114" s="28">
        <v>66</v>
      </c>
      <c r="L114" s="435">
        <f t="shared" si="33"/>
        <v>5.50</v>
      </c>
      <c r="M114" s="433">
        <f t="shared" si="34"/>
        <v>1100</v>
      </c>
      <c r="N114" s="433">
        <v>200</v>
      </c>
      <c r="O114" s="435">
        <f t="shared" si="35"/>
        <v>2.75</v>
      </c>
    </row>
    <row r="115" spans="1:15" ht="30">
      <c r="A115" s="13" t="s">
        <v>228</v>
      </c>
      <c r="B115" s="27" t="s">
        <v>1282</v>
      </c>
      <c r="C115" s="13" t="s">
        <v>24</v>
      </c>
      <c r="D115" s="13">
        <v>110</v>
      </c>
      <c r="E115" s="13"/>
      <c r="F115" s="13" t="s">
        <v>63</v>
      </c>
      <c r="G115" s="28">
        <f>10*40</f>
        <v>400</v>
      </c>
      <c r="H115" s="440">
        <v>10</v>
      </c>
      <c r="I115" s="28">
        <v>2</v>
      </c>
      <c r="J115" s="441">
        <f t="shared" si="32"/>
        <v>0.05</v>
      </c>
      <c r="K115" s="28">
        <v>66</v>
      </c>
      <c r="L115" s="435">
        <f t="shared" si="33"/>
        <v>3.3000000000000003</v>
      </c>
      <c r="M115" s="433">
        <f t="shared" si="34"/>
        <v>501.60</v>
      </c>
      <c r="N115" s="433">
        <v>152</v>
      </c>
      <c r="O115" s="435">
        <f t="shared" si="35"/>
        <v>1.65</v>
      </c>
    </row>
    <row r="116" spans="1:15" ht="15">
      <c r="A116" s="13" t="s">
        <v>232</v>
      </c>
      <c r="B116" s="27" t="s">
        <v>61</v>
      </c>
      <c r="C116" s="13" t="s">
        <v>62</v>
      </c>
      <c r="D116" s="13">
        <v>112</v>
      </c>
      <c r="E116" s="13"/>
      <c r="F116" s="13" t="s">
        <v>63</v>
      </c>
      <c r="G116" s="28">
        <v>200</v>
      </c>
      <c r="H116" s="440">
        <v>10</v>
      </c>
      <c r="I116" s="28">
        <v>2</v>
      </c>
      <c r="J116" s="441">
        <f t="shared" si="32"/>
        <v>0.10000000000000001</v>
      </c>
      <c r="K116" s="28">
        <v>66</v>
      </c>
      <c r="L116" s="267">
        <f t="shared" si="33"/>
        <v>6.60</v>
      </c>
      <c r="M116" s="433">
        <f t="shared" si="34"/>
        <v>1003.20</v>
      </c>
      <c r="N116" s="434">
        <v>152</v>
      </c>
      <c r="O116" s="435">
        <f t="shared" si="35"/>
        <v>3.3000000000000003</v>
      </c>
    </row>
    <row r="117" spans="1:15" ht="15">
      <c r="A117" s="13" t="s">
        <v>536</v>
      </c>
      <c r="B117" s="27" t="s">
        <v>537</v>
      </c>
      <c r="C117" s="13" t="s">
        <v>538</v>
      </c>
      <c r="D117" s="13">
        <v>115</v>
      </c>
      <c r="E117" s="13"/>
      <c r="F117" s="13" t="s">
        <v>63</v>
      </c>
      <c r="G117" s="28">
        <v>1200</v>
      </c>
      <c r="H117" s="440">
        <v>10</v>
      </c>
      <c r="I117" s="28">
        <v>1</v>
      </c>
      <c r="J117" s="441">
        <f t="shared" si="32"/>
        <v>0.0083333333333333332</v>
      </c>
      <c r="K117" s="28">
        <v>66</v>
      </c>
      <c r="L117" s="267">
        <f t="shared" si="33"/>
        <v>0.55000000000000004</v>
      </c>
      <c r="M117" s="433">
        <f t="shared" si="34"/>
        <v>110.00000000000001</v>
      </c>
      <c r="N117" s="434">
        <v>200</v>
      </c>
      <c r="O117" s="435">
        <f t="shared" si="35"/>
        <v>0.55000000000000004</v>
      </c>
    </row>
    <row r="118" spans="1:15" ht="30">
      <c r="A118" s="13" t="s">
        <v>233</v>
      </c>
      <c r="B118" s="27" t="s">
        <v>66</v>
      </c>
      <c r="C118" s="13" t="s">
        <v>48</v>
      </c>
      <c r="D118" s="13">
        <v>112</v>
      </c>
      <c r="E118" s="13"/>
      <c r="F118" s="13" t="s">
        <v>67</v>
      </c>
      <c r="G118" s="28">
        <v>80</v>
      </c>
      <c r="H118" s="440">
        <v>10</v>
      </c>
      <c r="I118" s="28">
        <v>2</v>
      </c>
      <c r="J118" s="441">
        <f t="shared" si="32"/>
        <v>0.25</v>
      </c>
      <c r="K118" s="28">
        <v>4</v>
      </c>
      <c r="L118" s="267">
        <f t="shared" si="33"/>
        <v>1</v>
      </c>
      <c r="M118" s="433">
        <f t="shared" si="34"/>
        <v>200</v>
      </c>
      <c r="N118" s="434">
        <v>200</v>
      </c>
      <c r="O118" s="435">
        <f t="shared" si="35"/>
        <v>0.50</v>
      </c>
    </row>
    <row r="119" spans="1:15" ht="15">
      <c r="A119" s="637" t="s">
        <v>234</v>
      </c>
      <c r="B119" s="648" t="s">
        <v>235</v>
      </c>
      <c r="C119" s="13" t="s">
        <v>72</v>
      </c>
      <c r="D119" s="13">
        <v>115</v>
      </c>
      <c r="E119" s="13"/>
      <c r="F119" s="13" t="s">
        <v>236</v>
      </c>
      <c r="G119" s="28">
        <v>20</v>
      </c>
      <c r="H119" s="440">
        <v>10</v>
      </c>
      <c r="I119" s="28">
        <v>2</v>
      </c>
      <c r="J119" s="441">
        <f t="shared" si="32"/>
        <v>1</v>
      </c>
      <c r="K119" s="28">
        <v>5</v>
      </c>
      <c r="L119" s="267">
        <f t="shared" si="33"/>
        <v>5</v>
      </c>
      <c r="M119" s="433">
        <f t="shared" si="34"/>
        <v>1000</v>
      </c>
      <c r="N119" s="434">
        <v>200</v>
      </c>
      <c r="O119" s="435">
        <f t="shared" si="35"/>
        <v>2.50</v>
      </c>
    </row>
    <row r="120" spans="1:15" ht="15">
      <c r="A120" s="637"/>
      <c r="B120" s="648"/>
      <c r="C120" s="13" t="s">
        <v>48</v>
      </c>
      <c r="D120" s="13">
        <v>115</v>
      </c>
      <c r="E120" s="13" t="s">
        <v>73</v>
      </c>
      <c r="F120" s="13" t="s">
        <v>10</v>
      </c>
      <c r="G120" s="28">
        <v>30</v>
      </c>
      <c r="H120" s="440">
        <v>10</v>
      </c>
      <c r="I120" s="28">
        <v>1</v>
      </c>
      <c r="J120" s="441">
        <f t="shared" si="32"/>
        <v>0.33333333333333331</v>
      </c>
      <c r="K120" s="442">
        <f>(1151+588+2585+729+1548)*2/1000</f>
        <v>13.202</v>
      </c>
      <c r="L120" s="267">
        <f t="shared" si="33"/>
        <v>4.4006666666666661</v>
      </c>
      <c r="M120" s="433">
        <f t="shared" si="34"/>
        <v>880.13333333333321</v>
      </c>
      <c r="N120" s="434">
        <v>200</v>
      </c>
      <c r="O120" s="435">
        <f t="shared" si="35"/>
        <v>4.4006666666666661</v>
      </c>
    </row>
    <row r="121" spans="1:15" ht="15">
      <c r="A121" s="13" t="s">
        <v>237</v>
      </c>
      <c r="B121" s="56" t="s">
        <v>238</v>
      </c>
      <c r="C121" s="13" t="s">
        <v>69</v>
      </c>
      <c r="D121" s="13">
        <v>110</v>
      </c>
      <c r="E121" s="13"/>
      <c r="F121" s="13" t="s">
        <v>34</v>
      </c>
      <c r="G121" s="28">
        <v>10</v>
      </c>
      <c r="H121" s="440">
        <v>10</v>
      </c>
      <c r="I121" s="28">
        <v>2</v>
      </c>
      <c r="J121" s="441">
        <f t="shared" si="32"/>
        <v>2</v>
      </c>
      <c r="K121" s="28">
        <v>1</v>
      </c>
      <c r="L121" s="267">
        <f t="shared" si="33"/>
        <v>2</v>
      </c>
      <c r="M121" s="433">
        <f t="shared" si="34"/>
        <v>400</v>
      </c>
      <c r="N121" s="434">
        <v>200</v>
      </c>
      <c r="O121" s="435">
        <f t="shared" si="35"/>
        <v>1</v>
      </c>
    </row>
    <row r="122" spans="1:15" ht="30">
      <c r="A122" s="13" t="s">
        <v>896</v>
      </c>
      <c r="B122" s="56" t="s">
        <v>894</v>
      </c>
      <c r="C122" s="13" t="s">
        <v>138</v>
      </c>
      <c r="D122" s="13">
        <v>110</v>
      </c>
      <c r="E122" s="13"/>
      <c r="F122" s="13" t="s">
        <v>12</v>
      </c>
      <c r="G122" s="28">
        <v>12</v>
      </c>
      <c r="H122" s="440">
        <v>10</v>
      </c>
      <c r="I122" s="28">
        <v>2</v>
      </c>
      <c r="J122" s="441">
        <f t="shared" si="32"/>
        <v>1.6666666666666667</v>
      </c>
      <c r="K122" s="28">
        <v>1</v>
      </c>
      <c r="L122" s="267">
        <f t="shared" si="33"/>
        <v>1.6666666666666667</v>
      </c>
      <c r="M122" s="433">
        <f t="shared" si="34"/>
        <v>333.33333333333337</v>
      </c>
      <c r="N122" s="434">
        <v>200</v>
      </c>
      <c r="O122" s="435">
        <f t="shared" si="35"/>
        <v>0.83333333333333337</v>
      </c>
    </row>
    <row r="123" spans="1:15" ht="30">
      <c r="A123" s="13" t="s">
        <v>243</v>
      </c>
      <c r="B123" s="56" t="s">
        <v>244</v>
      </c>
      <c r="C123" s="13" t="s">
        <v>25</v>
      </c>
      <c r="D123" s="13">
        <v>110</v>
      </c>
      <c r="E123" s="13" t="s">
        <v>53</v>
      </c>
      <c r="F123" s="13" t="s">
        <v>10</v>
      </c>
      <c r="G123" s="28">
        <v>40</v>
      </c>
      <c r="H123" s="440">
        <v>10</v>
      </c>
      <c r="I123" s="28">
        <v>1</v>
      </c>
      <c r="J123" s="441">
        <f t="shared" si="32"/>
        <v>0.25</v>
      </c>
      <c r="K123" s="28">
        <f>3816*2/1000</f>
        <v>7.6319999999999997</v>
      </c>
      <c r="L123" s="267">
        <f t="shared" si="33"/>
        <v>1.9079999999999999</v>
      </c>
      <c r="M123" s="433">
        <f t="shared" si="34"/>
        <v>381.60</v>
      </c>
      <c r="N123" s="434">
        <v>200</v>
      </c>
      <c r="O123" s="435">
        <f t="shared" si="35"/>
        <v>1.9079999999999999</v>
      </c>
    </row>
    <row r="124" spans="1:15" ht="15">
      <c r="A124" s="13" t="s">
        <v>237</v>
      </c>
      <c r="B124" s="56" t="s">
        <v>71</v>
      </c>
      <c r="C124" s="13" t="s">
        <v>68</v>
      </c>
      <c r="D124" s="13">
        <v>110</v>
      </c>
      <c r="E124" s="13"/>
      <c r="F124" s="13" t="s">
        <v>34</v>
      </c>
      <c r="G124" s="28">
        <v>20</v>
      </c>
      <c r="H124" s="440">
        <v>10</v>
      </c>
      <c r="I124" s="28">
        <v>2</v>
      </c>
      <c r="J124" s="441">
        <f t="shared" si="32"/>
        <v>1</v>
      </c>
      <c r="K124" s="28">
        <v>1</v>
      </c>
      <c r="L124" s="267">
        <f t="shared" si="33"/>
        <v>1</v>
      </c>
      <c r="M124" s="433">
        <f t="shared" si="34"/>
        <v>200</v>
      </c>
      <c r="N124" s="434">
        <v>200</v>
      </c>
      <c r="O124" s="435">
        <f t="shared" si="35"/>
        <v>0.50</v>
      </c>
    </row>
    <row r="125" spans="1:15" ht="30">
      <c r="A125" s="13" t="s">
        <v>897</v>
      </c>
      <c r="B125" s="56" t="s">
        <v>895</v>
      </c>
      <c r="C125" s="13" t="s">
        <v>138</v>
      </c>
      <c r="D125" s="13">
        <v>110</v>
      </c>
      <c r="E125" s="13"/>
      <c r="F125" s="13" t="s">
        <v>12</v>
      </c>
      <c r="G125" s="28">
        <v>12</v>
      </c>
      <c r="H125" s="440">
        <v>10</v>
      </c>
      <c r="I125" s="28">
        <v>2</v>
      </c>
      <c r="J125" s="441">
        <f t="shared" si="32"/>
        <v>1.6666666666666667</v>
      </c>
      <c r="K125" s="28">
        <v>1</v>
      </c>
      <c r="L125" s="267">
        <f t="shared" si="33"/>
        <v>1.6666666666666667</v>
      </c>
      <c r="M125" s="433">
        <f t="shared" si="34"/>
        <v>333.33333333333337</v>
      </c>
      <c r="N125" s="434">
        <v>200</v>
      </c>
      <c r="O125" s="435">
        <f t="shared" si="35"/>
        <v>0.83333333333333337</v>
      </c>
    </row>
    <row r="126" spans="1:15" ht="30">
      <c r="A126" s="13" t="s">
        <v>249</v>
      </c>
      <c r="B126" s="56" t="s">
        <v>248</v>
      </c>
      <c r="C126" s="13" t="s">
        <v>25</v>
      </c>
      <c r="D126" s="13">
        <v>110</v>
      </c>
      <c r="E126" s="13" t="s">
        <v>53</v>
      </c>
      <c r="F126" s="13" t="s">
        <v>10</v>
      </c>
      <c r="G126" s="28">
        <v>40</v>
      </c>
      <c r="H126" s="440">
        <v>10</v>
      </c>
      <c r="I126" s="28">
        <v>1</v>
      </c>
      <c r="J126" s="441">
        <f t="shared" si="32"/>
        <v>0.25</v>
      </c>
      <c r="K126" s="28">
        <f>3816*2/1000</f>
        <v>7.6319999999999997</v>
      </c>
      <c r="L126" s="267">
        <f t="shared" si="33"/>
        <v>1.9079999999999999</v>
      </c>
      <c r="M126" s="433">
        <f t="shared" si="34"/>
        <v>381.60</v>
      </c>
      <c r="N126" s="434">
        <v>200</v>
      </c>
      <c r="O126" s="435">
        <f t="shared" si="35"/>
        <v>1.9079999999999999</v>
      </c>
    </row>
    <row r="127" spans="1:15" ht="15">
      <c r="A127" s="13" t="s">
        <v>237</v>
      </c>
      <c r="B127" s="56" t="s">
        <v>71</v>
      </c>
      <c r="C127" s="13" t="s">
        <v>68</v>
      </c>
      <c r="D127" s="13">
        <v>110</v>
      </c>
      <c r="E127" s="13"/>
      <c r="F127" s="13" t="s">
        <v>34</v>
      </c>
      <c r="G127" s="28">
        <v>20</v>
      </c>
      <c r="H127" s="440">
        <v>10</v>
      </c>
      <c r="I127" s="28">
        <v>2</v>
      </c>
      <c r="J127" s="441">
        <f t="shared" si="32"/>
        <v>1</v>
      </c>
      <c r="K127" s="28">
        <v>1</v>
      </c>
      <c r="L127" s="267">
        <f t="shared" si="33"/>
        <v>1</v>
      </c>
      <c r="M127" s="433">
        <f t="shared" si="34"/>
        <v>200</v>
      </c>
      <c r="N127" s="434">
        <v>200</v>
      </c>
      <c r="O127" s="435">
        <f t="shared" si="35"/>
        <v>0.50</v>
      </c>
    </row>
    <row r="128" spans="1:15" ht="30">
      <c r="A128" s="13" t="s">
        <v>239</v>
      </c>
      <c r="B128" s="56" t="s">
        <v>240</v>
      </c>
      <c r="C128" s="13" t="s">
        <v>25</v>
      </c>
      <c r="D128" s="13">
        <v>113</v>
      </c>
      <c r="E128" s="13"/>
      <c r="F128" s="13" t="s">
        <v>63</v>
      </c>
      <c r="G128" s="432">
        <v>112</v>
      </c>
      <c r="H128" s="440">
        <v>10</v>
      </c>
      <c r="I128" s="28">
        <v>1</v>
      </c>
      <c r="J128" s="441">
        <f t="shared" si="32"/>
        <v>0.089285714285714288</v>
      </c>
      <c r="K128" s="28">
        <v>66</v>
      </c>
      <c r="L128" s="267">
        <f t="shared" si="33"/>
        <v>5.8928571428571432</v>
      </c>
      <c r="M128" s="433">
        <f t="shared" si="34"/>
        <v>1532.1428571428573</v>
      </c>
      <c r="N128" s="434">
        <v>260</v>
      </c>
      <c r="O128" s="435">
        <f t="shared" si="35"/>
        <v>5.8928571428571432</v>
      </c>
    </row>
    <row r="129" spans="1:15" ht="30">
      <c r="A129" s="13" t="s">
        <v>317</v>
      </c>
      <c r="B129" s="56" t="s">
        <v>242</v>
      </c>
      <c r="C129" s="13" t="s">
        <v>25</v>
      </c>
      <c r="D129" s="13">
        <v>113</v>
      </c>
      <c r="E129" s="13" t="s">
        <v>70</v>
      </c>
      <c r="F129" s="13" t="s">
        <v>10</v>
      </c>
      <c r="G129" s="28">
        <v>40</v>
      </c>
      <c r="H129" s="440">
        <v>10</v>
      </c>
      <c r="I129" s="28">
        <v>1</v>
      </c>
      <c r="J129" s="441">
        <f t="shared" si="32"/>
        <v>0.25</v>
      </c>
      <c r="K129" s="436">
        <f>822/1000*3.1415</f>
        <v>2.5823130000000001</v>
      </c>
      <c r="L129" s="267">
        <f t="shared" si="33"/>
        <v>0.64557825000000002</v>
      </c>
      <c r="M129" s="433">
        <f t="shared" si="34"/>
        <v>129.11565000000002</v>
      </c>
      <c r="N129" s="434">
        <v>200</v>
      </c>
      <c r="O129" s="435">
        <f t="shared" si="35"/>
        <v>0.64557825000000002</v>
      </c>
    </row>
    <row r="130" spans="1:15" ht="30">
      <c r="A130" s="13" t="s">
        <v>245</v>
      </c>
      <c r="B130" s="56" t="s">
        <v>246</v>
      </c>
      <c r="C130" s="13" t="s">
        <v>25</v>
      </c>
      <c r="D130" s="13">
        <v>113</v>
      </c>
      <c r="E130" s="13"/>
      <c r="F130" s="13" t="s">
        <v>63</v>
      </c>
      <c r="G130" s="432">
        <v>112</v>
      </c>
      <c r="H130" s="440">
        <v>10</v>
      </c>
      <c r="I130" s="28">
        <v>1</v>
      </c>
      <c r="J130" s="441">
        <f t="shared" si="32"/>
        <v>0.089285714285714288</v>
      </c>
      <c r="K130" s="28">
        <v>66</v>
      </c>
      <c r="L130" s="267">
        <f t="shared" si="33"/>
        <v>5.8928571428571432</v>
      </c>
      <c r="M130" s="433">
        <f t="shared" si="34"/>
        <v>1532.1428571428573</v>
      </c>
      <c r="N130" s="434">
        <v>260</v>
      </c>
      <c r="O130" s="435">
        <f t="shared" si="35"/>
        <v>5.8928571428571432</v>
      </c>
    </row>
    <row r="131" spans="1:15" ht="15">
      <c r="A131" s="13" t="s">
        <v>741</v>
      </c>
      <c r="B131" s="56" t="s">
        <v>1281</v>
      </c>
      <c r="C131" s="13" t="s">
        <v>33</v>
      </c>
      <c r="D131" s="13">
        <v>115</v>
      </c>
      <c r="E131" s="13"/>
      <c r="F131" s="13"/>
      <c r="G131" s="28">
        <v>5</v>
      </c>
      <c r="H131" s="440">
        <v>10</v>
      </c>
      <c r="I131" s="28">
        <v>1</v>
      </c>
      <c r="J131" s="441">
        <f t="shared" si="32"/>
        <v>2</v>
      </c>
      <c r="K131" s="28">
        <v>1</v>
      </c>
      <c r="L131" s="267">
        <f t="shared" si="33"/>
        <v>2</v>
      </c>
      <c r="M131" s="433">
        <f t="shared" si="34"/>
        <v>400</v>
      </c>
      <c r="N131" s="434">
        <v>200</v>
      </c>
      <c r="O131" s="435">
        <f t="shared" si="35"/>
        <v>2</v>
      </c>
    </row>
    <row r="132" spans="1:15" ht="15">
      <c r="A132" s="645" t="s">
        <v>254</v>
      </c>
      <c r="B132" s="639" t="s">
        <v>884</v>
      </c>
      <c r="C132" s="13" t="s">
        <v>76</v>
      </c>
      <c r="D132" s="13">
        <v>115</v>
      </c>
      <c r="E132" s="13"/>
      <c r="F132" s="13" t="s">
        <v>78</v>
      </c>
      <c r="G132" s="28">
        <v>20</v>
      </c>
      <c r="H132" s="440">
        <v>10</v>
      </c>
      <c r="I132" s="28">
        <v>2</v>
      </c>
      <c r="J132" s="441">
        <f t="shared" si="32"/>
        <v>1</v>
      </c>
      <c r="K132" s="28">
        <v>2</v>
      </c>
      <c r="L132" s="267">
        <f t="shared" si="33"/>
        <v>2</v>
      </c>
      <c r="M132" s="433">
        <f t="shared" si="34"/>
        <v>400</v>
      </c>
      <c r="N132" s="434">
        <v>200</v>
      </c>
      <c r="O132" s="435">
        <f t="shared" si="35"/>
        <v>1</v>
      </c>
    </row>
    <row r="133" spans="1:15" ht="15">
      <c r="A133" s="647"/>
      <c r="B133" s="641"/>
      <c r="C133" s="13" t="s">
        <v>77</v>
      </c>
      <c r="D133" s="13">
        <v>115</v>
      </c>
      <c r="E133" s="13" t="s">
        <v>79</v>
      </c>
      <c r="F133" s="13" t="s">
        <v>10</v>
      </c>
      <c r="G133" s="28">
        <v>40</v>
      </c>
      <c r="H133" s="440">
        <v>10</v>
      </c>
      <c r="I133" s="28">
        <v>1</v>
      </c>
      <c r="J133" s="441">
        <f t="shared" si="32"/>
        <v>0.25</v>
      </c>
      <c r="K133" s="442">
        <f>(116*2*6+130*4)/1000</f>
        <v>1.9119999999999999</v>
      </c>
      <c r="L133" s="267">
        <f t="shared" si="33"/>
        <v>0.47799999999999998</v>
      </c>
      <c r="M133" s="433">
        <f t="shared" si="34"/>
        <v>95.60</v>
      </c>
      <c r="N133" s="434">
        <v>200</v>
      </c>
      <c r="O133" s="435">
        <f t="shared" si="35"/>
        <v>0.47799999999999998</v>
      </c>
    </row>
    <row r="134" spans="1:15" ht="15">
      <c r="A134" s="637" t="s">
        <v>257</v>
      </c>
      <c r="B134" s="638" t="s">
        <v>258</v>
      </c>
      <c r="C134" s="13" t="s">
        <v>259</v>
      </c>
      <c r="D134" s="13">
        <v>107</v>
      </c>
      <c r="E134" s="13" t="s">
        <v>260</v>
      </c>
      <c r="F134" s="13" t="s">
        <v>261</v>
      </c>
      <c r="G134" s="442">
        <f>8*2</f>
        <v>16</v>
      </c>
      <c r="H134" s="468">
        <v>10</v>
      </c>
      <c r="I134" s="432">
        <v>2</v>
      </c>
      <c r="J134" s="468">
        <f t="shared" si="32"/>
        <v>1.25</v>
      </c>
      <c r="K134" s="442">
        <v>1</v>
      </c>
      <c r="L134" s="267">
        <f t="shared" si="33"/>
        <v>1.25</v>
      </c>
      <c r="M134" s="266">
        <f t="shared" si="34"/>
        <v>250</v>
      </c>
      <c r="N134" s="433">
        <v>200</v>
      </c>
      <c r="O134" s="267">
        <f t="shared" si="35"/>
        <v>0.625</v>
      </c>
    </row>
    <row r="135" spans="1:15" ht="15">
      <c r="A135" s="637"/>
      <c r="B135" s="638"/>
      <c r="C135" s="13" t="s">
        <v>262</v>
      </c>
      <c r="D135" s="13">
        <v>107</v>
      </c>
      <c r="E135" s="13" t="s">
        <v>260</v>
      </c>
      <c r="F135" s="13" t="s">
        <v>261</v>
      </c>
      <c r="G135" s="442">
        <v>32</v>
      </c>
      <c r="H135" s="472">
        <v>10</v>
      </c>
      <c r="I135" s="432">
        <v>2</v>
      </c>
      <c r="J135" s="472">
        <f t="shared" si="32"/>
        <v>0.625</v>
      </c>
      <c r="K135" s="442">
        <v>2</v>
      </c>
      <c r="L135" s="435">
        <f t="shared" si="33"/>
        <v>1.25</v>
      </c>
      <c r="M135" s="266">
        <f t="shared" si="34"/>
        <v>250</v>
      </c>
      <c r="N135" s="433">
        <v>200</v>
      </c>
      <c r="O135" s="435">
        <f t="shared" si="35"/>
        <v>0.625</v>
      </c>
    </row>
    <row r="136" spans="1:15" ht="15">
      <c r="A136" s="637"/>
      <c r="B136" s="638"/>
      <c r="C136" s="13" t="s">
        <v>263</v>
      </c>
      <c r="D136" s="13">
        <v>107</v>
      </c>
      <c r="E136" s="13" t="s">
        <v>260</v>
      </c>
      <c r="F136" s="13" t="s">
        <v>261</v>
      </c>
      <c r="G136" s="442">
        <v>90</v>
      </c>
      <c r="H136" s="431">
        <v>10</v>
      </c>
      <c r="I136" s="28">
        <v>2</v>
      </c>
      <c r="J136" s="473">
        <f t="shared" si="32"/>
        <v>0.22222222222222221</v>
      </c>
      <c r="K136" s="442">
        <v>4</v>
      </c>
      <c r="L136" s="435">
        <f t="shared" si="33"/>
        <v>0.88888888888888884</v>
      </c>
      <c r="M136" s="266">
        <f t="shared" si="34"/>
        <v>177.77777777777777</v>
      </c>
      <c r="N136" s="433">
        <v>200</v>
      </c>
      <c r="O136" s="435">
        <f t="shared" si="35"/>
        <v>0.44444444444444442</v>
      </c>
    </row>
    <row r="137" spans="1:15" ht="15">
      <c r="A137" s="637" t="s">
        <v>265</v>
      </c>
      <c r="B137" s="638" t="s">
        <v>266</v>
      </c>
      <c r="C137" s="13" t="s">
        <v>76</v>
      </c>
      <c r="D137" s="13">
        <v>116</v>
      </c>
      <c r="E137" s="13"/>
      <c r="F137" s="13" t="s">
        <v>82</v>
      </c>
      <c r="G137" s="28">
        <v>6</v>
      </c>
      <c r="H137" s="440">
        <v>10</v>
      </c>
      <c r="I137" s="28">
        <v>2</v>
      </c>
      <c r="J137" s="441">
        <f t="shared" si="32"/>
        <v>3.3333333333333335</v>
      </c>
      <c r="K137" s="28">
        <v>1</v>
      </c>
      <c r="L137" s="267">
        <f t="shared" si="33"/>
        <v>3.3333333333333335</v>
      </c>
      <c r="M137" s="433">
        <f t="shared" si="34"/>
        <v>666.66666666666674</v>
      </c>
      <c r="N137" s="434">
        <v>200</v>
      </c>
      <c r="O137" s="435">
        <f t="shared" si="35"/>
        <v>1.6666666666666667</v>
      </c>
    </row>
    <row r="138" spans="1:15" ht="15">
      <c r="A138" s="637"/>
      <c r="B138" s="638"/>
      <c r="C138" s="13" t="s">
        <v>77</v>
      </c>
      <c r="D138" s="13">
        <v>116</v>
      </c>
      <c r="E138" s="13" t="s">
        <v>264</v>
      </c>
      <c r="F138" s="13" t="s">
        <v>10</v>
      </c>
      <c r="G138" s="28">
        <v>40</v>
      </c>
      <c r="H138" s="440">
        <v>10</v>
      </c>
      <c r="I138" s="28">
        <v>1</v>
      </c>
      <c r="J138" s="441">
        <f t="shared" si="32"/>
        <v>0.25</v>
      </c>
      <c r="K138" s="442">
        <f>(133*3.1415*2+273*3.1415)*2/1000</f>
        <v>3.3865370000000001</v>
      </c>
      <c r="L138" s="267">
        <f t="shared" si="33"/>
        <v>0.84663425000000003</v>
      </c>
      <c r="M138" s="433">
        <f t="shared" si="34"/>
        <v>169.32685000000001</v>
      </c>
      <c r="N138" s="434">
        <v>200</v>
      </c>
      <c r="O138" s="435">
        <f t="shared" si="35"/>
        <v>0.84663425000000003</v>
      </c>
    </row>
    <row r="139" spans="1:15" ht="30">
      <c r="A139" s="13" t="s">
        <v>267</v>
      </c>
      <c r="B139" s="27" t="s">
        <v>519</v>
      </c>
      <c r="C139" s="13" t="s">
        <v>77</v>
      </c>
      <c r="D139" s="13">
        <v>116</v>
      </c>
      <c r="E139" s="13"/>
      <c r="F139" s="13" t="s">
        <v>67</v>
      </c>
      <c r="G139" s="28">
        <v>10</v>
      </c>
      <c r="H139" s="440">
        <v>10</v>
      </c>
      <c r="I139" s="28">
        <v>2</v>
      </c>
      <c r="J139" s="441">
        <f t="shared" si="32"/>
        <v>2</v>
      </c>
      <c r="K139" s="28">
        <v>1</v>
      </c>
      <c r="L139" s="267">
        <f t="shared" si="33"/>
        <v>2</v>
      </c>
      <c r="M139" s="433">
        <f t="shared" si="34"/>
        <v>400</v>
      </c>
      <c r="N139" s="434">
        <v>200</v>
      </c>
      <c r="O139" s="435">
        <f t="shared" si="35"/>
        <v>1</v>
      </c>
    </row>
    <row r="140" spans="1:15" ht="15">
      <c r="A140" s="13" t="s">
        <v>268</v>
      </c>
      <c r="B140" s="27" t="s">
        <v>334</v>
      </c>
      <c r="C140" s="13" t="s">
        <v>83</v>
      </c>
      <c r="D140" s="13">
        <v>116</v>
      </c>
      <c r="E140" s="13"/>
      <c r="F140" s="4" t="s">
        <v>84</v>
      </c>
      <c r="G140" s="16">
        <v>10</v>
      </c>
      <c r="H140" s="440">
        <v>10</v>
      </c>
      <c r="I140" s="28">
        <v>2</v>
      </c>
      <c r="J140" s="441">
        <f t="shared" si="32"/>
        <v>2</v>
      </c>
      <c r="K140" s="28">
        <v>1</v>
      </c>
      <c r="L140" s="267">
        <f t="shared" si="33"/>
        <v>2</v>
      </c>
      <c r="M140" s="433">
        <f t="shared" si="34"/>
        <v>400</v>
      </c>
      <c r="N140" s="434">
        <v>200</v>
      </c>
      <c r="O140" s="435">
        <f t="shared" si="35"/>
        <v>1</v>
      </c>
    </row>
    <row r="141" spans="1:15" ht="15">
      <c r="A141" s="13" t="s">
        <v>335</v>
      </c>
      <c r="B141" s="27" t="s">
        <v>336</v>
      </c>
      <c r="C141" s="13" t="s">
        <v>83</v>
      </c>
      <c r="D141" s="13">
        <v>116</v>
      </c>
      <c r="E141" s="13"/>
      <c r="F141" s="4" t="s">
        <v>84</v>
      </c>
      <c r="G141" s="16">
        <v>5</v>
      </c>
      <c r="H141" s="440">
        <v>10</v>
      </c>
      <c r="I141" s="28">
        <v>2</v>
      </c>
      <c r="J141" s="441">
        <f t="shared" si="32"/>
        <v>4</v>
      </c>
      <c r="K141" s="28">
        <v>1</v>
      </c>
      <c r="L141" s="267">
        <f t="shared" si="33"/>
        <v>4</v>
      </c>
      <c r="M141" s="433">
        <f t="shared" si="34"/>
        <v>800</v>
      </c>
      <c r="N141" s="434">
        <v>200</v>
      </c>
      <c r="O141" s="435">
        <f t="shared" si="35"/>
        <v>2</v>
      </c>
    </row>
    <row r="142" spans="1:15" ht="15">
      <c r="A142" s="13" t="s">
        <v>526</v>
      </c>
      <c r="B142" s="56" t="s">
        <v>524</v>
      </c>
      <c r="C142" s="13" t="s">
        <v>523</v>
      </c>
      <c r="D142" s="13">
        <v>224</v>
      </c>
      <c r="E142" s="13"/>
      <c r="F142" s="4" t="s">
        <v>525</v>
      </c>
      <c r="G142" s="28">
        <v>600</v>
      </c>
      <c r="H142" s="431">
        <v>10</v>
      </c>
      <c r="I142" s="28">
        <v>1</v>
      </c>
      <c r="J142" s="441">
        <f t="shared" si="32"/>
        <v>0.016666666666666666</v>
      </c>
      <c r="K142" s="28">
        <v>4</v>
      </c>
      <c r="L142" s="267">
        <f t="shared" si="33"/>
        <v>0.066666666666666666</v>
      </c>
      <c r="M142" s="433">
        <f t="shared" si="34"/>
        <v>11.733333333333333</v>
      </c>
      <c r="N142" s="434">
        <v>176</v>
      </c>
      <c r="O142" s="435">
        <f t="shared" si="35"/>
        <v>0.066666666666666666</v>
      </c>
    </row>
    <row r="143" spans="1:15" ht="15">
      <c r="A143" s="13" t="s">
        <v>269</v>
      </c>
      <c r="B143" s="56" t="s">
        <v>270</v>
      </c>
      <c r="C143" s="13" t="s">
        <v>523</v>
      </c>
      <c r="D143" s="13">
        <v>224</v>
      </c>
      <c r="E143" s="13"/>
      <c r="F143" s="4" t="s">
        <v>88</v>
      </c>
      <c r="G143" s="28">
        <v>300</v>
      </c>
      <c r="H143" s="431">
        <v>10</v>
      </c>
      <c r="I143" s="28">
        <v>1</v>
      </c>
      <c r="J143" s="441">
        <f t="shared" si="32"/>
        <v>0.033333333333333333</v>
      </c>
      <c r="K143" s="28">
        <v>2</v>
      </c>
      <c r="L143" s="267">
        <f t="shared" si="33"/>
        <v>0.066666666666666666</v>
      </c>
      <c r="M143" s="433">
        <f t="shared" si="34"/>
        <v>11.733333333333333</v>
      </c>
      <c r="N143" s="434">
        <v>176</v>
      </c>
      <c r="O143" s="435">
        <f t="shared" si="35"/>
        <v>0.066666666666666666</v>
      </c>
    </row>
    <row r="144" spans="1:15" ht="15">
      <c r="A144" s="13" t="s">
        <v>918</v>
      </c>
      <c r="B144" s="56" t="s">
        <v>898</v>
      </c>
      <c r="C144" s="13" t="s">
        <v>523</v>
      </c>
      <c r="D144" s="13">
        <v>224</v>
      </c>
      <c r="E144" s="13"/>
      <c r="F144" s="4" t="s">
        <v>88</v>
      </c>
      <c r="G144" s="28">
        <v>600</v>
      </c>
      <c r="H144" s="431">
        <v>10</v>
      </c>
      <c r="I144" s="28">
        <v>1</v>
      </c>
      <c r="J144" s="441">
        <f t="shared" si="32"/>
        <v>0.016666666666666666</v>
      </c>
      <c r="K144" s="28">
        <v>1</v>
      </c>
      <c r="L144" s="267">
        <f t="shared" si="33"/>
        <v>0.016666666666666666</v>
      </c>
      <c r="M144" s="433">
        <f t="shared" si="34"/>
        <v>2.9333333333333331</v>
      </c>
      <c r="N144" s="434">
        <v>176</v>
      </c>
      <c r="O144" s="435">
        <f t="shared" si="35"/>
        <v>0.016666666666666666</v>
      </c>
    </row>
    <row r="145" spans="1:15" ht="30">
      <c r="A145" s="13" t="s">
        <v>271</v>
      </c>
      <c r="B145" s="56" t="s">
        <v>85</v>
      </c>
      <c r="C145" s="13" t="s">
        <v>83</v>
      </c>
      <c r="D145" s="13">
        <v>116</v>
      </c>
      <c r="E145" s="13"/>
      <c r="F145" s="13" t="s">
        <v>12</v>
      </c>
      <c r="G145" s="28">
        <v>2</v>
      </c>
      <c r="H145" s="440">
        <v>10</v>
      </c>
      <c r="I145" s="28">
        <v>2</v>
      </c>
      <c r="J145" s="441">
        <f t="shared" si="32"/>
        <v>10</v>
      </c>
      <c r="K145" s="28">
        <v>1</v>
      </c>
      <c r="L145" s="267">
        <f t="shared" si="33"/>
        <v>10</v>
      </c>
      <c r="M145" s="433">
        <f t="shared" si="34"/>
        <v>2000</v>
      </c>
      <c r="N145" s="434">
        <v>200</v>
      </c>
      <c r="O145" s="435">
        <f t="shared" si="35"/>
        <v>5</v>
      </c>
    </row>
    <row r="146" spans="1:15" ht="15">
      <c r="A146" s="13" t="s">
        <v>272</v>
      </c>
      <c r="B146" s="27" t="s">
        <v>337</v>
      </c>
      <c r="C146" s="13" t="s">
        <v>83</v>
      </c>
      <c r="D146" s="13">
        <v>116</v>
      </c>
      <c r="E146" s="13"/>
      <c r="F146" s="4" t="s">
        <v>89</v>
      </c>
      <c r="G146" s="28">
        <v>10</v>
      </c>
      <c r="H146" s="440">
        <v>10</v>
      </c>
      <c r="I146" s="28">
        <v>2</v>
      </c>
      <c r="J146" s="441">
        <f t="shared" si="32"/>
        <v>2</v>
      </c>
      <c r="K146" s="28">
        <v>1</v>
      </c>
      <c r="L146" s="267">
        <f t="shared" si="33"/>
        <v>2</v>
      </c>
      <c r="M146" s="433">
        <f t="shared" si="34"/>
        <v>400</v>
      </c>
      <c r="N146" s="434">
        <v>200</v>
      </c>
      <c r="O146" s="435">
        <f t="shared" si="35"/>
        <v>1</v>
      </c>
    </row>
    <row r="147" spans="1:15" ht="30">
      <c r="A147" s="13" t="s">
        <v>339</v>
      </c>
      <c r="B147" s="27" t="s">
        <v>338</v>
      </c>
      <c r="C147" s="13" t="s">
        <v>83</v>
      </c>
      <c r="D147" s="13">
        <v>116</v>
      </c>
      <c r="E147" s="13"/>
      <c r="F147" s="4" t="s">
        <v>89</v>
      </c>
      <c r="G147" s="28">
        <v>5.30</v>
      </c>
      <c r="H147" s="440">
        <v>10</v>
      </c>
      <c r="I147" s="28">
        <v>2</v>
      </c>
      <c r="J147" s="441">
        <f t="shared" si="32"/>
        <v>3.7735849056603774</v>
      </c>
      <c r="K147" s="28">
        <v>1</v>
      </c>
      <c r="L147" s="267">
        <f t="shared" si="33"/>
        <v>3.7735849056603774</v>
      </c>
      <c r="M147" s="433">
        <f t="shared" si="34"/>
        <v>754.71698113207549</v>
      </c>
      <c r="N147" s="434">
        <v>200</v>
      </c>
      <c r="O147" s="435">
        <f t="shared" si="35"/>
        <v>1.8867924528301887</v>
      </c>
    </row>
    <row r="148" spans="1:15" ht="30">
      <c r="A148" s="13" t="s">
        <v>273</v>
      </c>
      <c r="B148" s="27" t="s">
        <v>125</v>
      </c>
      <c r="C148" s="13" t="s">
        <v>54</v>
      </c>
      <c r="D148" s="13">
        <v>116</v>
      </c>
      <c r="E148" s="13"/>
      <c r="F148" s="4" t="s">
        <v>88</v>
      </c>
      <c r="G148" s="28">
        <v>14</v>
      </c>
      <c r="H148" s="440">
        <v>10</v>
      </c>
      <c r="I148" s="28">
        <v>2</v>
      </c>
      <c r="J148" s="441">
        <f t="shared" si="32"/>
        <v>1.4285714285714286</v>
      </c>
      <c r="K148" s="28">
        <v>2</v>
      </c>
      <c r="L148" s="267">
        <f t="shared" si="33"/>
        <v>2.8571428571428572</v>
      </c>
      <c r="M148" s="433">
        <f t="shared" si="34"/>
        <v>571.42857142857144</v>
      </c>
      <c r="N148" s="434">
        <v>200</v>
      </c>
      <c r="O148" s="435">
        <f t="shared" si="35"/>
        <v>1.4285714285714286</v>
      </c>
    </row>
    <row r="149" spans="1:15" ht="30">
      <c r="A149" s="523" t="s">
        <v>1668</v>
      </c>
      <c r="B149" s="522" t="s">
        <v>1670</v>
      </c>
      <c r="C149" s="523" t="s">
        <v>33</v>
      </c>
      <c r="D149" s="523">
        <v>116</v>
      </c>
      <c r="E149" s="523"/>
      <c r="F149" s="523" t="s">
        <v>1666</v>
      </c>
      <c r="G149" s="527">
        <v>11.36</v>
      </c>
      <c r="H149" s="530">
        <v>10</v>
      </c>
      <c r="I149" s="527">
        <v>2</v>
      </c>
      <c r="J149" s="531">
        <f t="shared" si="32"/>
        <v>1.7605633802816902</v>
      </c>
      <c r="K149" s="527">
        <v>1</v>
      </c>
      <c r="L149" s="267">
        <f t="shared" si="33"/>
        <v>1.7605633802816902</v>
      </c>
      <c r="M149" s="433">
        <f t="shared" si="34"/>
        <v>352.11267605633805</v>
      </c>
      <c r="N149" s="434">
        <v>200</v>
      </c>
      <c r="O149" s="435">
        <f t="shared" si="35"/>
        <v>0.88028169014084512</v>
      </c>
    </row>
    <row r="150" spans="1:15" ht="30">
      <c r="A150" s="523" t="s">
        <v>1669</v>
      </c>
      <c r="B150" s="522" t="s">
        <v>1671</v>
      </c>
      <c r="C150" s="523" t="s">
        <v>33</v>
      </c>
      <c r="D150" s="523">
        <v>116</v>
      </c>
      <c r="E150" s="523"/>
      <c r="F150" s="523" t="s">
        <v>10</v>
      </c>
      <c r="G150" s="527">
        <v>40</v>
      </c>
      <c r="H150" s="530">
        <v>10</v>
      </c>
      <c r="I150" s="527">
        <v>1</v>
      </c>
      <c r="J150" s="531">
        <f t="shared" si="32"/>
        <v>0.25</v>
      </c>
      <c r="K150" s="525">
        <f>3911/1000</f>
        <v>3.911</v>
      </c>
      <c r="L150" s="267">
        <f t="shared" si="33"/>
        <v>0.97775000000000001</v>
      </c>
      <c r="M150" s="433">
        <f t="shared" si="34"/>
        <v>195.55</v>
      </c>
      <c r="N150" s="434">
        <v>200</v>
      </c>
      <c r="O150" s="435">
        <f t="shared" si="35"/>
        <v>0.97775000000000001</v>
      </c>
    </row>
    <row r="151" spans="1:15" ht="15">
      <c r="A151" s="13" t="s">
        <v>274</v>
      </c>
      <c r="B151" s="27" t="s">
        <v>275</v>
      </c>
      <c r="C151" s="13" t="s">
        <v>83</v>
      </c>
      <c r="D151" s="13">
        <v>116</v>
      </c>
      <c r="E151" s="13"/>
      <c r="F151" s="4" t="s">
        <v>276</v>
      </c>
      <c r="G151" s="28">
        <v>20</v>
      </c>
      <c r="H151" s="440">
        <v>10</v>
      </c>
      <c r="I151" s="28">
        <v>2</v>
      </c>
      <c r="J151" s="441">
        <f t="shared" si="32"/>
        <v>1</v>
      </c>
      <c r="K151" s="28">
        <v>1</v>
      </c>
      <c r="L151" s="267">
        <f t="shared" si="33"/>
        <v>1</v>
      </c>
      <c r="M151" s="433">
        <f t="shared" si="34"/>
        <v>200</v>
      </c>
      <c r="N151" s="434">
        <v>200</v>
      </c>
      <c r="O151" s="435">
        <f t="shared" si="35"/>
        <v>0.50</v>
      </c>
    </row>
    <row r="152" spans="1:15" ht="15">
      <c r="A152" s="13" t="s">
        <v>277</v>
      </c>
      <c r="B152" s="27" t="s">
        <v>278</v>
      </c>
      <c r="C152" s="13" t="s">
        <v>83</v>
      </c>
      <c r="D152" s="13">
        <v>116</v>
      </c>
      <c r="E152" s="13"/>
      <c r="F152" s="4" t="s">
        <v>90</v>
      </c>
      <c r="G152" s="28">
        <v>15</v>
      </c>
      <c r="H152" s="440">
        <v>10</v>
      </c>
      <c r="I152" s="28">
        <v>2</v>
      </c>
      <c r="J152" s="441">
        <f t="shared" si="32"/>
        <v>1.3333333333333333</v>
      </c>
      <c r="K152" s="28">
        <v>1</v>
      </c>
      <c r="L152" s="267">
        <f t="shared" si="33"/>
        <v>1.3333333333333333</v>
      </c>
      <c r="M152" s="433">
        <f t="shared" si="34"/>
        <v>266.66666666666663</v>
      </c>
      <c r="N152" s="434">
        <v>200</v>
      </c>
      <c r="O152" s="435">
        <f t="shared" si="35"/>
        <v>0.66666666666666663</v>
      </c>
    </row>
    <row r="153" spans="1:15" ht="15">
      <c r="A153" s="13" t="s">
        <v>279</v>
      </c>
      <c r="B153" s="27" t="s">
        <v>280</v>
      </c>
      <c r="C153" s="13" t="s">
        <v>29</v>
      </c>
      <c r="D153" s="13">
        <v>120</v>
      </c>
      <c r="E153" s="13"/>
      <c r="F153" s="13" t="s">
        <v>12</v>
      </c>
      <c r="G153" s="28">
        <v>10</v>
      </c>
      <c r="H153" s="440">
        <v>10</v>
      </c>
      <c r="I153" s="28">
        <v>1</v>
      </c>
      <c r="J153" s="441">
        <f t="shared" si="32"/>
        <v>1</v>
      </c>
      <c r="K153" s="28">
        <v>1</v>
      </c>
      <c r="L153" s="435">
        <f t="shared" si="33"/>
        <v>1</v>
      </c>
      <c r="M153" s="266">
        <f t="shared" si="34"/>
        <v>176</v>
      </c>
      <c r="N153" s="433">
        <v>176</v>
      </c>
      <c r="O153" s="435">
        <f t="shared" si="35"/>
        <v>1</v>
      </c>
    </row>
    <row r="154" spans="1:15" ht="15">
      <c r="A154" s="13" t="s">
        <v>281</v>
      </c>
      <c r="B154" s="56" t="s">
        <v>30</v>
      </c>
      <c r="C154" s="13" t="s">
        <v>29</v>
      </c>
      <c r="D154" s="13">
        <v>120</v>
      </c>
      <c r="E154" s="13"/>
      <c r="F154" s="13" t="s">
        <v>12</v>
      </c>
      <c r="G154" s="436">
        <v>4.3499999999999996</v>
      </c>
      <c r="H154" s="440">
        <v>10</v>
      </c>
      <c r="I154" s="28">
        <v>1</v>
      </c>
      <c r="J154" s="441">
        <f t="shared" si="32"/>
        <v>2.298850574712644</v>
      </c>
      <c r="K154" s="28">
        <v>1</v>
      </c>
      <c r="L154" s="267">
        <f t="shared" si="33"/>
        <v>2.298850574712644</v>
      </c>
      <c r="M154" s="433">
        <f t="shared" si="34"/>
        <v>404.59770114942535</v>
      </c>
      <c r="N154" s="434">
        <v>176</v>
      </c>
      <c r="O154" s="435">
        <f t="shared" si="35"/>
        <v>2.298850574712644</v>
      </c>
    </row>
    <row r="155" spans="1:15" ht="30">
      <c r="A155" s="13" t="s">
        <v>282</v>
      </c>
      <c r="B155" s="56" t="s">
        <v>283</v>
      </c>
      <c r="C155" s="13" t="s">
        <v>29</v>
      </c>
      <c r="D155" s="13">
        <v>120</v>
      </c>
      <c r="E155" s="13"/>
      <c r="F155" s="13" t="s">
        <v>12</v>
      </c>
      <c r="G155" s="436">
        <v>5.03</v>
      </c>
      <c r="H155" s="440">
        <v>10</v>
      </c>
      <c r="I155" s="28">
        <v>1</v>
      </c>
      <c r="J155" s="441">
        <f t="shared" si="32"/>
        <v>1.9880715705765406</v>
      </c>
      <c r="K155" s="28">
        <v>1</v>
      </c>
      <c r="L155" s="267">
        <f t="shared" si="33"/>
        <v>1.9880715705765406</v>
      </c>
      <c r="M155" s="433">
        <f t="shared" si="34"/>
        <v>349.90059642147116</v>
      </c>
      <c r="N155" s="434">
        <v>176</v>
      </c>
      <c r="O155" s="435">
        <f t="shared" si="35"/>
        <v>1.9880715705765406</v>
      </c>
    </row>
    <row r="156" spans="1:15" ht="15">
      <c r="A156" s="13" t="s">
        <v>902</v>
      </c>
      <c r="B156" s="56" t="s">
        <v>1130</v>
      </c>
      <c r="C156" s="13" t="s">
        <v>523</v>
      </c>
      <c r="D156" s="13">
        <v>224</v>
      </c>
      <c r="E156" s="13"/>
      <c r="F156" s="4" t="s">
        <v>900</v>
      </c>
      <c r="G156" s="28">
        <v>600</v>
      </c>
      <c r="H156" s="431">
        <v>10</v>
      </c>
      <c r="I156" s="28">
        <v>1</v>
      </c>
      <c r="J156" s="441">
        <f t="shared" si="32"/>
        <v>0.016666666666666666</v>
      </c>
      <c r="K156" s="28">
        <v>1</v>
      </c>
      <c r="L156" s="267">
        <f t="shared" si="33"/>
        <v>0.016666666666666666</v>
      </c>
      <c r="M156" s="433">
        <f t="shared" si="34"/>
        <v>2.9333333333333331</v>
      </c>
      <c r="N156" s="434">
        <v>176</v>
      </c>
      <c r="O156" s="435">
        <f t="shared" si="35"/>
        <v>0.016666666666666666</v>
      </c>
    </row>
    <row r="157" spans="1:15" ht="15">
      <c r="A157" s="13" t="s">
        <v>285</v>
      </c>
      <c r="B157" s="56" t="s">
        <v>901</v>
      </c>
      <c r="C157" s="13" t="s">
        <v>83</v>
      </c>
      <c r="D157" s="13">
        <v>116</v>
      </c>
      <c r="E157" s="13"/>
      <c r="F157" s="13" t="s">
        <v>12</v>
      </c>
      <c r="G157" s="28">
        <v>8</v>
      </c>
      <c r="H157" s="440">
        <v>10</v>
      </c>
      <c r="I157" s="28">
        <v>2</v>
      </c>
      <c r="J157" s="441">
        <f t="shared" si="32"/>
        <v>2.50</v>
      </c>
      <c r="K157" s="28">
        <v>1</v>
      </c>
      <c r="L157" s="267">
        <f t="shared" si="33"/>
        <v>2.50</v>
      </c>
      <c r="M157" s="433">
        <f t="shared" si="34"/>
        <v>500</v>
      </c>
      <c r="N157" s="434">
        <v>200</v>
      </c>
      <c r="O157" s="435">
        <f t="shared" si="35"/>
        <v>1.25</v>
      </c>
    </row>
    <row r="158" spans="1:15" ht="15">
      <c r="A158" s="645" t="s">
        <v>997</v>
      </c>
      <c r="B158" s="639" t="s">
        <v>998</v>
      </c>
      <c r="C158" s="13" t="s">
        <v>76</v>
      </c>
      <c r="D158" s="13">
        <v>116</v>
      </c>
      <c r="E158" s="13"/>
      <c r="F158" s="13" t="s">
        <v>78</v>
      </c>
      <c r="G158" s="28">
        <v>40</v>
      </c>
      <c r="H158" s="440">
        <v>10</v>
      </c>
      <c r="I158" s="28">
        <v>2</v>
      </c>
      <c r="J158" s="441">
        <f t="shared" si="32"/>
        <v>0.50</v>
      </c>
      <c r="K158" s="28">
        <v>4</v>
      </c>
      <c r="L158" s="267">
        <f t="shared" si="33"/>
        <v>2</v>
      </c>
      <c r="M158" s="433">
        <f t="shared" si="34"/>
        <v>400</v>
      </c>
      <c r="N158" s="434">
        <v>200</v>
      </c>
      <c r="O158" s="435">
        <f t="shared" si="35"/>
        <v>1</v>
      </c>
    </row>
    <row r="159" spans="1:15" ht="15">
      <c r="A159" s="647"/>
      <c r="B159" s="641"/>
      <c r="C159" s="13" t="s">
        <v>77</v>
      </c>
      <c r="D159" s="13">
        <v>116</v>
      </c>
      <c r="E159" s="13" t="s">
        <v>999</v>
      </c>
      <c r="F159" s="13" t="s">
        <v>10</v>
      </c>
      <c r="G159" s="28">
        <v>40</v>
      </c>
      <c r="H159" s="440">
        <v>10</v>
      </c>
      <c r="I159" s="28">
        <v>1</v>
      </c>
      <c r="J159" s="441">
        <f t="shared" si="32"/>
        <v>0.25</v>
      </c>
      <c r="K159" s="442">
        <f>(1100*2*2)/1000</f>
        <v>4.4000000000000004</v>
      </c>
      <c r="L159" s="267">
        <f t="shared" si="33"/>
        <v>1.1000000000000001</v>
      </c>
      <c r="M159" s="433">
        <f t="shared" si="34"/>
        <v>220.00000000000003</v>
      </c>
      <c r="N159" s="434">
        <v>200</v>
      </c>
      <c r="O159" s="435">
        <f t="shared" si="35"/>
        <v>1.1000000000000001</v>
      </c>
    </row>
    <row r="160" spans="1:15" ht="15">
      <c r="A160" s="13" t="s">
        <v>286</v>
      </c>
      <c r="B160" s="27" t="s">
        <v>288</v>
      </c>
      <c r="C160" s="13" t="s">
        <v>287</v>
      </c>
      <c r="D160" s="13">
        <v>116</v>
      </c>
      <c r="E160" s="13"/>
      <c r="F160" s="13" t="s">
        <v>67</v>
      </c>
      <c r="G160" s="28">
        <v>40</v>
      </c>
      <c r="H160" s="440">
        <v>10</v>
      </c>
      <c r="I160" s="28">
        <v>1</v>
      </c>
      <c r="J160" s="441">
        <f t="shared" si="32"/>
        <v>0.25</v>
      </c>
      <c r="K160" s="28">
        <v>4</v>
      </c>
      <c r="L160" s="267">
        <f t="shared" si="33"/>
        <v>1</v>
      </c>
      <c r="M160" s="433">
        <f t="shared" si="34"/>
        <v>152</v>
      </c>
      <c r="N160" s="434">
        <v>152</v>
      </c>
      <c r="O160" s="435">
        <f t="shared" si="35"/>
        <v>1</v>
      </c>
    </row>
    <row r="161" spans="1:15" ht="15">
      <c r="A161" s="39"/>
      <c r="B161" s="649" t="s">
        <v>134</v>
      </c>
      <c r="C161" s="649"/>
      <c r="D161" s="649"/>
      <c r="E161" s="649"/>
      <c r="F161" s="649"/>
      <c r="G161" s="649"/>
      <c r="H161" s="649"/>
      <c r="I161" s="649"/>
      <c r="J161" s="649"/>
      <c r="K161" s="649"/>
      <c r="L161" s="267"/>
      <c r="M161" s="262">
        <f>SUM(M162:M183)</f>
        <v>8964.9398552720886</v>
      </c>
      <c r="N161" s="263"/>
      <c r="O161" s="264">
        <f>SUM(O162:O183)</f>
        <v>34.836340923763984</v>
      </c>
    </row>
    <row r="162" spans="1:16" ht="30">
      <c r="A162" s="13" t="s">
        <v>297</v>
      </c>
      <c r="B162" s="56" t="s">
        <v>298</v>
      </c>
      <c r="C162" s="13" t="s">
        <v>33</v>
      </c>
      <c r="D162" s="13">
        <v>116</v>
      </c>
      <c r="E162" s="13"/>
      <c r="F162" s="13" t="s">
        <v>96</v>
      </c>
      <c r="G162" s="432">
        <v>10</v>
      </c>
      <c r="H162" s="440">
        <v>10</v>
      </c>
      <c r="I162" s="28">
        <v>2</v>
      </c>
      <c r="J162" s="441">
        <f t="shared" si="36" ref="J162:J183">H162/G162*I162</f>
        <v>2</v>
      </c>
      <c r="K162" s="28">
        <v>1</v>
      </c>
      <c r="L162" s="267">
        <f t="shared" si="37" ref="L162:L183">J162*K162</f>
        <v>2</v>
      </c>
      <c r="M162" s="433">
        <f t="shared" si="38" ref="M162:M183">L162*N162</f>
        <v>400</v>
      </c>
      <c r="N162" s="434">
        <v>200</v>
      </c>
      <c r="O162" s="435">
        <f t="shared" si="39" ref="O162:O183">J162/I162*K162</f>
        <v>1</v>
      </c>
      <c r="P162" s="22"/>
    </row>
    <row r="163" spans="1:16" ht="30">
      <c r="A163" s="523" t="s">
        <v>1663</v>
      </c>
      <c r="B163" s="522" t="s">
        <v>1665</v>
      </c>
      <c r="C163" s="523" t="s">
        <v>33</v>
      </c>
      <c r="D163" s="523">
        <v>116</v>
      </c>
      <c r="E163" s="523"/>
      <c r="F163" s="523" t="s">
        <v>1666</v>
      </c>
      <c r="G163" s="527">
        <v>11.11</v>
      </c>
      <c r="H163" s="530">
        <v>10</v>
      </c>
      <c r="I163" s="527">
        <v>2</v>
      </c>
      <c r="J163" s="531">
        <f t="shared" si="36"/>
        <v>1.8001800180018002</v>
      </c>
      <c r="K163" s="527">
        <v>1</v>
      </c>
      <c r="L163" s="267">
        <f t="shared" si="37"/>
        <v>1.8001800180018002</v>
      </c>
      <c r="M163" s="433">
        <f t="shared" si="38"/>
        <v>360.03600360036</v>
      </c>
      <c r="N163" s="434">
        <v>200</v>
      </c>
      <c r="O163" s="435">
        <f t="shared" si="39"/>
        <v>0.90009000900090008</v>
      </c>
      <c r="P163" s="22"/>
    </row>
    <row r="164" spans="1:16" ht="30">
      <c r="A164" s="523" t="s">
        <v>1664</v>
      </c>
      <c r="B164" s="522" t="s">
        <v>1667</v>
      </c>
      <c r="C164" s="523" t="s">
        <v>33</v>
      </c>
      <c r="D164" s="523">
        <v>116</v>
      </c>
      <c r="E164" s="523"/>
      <c r="F164" s="523" t="s">
        <v>10</v>
      </c>
      <c r="G164" s="527">
        <v>40</v>
      </c>
      <c r="H164" s="530">
        <v>10</v>
      </c>
      <c r="I164" s="527">
        <v>1</v>
      </c>
      <c r="J164" s="531">
        <f t="shared" si="36"/>
        <v>0.25</v>
      </c>
      <c r="K164" s="525">
        <f>3867/1000</f>
        <v>3.867</v>
      </c>
      <c r="L164" s="267">
        <f t="shared" si="37"/>
        <v>0.96675</v>
      </c>
      <c r="M164" s="433">
        <f t="shared" si="38"/>
        <v>193.35</v>
      </c>
      <c r="N164" s="434">
        <v>200</v>
      </c>
      <c r="O164" s="435">
        <f t="shared" si="39"/>
        <v>0.96675</v>
      </c>
      <c r="P164" s="22"/>
    </row>
    <row r="165" spans="1:16" ht="30">
      <c r="A165" s="13" t="s">
        <v>299</v>
      </c>
      <c r="B165" s="56" t="s">
        <v>300</v>
      </c>
      <c r="C165" s="13" t="s">
        <v>33</v>
      </c>
      <c r="D165" s="13">
        <v>116</v>
      </c>
      <c r="E165" s="13"/>
      <c r="F165" s="13" t="s">
        <v>96</v>
      </c>
      <c r="G165" s="442">
        <v>17.70</v>
      </c>
      <c r="H165" s="440">
        <v>10</v>
      </c>
      <c r="I165" s="28">
        <v>2</v>
      </c>
      <c r="J165" s="441">
        <f t="shared" si="36"/>
        <v>1.1299435028248588</v>
      </c>
      <c r="K165" s="28">
        <v>1</v>
      </c>
      <c r="L165" s="267">
        <f t="shared" si="37"/>
        <v>1.1299435028248588</v>
      </c>
      <c r="M165" s="433">
        <f t="shared" si="38"/>
        <v>225.98870056497177</v>
      </c>
      <c r="N165" s="434">
        <v>200</v>
      </c>
      <c r="O165" s="435">
        <f t="shared" si="39"/>
        <v>0.56497175141242939</v>
      </c>
      <c r="P165" s="22"/>
    </row>
    <row r="166" spans="1:16" ht="30">
      <c r="A166" s="13" t="s">
        <v>301</v>
      </c>
      <c r="B166" s="27" t="s">
        <v>97</v>
      </c>
      <c r="C166" s="13" t="s">
        <v>83</v>
      </c>
      <c r="D166" s="13">
        <v>116</v>
      </c>
      <c r="E166" s="13"/>
      <c r="F166" s="13" t="s">
        <v>12</v>
      </c>
      <c r="G166" s="442">
        <v>3.26</v>
      </c>
      <c r="H166" s="440">
        <v>10</v>
      </c>
      <c r="I166" s="28">
        <v>2</v>
      </c>
      <c r="J166" s="441">
        <f t="shared" si="36"/>
        <v>6.1349693251533743</v>
      </c>
      <c r="K166" s="28">
        <v>1</v>
      </c>
      <c r="L166" s="267">
        <f t="shared" si="37"/>
        <v>6.1349693251533743</v>
      </c>
      <c r="M166" s="433">
        <f t="shared" si="38"/>
        <v>1226.9938650306749</v>
      </c>
      <c r="N166" s="434">
        <v>200</v>
      </c>
      <c r="O166" s="435">
        <f t="shared" si="39"/>
        <v>3.0674846625766872</v>
      </c>
      <c r="P166" s="22"/>
    </row>
    <row r="167" spans="1:15" ht="15">
      <c r="A167" s="57" t="s">
        <v>530</v>
      </c>
      <c r="B167" s="269" t="s">
        <v>531</v>
      </c>
      <c r="C167" s="13" t="s">
        <v>33</v>
      </c>
      <c r="D167" s="13">
        <v>226</v>
      </c>
      <c r="E167" s="13"/>
      <c r="F167" s="13" t="s">
        <v>12</v>
      </c>
      <c r="G167" s="28">
        <v>10</v>
      </c>
      <c r="H167" s="440">
        <v>10</v>
      </c>
      <c r="I167" s="28">
        <v>1</v>
      </c>
      <c r="J167" s="441">
        <f t="shared" si="36"/>
        <v>1</v>
      </c>
      <c r="K167" s="442">
        <v>1</v>
      </c>
      <c r="L167" s="267">
        <f t="shared" si="37"/>
        <v>1</v>
      </c>
      <c r="M167" s="266">
        <f t="shared" si="38"/>
        <v>200</v>
      </c>
      <c r="N167" s="433">
        <v>200</v>
      </c>
      <c r="O167" s="435">
        <f t="shared" si="39"/>
        <v>1</v>
      </c>
    </row>
    <row r="168" spans="1:16" ht="15">
      <c r="A168" s="13" t="s">
        <v>290</v>
      </c>
      <c r="B168" s="27" t="s">
        <v>31</v>
      </c>
      <c r="C168" s="13" t="s">
        <v>14</v>
      </c>
      <c r="D168" s="13">
        <v>226</v>
      </c>
      <c r="E168" s="13"/>
      <c r="F168" s="13" t="s">
        <v>58</v>
      </c>
      <c r="G168" s="28">
        <v>61</v>
      </c>
      <c r="H168" s="440">
        <v>10</v>
      </c>
      <c r="I168" s="28">
        <v>1</v>
      </c>
      <c r="J168" s="441">
        <f t="shared" si="36"/>
        <v>0.16393442622950818</v>
      </c>
      <c r="K168" s="28">
        <v>13.11</v>
      </c>
      <c r="L168" s="267">
        <f t="shared" si="37"/>
        <v>2.1491803278688524</v>
      </c>
      <c r="M168" s="433">
        <f t="shared" si="38"/>
        <v>429.8360655737705</v>
      </c>
      <c r="N168" s="434">
        <v>200</v>
      </c>
      <c r="O168" s="435">
        <f t="shared" si="39"/>
        <v>2.1491803278688524</v>
      </c>
      <c r="P168" s="22"/>
    </row>
    <row r="169" spans="1:16" ht="15">
      <c r="A169" s="13" t="s">
        <v>302</v>
      </c>
      <c r="B169" s="27" t="s">
        <v>903</v>
      </c>
      <c r="C169" s="13" t="s">
        <v>523</v>
      </c>
      <c r="D169" s="13">
        <v>224</v>
      </c>
      <c r="E169" s="13"/>
      <c r="F169" s="13" t="s">
        <v>400</v>
      </c>
      <c r="G169" s="442">
        <v>40</v>
      </c>
      <c r="H169" s="440">
        <v>10</v>
      </c>
      <c r="I169" s="28">
        <v>2</v>
      </c>
      <c r="J169" s="441">
        <f t="shared" si="36"/>
        <v>0.50</v>
      </c>
      <c r="K169" s="28">
        <v>1</v>
      </c>
      <c r="L169" s="267">
        <f t="shared" si="37"/>
        <v>0.50</v>
      </c>
      <c r="M169" s="433">
        <f t="shared" si="38"/>
        <v>88</v>
      </c>
      <c r="N169" s="434">
        <v>176</v>
      </c>
      <c r="O169" s="435">
        <f t="shared" si="39"/>
        <v>0.25</v>
      </c>
      <c r="P169" s="22"/>
    </row>
    <row r="170" spans="1:16" ht="15">
      <c r="A170" s="13" t="s">
        <v>292</v>
      </c>
      <c r="B170" s="27" t="s">
        <v>21</v>
      </c>
      <c r="C170" s="13" t="s">
        <v>33</v>
      </c>
      <c r="D170" s="13">
        <v>219</v>
      </c>
      <c r="E170" s="13"/>
      <c r="F170" s="13" t="s">
        <v>12</v>
      </c>
      <c r="G170" s="569">
        <f>2.009*2</f>
        <v>4.0179999999999998</v>
      </c>
      <c r="H170" s="440">
        <v>10</v>
      </c>
      <c r="I170" s="28">
        <v>2</v>
      </c>
      <c r="J170" s="441">
        <f t="shared" si="36"/>
        <v>4.9776007964161275</v>
      </c>
      <c r="K170" s="28">
        <v>1</v>
      </c>
      <c r="L170" s="267">
        <f t="shared" si="37"/>
        <v>4.9776007964161275</v>
      </c>
      <c r="M170" s="433">
        <f t="shared" si="38"/>
        <v>826.28173220507722</v>
      </c>
      <c r="N170" s="434">
        <v>166</v>
      </c>
      <c r="O170" s="435">
        <f t="shared" si="39"/>
        <v>2.4888003982080638</v>
      </c>
      <c r="P170" s="22"/>
    </row>
    <row r="171" spans="1:16" ht="30">
      <c r="A171" s="13" t="s">
        <v>406</v>
      </c>
      <c r="B171" s="27" t="s">
        <v>407</v>
      </c>
      <c r="C171" s="13" t="s">
        <v>14</v>
      </c>
      <c r="D171" s="13">
        <v>226</v>
      </c>
      <c r="E171" s="13"/>
      <c r="F171" s="13" t="s">
        <v>12</v>
      </c>
      <c r="G171" s="442">
        <v>61</v>
      </c>
      <c r="H171" s="440">
        <v>10</v>
      </c>
      <c r="I171" s="28">
        <v>1</v>
      </c>
      <c r="J171" s="441">
        <f t="shared" si="36"/>
        <v>0.16393442622950818</v>
      </c>
      <c r="K171" s="28">
        <v>2.02</v>
      </c>
      <c r="L171" s="435">
        <f t="shared" si="37"/>
        <v>0.33114754098360655</v>
      </c>
      <c r="M171" s="266">
        <f t="shared" si="38"/>
        <v>66.229508196721312</v>
      </c>
      <c r="N171" s="433">
        <v>200</v>
      </c>
      <c r="O171" s="435">
        <f t="shared" si="39"/>
        <v>0.33114754098360655</v>
      </c>
      <c r="P171" s="22"/>
    </row>
    <row r="172" spans="1:16" ht="15">
      <c r="A172" s="13" t="s">
        <v>291</v>
      </c>
      <c r="B172" s="27" t="s">
        <v>101</v>
      </c>
      <c r="C172" s="13" t="s">
        <v>33</v>
      </c>
      <c r="D172" s="13">
        <v>219</v>
      </c>
      <c r="E172" s="13"/>
      <c r="F172" s="13" t="s">
        <v>12</v>
      </c>
      <c r="G172" s="442">
        <v>4.4000000000000004</v>
      </c>
      <c r="H172" s="440">
        <v>10</v>
      </c>
      <c r="I172" s="28">
        <v>2</v>
      </c>
      <c r="J172" s="441">
        <f t="shared" si="36"/>
        <v>4.545454545454545</v>
      </c>
      <c r="K172" s="28">
        <v>1</v>
      </c>
      <c r="L172" s="267">
        <f t="shared" si="37"/>
        <v>4.545454545454545</v>
      </c>
      <c r="M172" s="433">
        <f t="shared" si="38"/>
        <v>909.09090909090901</v>
      </c>
      <c r="N172" s="434">
        <v>200</v>
      </c>
      <c r="O172" s="435">
        <f t="shared" si="39"/>
        <v>2.2727272727272725</v>
      </c>
      <c r="P172" s="22"/>
    </row>
    <row r="173" spans="1:16" ht="15">
      <c r="A173" s="13" t="s">
        <v>303</v>
      </c>
      <c r="B173" s="27" t="s">
        <v>304</v>
      </c>
      <c r="C173" s="13" t="s">
        <v>226</v>
      </c>
      <c r="D173" s="13">
        <v>302</v>
      </c>
      <c r="E173" s="13"/>
      <c r="F173" s="13" t="s">
        <v>103</v>
      </c>
      <c r="G173" s="432">
        <v>84</v>
      </c>
      <c r="H173" s="440">
        <v>10</v>
      </c>
      <c r="I173" s="28">
        <v>1</v>
      </c>
      <c r="J173" s="441">
        <f t="shared" si="36"/>
        <v>0.11904761904761904</v>
      </c>
      <c r="K173" s="28">
        <v>66</v>
      </c>
      <c r="L173" s="267">
        <f t="shared" si="37"/>
        <v>7.8571428571428568</v>
      </c>
      <c r="M173" s="433">
        <f t="shared" si="38"/>
        <v>1382.8571428571429</v>
      </c>
      <c r="N173" s="434">
        <v>176</v>
      </c>
      <c r="O173" s="435">
        <f t="shared" si="39"/>
        <v>7.8571428571428568</v>
      </c>
      <c r="P173" s="22"/>
    </row>
    <row r="174" spans="1:16" ht="15">
      <c r="A174" s="13" t="s">
        <v>293</v>
      </c>
      <c r="B174" s="27" t="s">
        <v>102</v>
      </c>
      <c r="C174" s="13" t="s">
        <v>33</v>
      </c>
      <c r="D174" s="13">
        <v>219</v>
      </c>
      <c r="E174" s="13"/>
      <c r="F174" s="13" t="s">
        <v>103</v>
      </c>
      <c r="G174" s="28">
        <f>10*60/1</f>
        <v>600</v>
      </c>
      <c r="H174" s="440">
        <v>10</v>
      </c>
      <c r="I174" s="28">
        <v>1</v>
      </c>
      <c r="J174" s="441">
        <f t="shared" si="36"/>
        <v>0.016666666666666666</v>
      </c>
      <c r="K174" s="28">
        <v>66</v>
      </c>
      <c r="L174" s="267">
        <f t="shared" si="37"/>
        <v>1.1000000000000001</v>
      </c>
      <c r="M174" s="433">
        <f t="shared" si="38"/>
        <v>167.20000000000002</v>
      </c>
      <c r="N174" s="434">
        <v>152</v>
      </c>
      <c r="O174" s="435">
        <f t="shared" si="39"/>
        <v>1.1000000000000001</v>
      </c>
      <c r="P174" s="22"/>
    </row>
    <row r="175" spans="1:16" ht="15">
      <c r="A175" s="13" t="s">
        <v>305</v>
      </c>
      <c r="B175" s="27" t="s">
        <v>343</v>
      </c>
      <c r="C175" s="13" t="s">
        <v>14</v>
      </c>
      <c r="D175" s="13">
        <v>226</v>
      </c>
      <c r="E175" s="13"/>
      <c r="F175" s="13" t="s">
        <v>58</v>
      </c>
      <c r="G175" s="28">
        <v>55.20</v>
      </c>
      <c r="H175" s="440">
        <v>10</v>
      </c>
      <c r="I175" s="28">
        <v>1</v>
      </c>
      <c r="J175" s="441">
        <f t="shared" si="36"/>
        <v>0.18115942028985507</v>
      </c>
      <c r="K175" s="28">
        <v>1.78</v>
      </c>
      <c r="L175" s="435">
        <f t="shared" si="37"/>
        <v>0.32246376811594202</v>
      </c>
      <c r="M175" s="266">
        <f t="shared" si="38"/>
        <v>64.492753623188406</v>
      </c>
      <c r="N175" s="433">
        <v>200</v>
      </c>
      <c r="O175" s="435">
        <f t="shared" si="39"/>
        <v>0.32246376811594202</v>
      </c>
      <c r="P175" s="22"/>
    </row>
    <row r="176" spans="1:16" ht="30">
      <c r="A176" s="13" t="s">
        <v>306</v>
      </c>
      <c r="B176" s="27" t="s">
        <v>307</v>
      </c>
      <c r="C176" s="13" t="s">
        <v>14</v>
      </c>
      <c r="D176" s="13">
        <v>226</v>
      </c>
      <c r="E176" s="13"/>
      <c r="F176" s="13" t="s">
        <v>12</v>
      </c>
      <c r="G176" s="28">
        <v>10</v>
      </c>
      <c r="H176" s="440">
        <v>10</v>
      </c>
      <c r="I176" s="28">
        <v>1</v>
      </c>
      <c r="J176" s="441">
        <f t="shared" si="36"/>
        <v>1</v>
      </c>
      <c r="K176" s="28">
        <v>1</v>
      </c>
      <c r="L176" s="435">
        <f t="shared" si="37"/>
        <v>1</v>
      </c>
      <c r="M176" s="266">
        <f t="shared" si="38"/>
        <v>200</v>
      </c>
      <c r="N176" s="433">
        <v>200</v>
      </c>
      <c r="O176" s="435">
        <f t="shared" si="39"/>
        <v>1</v>
      </c>
      <c r="P176" s="22"/>
    </row>
    <row r="177" spans="1:16" ht="15">
      <c r="A177" s="13" t="s">
        <v>296</v>
      </c>
      <c r="B177" s="56" t="s">
        <v>105</v>
      </c>
      <c r="C177" s="13" t="s">
        <v>33</v>
      </c>
      <c r="D177" s="13">
        <v>219</v>
      </c>
      <c r="E177" s="13"/>
      <c r="F177" s="13" t="s">
        <v>96</v>
      </c>
      <c r="G177" s="28">
        <v>10.199999999999999</v>
      </c>
      <c r="H177" s="440">
        <v>10</v>
      </c>
      <c r="I177" s="28">
        <v>2</v>
      </c>
      <c r="J177" s="441">
        <f t="shared" si="36"/>
        <v>1.9607843137254903</v>
      </c>
      <c r="K177" s="28">
        <v>1</v>
      </c>
      <c r="L177" s="267">
        <f t="shared" si="37"/>
        <v>1.9607843137254903</v>
      </c>
      <c r="M177" s="433">
        <f t="shared" si="38"/>
        <v>392.15686274509807</v>
      </c>
      <c r="N177" s="434">
        <v>200</v>
      </c>
      <c r="O177" s="435">
        <f t="shared" si="39"/>
        <v>0.98039215686274517</v>
      </c>
      <c r="P177" s="22"/>
    </row>
    <row r="178" spans="1:16" ht="15">
      <c r="A178" s="523" t="s">
        <v>1695</v>
      </c>
      <c r="B178" s="522" t="s">
        <v>1696</v>
      </c>
      <c r="C178" s="523" t="s">
        <v>33</v>
      </c>
      <c r="D178" s="523">
        <v>226</v>
      </c>
      <c r="E178" s="523"/>
      <c r="F178" s="523" t="s">
        <v>12</v>
      </c>
      <c r="G178" s="527">
        <v>20</v>
      </c>
      <c r="H178" s="530">
        <v>10</v>
      </c>
      <c r="I178" s="527">
        <v>1</v>
      </c>
      <c r="J178" s="531">
        <f t="shared" si="36"/>
        <v>0.50</v>
      </c>
      <c r="K178" s="527">
        <v>1</v>
      </c>
      <c r="L178" s="267">
        <f t="shared" si="37"/>
        <v>0.50</v>
      </c>
      <c r="M178" s="433">
        <f t="shared" si="38"/>
        <v>100</v>
      </c>
      <c r="N178" s="434">
        <v>200</v>
      </c>
      <c r="O178" s="435">
        <f t="shared" si="39"/>
        <v>0.50</v>
      </c>
      <c r="P178" s="22"/>
    </row>
    <row r="179" spans="1:16" ht="15">
      <c r="A179" s="13" t="s">
        <v>308</v>
      </c>
      <c r="B179" s="27" t="s">
        <v>309</v>
      </c>
      <c r="C179" s="13" t="s">
        <v>14</v>
      </c>
      <c r="D179" s="13">
        <v>226</v>
      </c>
      <c r="E179" s="13"/>
      <c r="F179" s="13" t="s">
        <v>58</v>
      </c>
      <c r="G179" s="442">
        <v>24</v>
      </c>
      <c r="H179" s="440">
        <v>10</v>
      </c>
      <c r="I179" s="28">
        <v>1</v>
      </c>
      <c r="J179" s="441">
        <f t="shared" si="36"/>
        <v>0.41666666666666669</v>
      </c>
      <c r="K179" s="28">
        <v>3.20</v>
      </c>
      <c r="L179" s="435">
        <f t="shared" si="37"/>
        <v>1.3333333333333335</v>
      </c>
      <c r="M179" s="266">
        <f t="shared" si="38"/>
        <v>202.66666666666669</v>
      </c>
      <c r="N179" s="433">
        <v>152</v>
      </c>
      <c r="O179" s="435">
        <f t="shared" si="39"/>
        <v>1.3333333333333335</v>
      </c>
      <c r="P179" s="22"/>
    </row>
    <row r="180" spans="1:16" ht="15">
      <c r="A180" s="13" t="s">
        <v>294</v>
      </c>
      <c r="B180" s="27" t="s">
        <v>521</v>
      </c>
      <c r="C180" s="13" t="s">
        <v>14</v>
      </c>
      <c r="D180" s="13">
        <v>226</v>
      </c>
      <c r="E180" s="13"/>
      <c r="F180" s="13" t="s">
        <v>58</v>
      </c>
      <c r="G180" s="28">
        <v>23.16</v>
      </c>
      <c r="H180" s="440">
        <v>10</v>
      </c>
      <c r="I180" s="28">
        <v>1</v>
      </c>
      <c r="J180" s="441">
        <f t="shared" si="36"/>
        <v>0.43177892918825561</v>
      </c>
      <c r="K180" s="28">
        <v>9.9499999999999993</v>
      </c>
      <c r="L180" s="267">
        <f t="shared" si="37"/>
        <v>4.2962003454231432</v>
      </c>
      <c r="M180" s="433">
        <f t="shared" si="38"/>
        <v>859.24006908462866</v>
      </c>
      <c r="N180" s="434">
        <v>200</v>
      </c>
      <c r="O180" s="435">
        <f t="shared" si="39"/>
        <v>4.2962003454231432</v>
      </c>
      <c r="P180" s="22"/>
    </row>
    <row r="181" spans="1:16" ht="15">
      <c r="A181" s="13" t="s">
        <v>1639</v>
      </c>
      <c r="B181" s="27" t="s">
        <v>1640</v>
      </c>
      <c r="C181" s="13" t="s">
        <v>33</v>
      </c>
      <c r="D181" s="13" t="s">
        <v>1333</v>
      </c>
      <c r="E181" s="13"/>
      <c r="F181" s="13" t="s">
        <v>12</v>
      </c>
      <c r="G181" s="442">
        <v>30</v>
      </c>
      <c r="H181" s="440">
        <v>10</v>
      </c>
      <c r="I181" s="28">
        <v>2</v>
      </c>
      <c r="J181" s="441">
        <f t="shared" si="40" ref="J181">H181/G181*I181</f>
        <v>0.66666666666666663</v>
      </c>
      <c r="K181" s="28">
        <v>1</v>
      </c>
      <c r="L181" s="267">
        <f t="shared" si="41" ref="L181">J181*K181</f>
        <v>0.66666666666666663</v>
      </c>
      <c r="M181" s="433">
        <f t="shared" si="42" ref="M181">L181*N181</f>
        <v>101.33333333333333</v>
      </c>
      <c r="N181" s="434">
        <v>152</v>
      </c>
      <c r="O181" s="435">
        <f t="shared" si="43" ref="O181">J181/I181*K181</f>
        <v>0.33333333333333331</v>
      </c>
      <c r="P181" s="21"/>
    </row>
    <row r="182" spans="1:16" ht="15">
      <c r="A182" s="13" t="s">
        <v>295</v>
      </c>
      <c r="B182" s="27" t="s">
        <v>104</v>
      </c>
      <c r="C182" s="13" t="s">
        <v>33</v>
      </c>
      <c r="D182" s="13" t="s">
        <v>1333</v>
      </c>
      <c r="E182" s="13"/>
      <c r="F182" s="13" t="s">
        <v>12</v>
      </c>
      <c r="G182" s="436">
        <v>6.1639999999999997</v>
      </c>
      <c r="H182" s="440">
        <v>10</v>
      </c>
      <c r="I182" s="28">
        <v>2</v>
      </c>
      <c r="J182" s="441">
        <f t="shared" si="36"/>
        <v>3.2446463335496434</v>
      </c>
      <c r="K182" s="28">
        <v>1</v>
      </c>
      <c r="L182" s="267">
        <f t="shared" si="37"/>
        <v>3.2446463335496434</v>
      </c>
      <c r="M182" s="433">
        <f t="shared" si="38"/>
        <v>493.1862426995458</v>
      </c>
      <c r="N182" s="434">
        <v>152</v>
      </c>
      <c r="O182" s="435">
        <f t="shared" si="39"/>
        <v>1.6223231667748217</v>
      </c>
      <c r="P182" s="21"/>
    </row>
    <row r="183" spans="1:16" ht="15">
      <c r="A183" s="13" t="s">
        <v>1641</v>
      </c>
      <c r="B183" s="27" t="s">
        <v>1642</v>
      </c>
      <c r="C183" s="13" t="s">
        <v>33</v>
      </c>
      <c r="D183" s="13" t="s">
        <v>1333</v>
      </c>
      <c r="E183" s="13"/>
      <c r="F183" s="13" t="s">
        <v>139</v>
      </c>
      <c r="G183" s="442">
        <v>20</v>
      </c>
      <c r="H183" s="440">
        <v>10</v>
      </c>
      <c r="I183" s="28">
        <v>1</v>
      </c>
      <c r="J183" s="441">
        <f t="shared" si="36"/>
        <v>0.50</v>
      </c>
      <c r="K183" s="28">
        <v>1</v>
      </c>
      <c r="L183" s="267">
        <f t="shared" si="37"/>
        <v>0.50</v>
      </c>
      <c r="M183" s="433">
        <f t="shared" si="38"/>
        <v>76</v>
      </c>
      <c r="N183" s="434">
        <v>152</v>
      </c>
      <c r="O183" s="435">
        <f t="shared" si="39"/>
        <v>0.50</v>
      </c>
      <c r="P183" s="21"/>
    </row>
    <row r="184" spans="1:15" s="22" customFormat="1" ht="15">
      <c r="A184" s="443"/>
      <c r="B184" s="495" t="s">
        <v>15</v>
      </c>
      <c r="C184" s="443"/>
      <c r="D184" s="443"/>
      <c r="E184" s="443"/>
      <c r="F184" s="444"/>
      <c r="G184" s="443"/>
      <c r="H184" s="445"/>
      <c r="I184" s="443"/>
      <c r="J184" s="446"/>
      <c r="K184" s="443"/>
      <c r="L184" s="447">
        <f>SUM(L6:L182)</f>
        <v>278.66772391994408</v>
      </c>
      <c r="M184" s="455">
        <f>M17+M62+M87+M100+M111+M161+M107+M5</f>
        <v>54815.170964802281</v>
      </c>
      <c r="N184" s="110"/>
      <c r="O184" s="454">
        <f>O17+O62+O87+O100+O111+O161+O107+O5</f>
        <v>201.10335966110583</v>
      </c>
    </row>
    <row r="185" spans="12:15" ht="15">
      <c r="L185" s="448" t="s">
        <v>16</v>
      </c>
      <c r="O185" s="448" t="s">
        <v>17</v>
      </c>
    </row>
    <row r="186" spans="6:15" ht="15">
      <c r="F186" s="107"/>
      <c r="J186" s="450"/>
      <c r="K186" s="451" t="s">
        <v>18</v>
      </c>
      <c r="L186" s="452">
        <f>L184/G2</f>
        <v>113.00394319543555</v>
      </c>
      <c r="M186" s="450" t="s">
        <v>19</v>
      </c>
      <c r="N186" s="450"/>
      <c r="O186" s="450"/>
    </row>
    <row r="187" spans="6:6" ht="15">
      <c r="F187" s="107"/>
    </row>
    <row r="188" spans="2:8" ht="15">
      <c r="B188" s="493" t="s">
        <v>858</v>
      </c>
      <c r="C188" s="449"/>
      <c r="F188" s="107"/>
      <c r="H188" s="268"/>
    </row>
    <row r="189" spans="6:6" ht="15">
      <c r="F189" s="107"/>
    </row>
    <row r="190" spans="2:3" ht="15">
      <c r="B190" s="493" t="s">
        <v>848</v>
      </c>
      <c r="C190" s="449"/>
    </row>
    <row r="192" spans="2:3" ht="15">
      <c r="B192" s="493" t="s">
        <v>849</v>
      </c>
      <c r="C192" s="449"/>
    </row>
    <row r="194" ht="15" hidden="1"/>
    <row r="195" ht="15" hidden="1"/>
    <row r="196" spans="1:8" ht="15" hidden="1">
      <c r="A196" s="481" t="s">
        <v>328</v>
      </c>
      <c r="B196" s="496" t="s">
        <v>329</v>
      </c>
      <c r="C196" s="481" t="s">
        <v>330</v>
      </c>
      <c r="D196" s="481" t="s">
        <v>331</v>
      </c>
      <c r="E196" s="481" t="s">
        <v>332</v>
      </c>
      <c r="F196" s="481" t="s">
        <v>333</v>
      </c>
      <c r="G196" s="427"/>
      <c r="H196" s="268"/>
    </row>
    <row r="197" spans="1:8" ht="30" hidden="1">
      <c r="A197" s="482">
        <v>1</v>
      </c>
      <c r="B197" s="483" t="s">
        <v>1201</v>
      </c>
      <c r="C197" s="482" t="s">
        <v>1202</v>
      </c>
      <c r="D197" s="482" t="s">
        <v>1203</v>
      </c>
      <c r="E197" s="482" t="s">
        <v>954</v>
      </c>
      <c r="F197" s="484">
        <v>44519</v>
      </c>
      <c r="G197" s="427"/>
      <c r="H197" s="268"/>
    </row>
    <row r="198" spans="1:8" ht="30" hidden="1">
      <c r="A198" s="482">
        <v>2</v>
      </c>
      <c r="B198" s="490" t="s">
        <v>1131</v>
      </c>
      <c r="C198" s="486"/>
      <c r="D198" s="482"/>
      <c r="E198" s="482" t="s">
        <v>954</v>
      </c>
      <c r="F198" s="484">
        <v>44533</v>
      </c>
      <c r="G198" s="427"/>
      <c r="H198" s="268"/>
    </row>
    <row r="199" spans="1:8" ht="75" hidden="1">
      <c r="A199" s="482">
        <v>3</v>
      </c>
      <c r="B199" s="483" t="s">
        <v>1283</v>
      </c>
      <c r="C199" s="482">
        <v>600</v>
      </c>
      <c r="D199" s="482">
        <v>400</v>
      </c>
      <c r="E199" s="482" t="s">
        <v>954</v>
      </c>
      <c r="F199" s="484">
        <v>44602</v>
      </c>
      <c r="G199" s="427"/>
      <c r="H199" s="268"/>
    </row>
    <row r="200" spans="1:8" ht="30" hidden="1">
      <c r="A200" s="482">
        <v>4</v>
      </c>
      <c r="B200" s="483" t="s">
        <v>1284</v>
      </c>
      <c r="C200" s="485"/>
      <c r="D200" s="485"/>
      <c r="E200" s="482" t="s">
        <v>954</v>
      </c>
      <c r="F200" s="484">
        <v>44602</v>
      </c>
      <c r="G200" s="427"/>
      <c r="H200" s="268"/>
    </row>
    <row r="201" spans="1:8" ht="30" hidden="1">
      <c r="A201" s="482">
        <v>5</v>
      </c>
      <c r="B201" s="483" t="s">
        <v>1296</v>
      </c>
      <c r="C201" s="485"/>
      <c r="D201" s="485"/>
      <c r="E201" s="482" t="s">
        <v>954</v>
      </c>
      <c r="F201" s="484">
        <v>44616</v>
      </c>
      <c r="G201" s="427"/>
      <c r="H201" s="268"/>
    </row>
    <row r="202" spans="1:8" ht="45" hidden="1">
      <c r="A202" s="482">
        <v>6</v>
      </c>
      <c r="B202" s="483" t="s">
        <v>1326</v>
      </c>
      <c r="C202" s="485"/>
      <c r="D202" s="485"/>
      <c r="E202" s="482" t="s">
        <v>954</v>
      </c>
      <c r="F202" s="484">
        <v>44616</v>
      </c>
      <c r="G202" s="427"/>
      <c r="H202" s="268"/>
    </row>
    <row r="203" spans="1:8" ht="30" hidden="1">
      <c r="A203" s="482">
        <v>7</v>
      </c>
      <c r="B203" s="483" t="s">
        <v>1298</v>
      </c>
      <c r="C203" s="485"/>
      <c r="D203" s="485"/>
      <c r="E203" s="482" t="s">
        <v>954</v>
      </c>
      <c r="F203" s="484">
        <v>44616</v>
      </c>
      <c r="G203" s="427"/>
      <c r="H203" s="268"/>
    </row>
    <row r="204" spans="1:8" ht="30" hidden="1">
      <c r="A204" s="482">
        <v>8</v>
      </c>
      <c r="B204" s="483" t="s">
        <v>1299</v>
      </c>
      <c r="C204" s="485"/>
      <c r="D204" s="485"/>
      <c r="E204" s="482" t="s">
        <v>954</v>
      </c>
      <c r="F204" s="484">
        <v>44616</v>
      </c>
      <c r="G204" s="427"/>
      <c r="H204" s="268"/>
    </row>
    <row r="205" spans="1:8" ht="30" hidden="1">
      <c r="A205" s="482">
        <v>9</v>
      </c>
      <c r="B205" s="483" t="s">
        <v>1300</v>
      </c>
      <c r="C205" s="485"/>
      <c r="D205" s="485"/>
      <c r="E205" s="482" t="s">
        <v>954</v>
      </c>
      <c r="F205" s="484">
        <v>44616</v>
      </c>
      <c r="G205" s="427"/>
      <c r="H205" s="268"/>
    </row>
    <row r="206" spans="1:8" ht="30" hidden="1">
      <c r="A206" s="482">
        <v>10</v>
      </c>
      <c r="B206" s="483" t="s">
        <v>1301</v>
      </c>
      <c r="C206" s="485"/>
      <c r="D206" s="485"/>
      <c r="E206" s="482" t="s">
        <v>954</v>
      </c>
      <c r="F206" s="484">
        <v>44616</v>
      </c>
      <c r="G206" s="427"/>
      <c r="H206" s="268"/>
    </row>
    <row r="207" spans="1:8" ht="30" hidden="1">
      <c r="A207" s="482">
        <v>11</v>
      </c>
      <c r="B207" s="483" t="s">
        <v>1302</v>
      </c>
      <c r="C207" s="485"/>
      <c r="D207" s="485"/>
      <c r="E207" s="482" t="s">
        <v>954</v>
      </c>
      <c r="F207" s="484">
        <v>44616</v>
      </c>
      <c r="G207" s="427"/>
      <c r="H207" s="268"/>
    </row>
    <row r="208" spans="1:8" ht="30" hidden="1">
      <c r="A208" s="482">
        <v>12</v>
      </c>
      <c r="B208" s="483" t="s">
        <v>1303</v>
      </c>
      <c r="C208" s="485"/>
      <c r="D208" s="485"/>
      <c r="E208" s="482" t="s">
        <v>954</v>
      </c>
      <c r="F208" s="484">
        <v>44616</v>
      </c>
      <c r="G208" s="427"/>
      <c r="H208" s="268"/>
    </row>
    <row r="209" spans="1:8" ht="30" hidden="1">
      <c r="A209" s="482">
        <v>13</v>
      </c>
      <c r="B209" s="483" t="s">
        <v>1304</v>
      </c>
      <c r="C209" s="485"/>
      <c r="D209" s="485"/>
      <c r="E209" s="482" t="s">
        <v>954</v>
      </c>
      <c r="F209" s="484">
        <v>44616</v>
      </c>
      <c r="G209" s="427"/>
      <c r="H209" s="268"/>
    </row>
    <row r="210" spans="1:8" ht="30" hidden="1">
      <c r="A210" s="482">
        <v>14</v>
      </c>
      <c r="B210" s="483" t="s">
        <v>1305</v>
      </c>
      <c r="C210" s="485"/>
      <c r="D210" s="485"/>
      <c r="E210" s="482" t="s">
        <v>954</v>
      </c>
      <c r="F210" s="484">
        <v>44616</v>
      </c>
      <c r="G210" s="427"/>
      <c r="H210" s="268"/>
    </row>
    <row r="211" spans="1:8" ht="30" hidden="1">
      <c r="A211" s="482">
        <v>15</v>
      </c>
      <c r="B211" s="483" t="s">
        <v>1306</v>
      </c>
      <c r="C211" s="485"/>
      <c r="D211" s="485"/>
      <c r="E211" s="482" t="s">
        <v>954</v>
      </c>
      <c r="F211" s="484">
        <v>44616</v>
      </c>
      <c r="G211" s="427"/>
      <c r="H211" s="268"/>
    </row>
    <row r="212" spans="1:8" ht="30" hidden="1">
      <c r="A212" s="482">
        <v>16</v>
      </c>
      <c r="B212" s="483" t="s">
        <v>1307</v>
      </c>
      <c r="C212" s="485"/>
      <c r="D212" s="485"/>
      <c r="E212" s="482" t="s">
        <v>954</v>
      </c>
      <c r="F212" s="484">
        <v>44616</v>
      </c>
      <c r="G212" s="427"/>
      <c r="H212" s="268"/>
    </row>
    <row r="213" spans="1:6" ht="45" hidden="1">
      <c r="A213" s="482">
        <v>17</v>
      </c>
      <c r="B213" s="483" t="s">
        <v>1371</v>
      </c>
      <c r="C213" s="485"/>
      <c r="D213" s="485"/>
      <c r="E213" s="482" t="s">
        <v>954</v>
      </c>
      <c r="F213" s="484">
        <v>44634</v>
      </c>
    </row>
    <row r="214" spans="1:6" ht="57" customHeight="1" hidden="1">
      <c r="A214" s="482">
        <v>18</v>
      </c>
      <c r="B214" s="483" t="s">
        <v>1372</v>
      </c>
      <c r="C214" s="485"/>
      <c r="D214" s="485"/>
      <c r="E214" s="482" t="s">
        <v>954</v>
      </c>
      <c r="F214" s="484">
        <v>44634</v>
      </c>
    </row>
    <row r="215" spans="1:6" ht="45" hidden="1">
      <c r="A215" s="482">
        <v>19</v>
      </c>
      <c r="B215" s="483" t="s">
        <v>1373</v>
      </c>
      <c r="C215" s="485"/>
      <c r="D215" s="485"/>
      <c r="E215" s="482" t="s">
        <v>954</v>
      </c>
      <c r="F215" s="484">
        <v>44634</v>
      </c>
    </row>
    <row r="216" spans="1:6" ht="45" hidden="1">
      <c r="A216" s="482">
        <v>20</v>
      </c>
      <c r="B216" s="483" t="s">
        <v>1386</v>
      </c>
      <c r="C216" s="485"/>
      <c r="D216" s="485"/>
      <c r="E216" s="482" t="s">
        <v>954</v>
      </c>
      <c r="F216" s="484">
        <v>44634</v>
      </c>
    </row>
    <row r="217" spans="1:6" ht="60" hidden="1">
      <c r="A217" s="482">
        <v>21</v>
      </c>
      <c r="B217" s="483" t="s">
        <v>1387</v>
      </c>
      <c r="C217" s="485"/>
      <c r="D217" s="485"/>
      <c r="E217" s="482" t="s">
        <v>954</v>
      </c>
      <c r="F217" s="484">
        <v>44634</v>
      </c>
    </row>
    <row r="218" spans="1:6" ht="60" hidden="1">
      <c r="A218" s="482">
        <v>22</v>
      </c>
      <c r="B218" s="483" t="s">
        <v>1388</v>
      </c>
      <c r="C218" s="485"/>
      <c r="D218" s="485"/>
      <c r="E218" s="482" t="s">
        <v>954</v>
      </c>
      <c r="F218" s="484">
        <v>44634</v>
      </c>
    </row>
    <row r="219" spans="1:6" ht="60" hidden="1">
      <c r="A219" s="482">
        <v>23</v>
      </c>
      <c r="B219" s="483" t="s">
        <v>1374</v>
      </c>
      <c r="C219" s="485"/>
      <c r="D219" s="485"/>
      <c r="E219" s="482" t="s">
        <v>954</v>
      </c>
      <c r="F219" s="484">
        <v>44634</v>
      </c>
    </row>
    <row r="220" spans="1:6" ht="60" hidden="1">
      <c r="A220" s="509">
        <v>24</v>
      </c>
      <c r="B220" s="510" t="s">
        <v>1375</v>
      </c>
      <c r="C220" s="511"/>
      <c r="D220" s="511"/>
      <c r="E220" s="509" t="s">
        <v>954</v>
      </c>
      <c r="F220" s="512">
        <v>44634</v>
      </c>
    </row>
    <row r="221" spans="1:6" ht="15" hidden="1">
      <c r="A221" s="68"/>
      <c r="E221" s="68"/>
      <c r="F221" s="513"/>
    </row>
    <row r="222" spans="1:6" ht="15" hidden="1">
      <c r="A222" s="68"/>
      <c r="E222" s="68"/>
      <c r="F222" s="513"/>
    </row>
    <row r="223" spans="1:6" ht="15.75" hidden="1" thickBot="1">
      <c r="A223" s="68"/>
      <c r="E223" s="68"/>
      <c r="F223" s="513"/>
    </row>
    <row r="224" spans="1:8" ht="15.75" hidden="1" thickBot="1">
      <c r="A224" s="687" t="s">
        <v>1646</v>
      </c>
      <c r="B224" s="688"/>
      <c r="C224" s="688"/>
      <c r="D224" s="688"/>
      <c r="E224" s="688"/>
      <c r="F224" s="689"/>
      <c r="G224" s="427"/>
      <c r="H224" s="268"/>
    </row>
    <row r="225" spans="1:15" ht="15" hidden="1">
      <c r="A225" s="500" t="s">
        <v>328</v>
      </c>
      <c r="B225" s="631" t="s">
        <v>1593</v>
      </c>
      <c r="C225" s="632"/>
      <c r="D225" s="633"/>
      <c r="E225" s="501" t="s">
        <v>332</v>
      </c>
      <c r="F225" s="502" t="s">
        <v>333</v>
      </c>
      <c r="G225" s="427"/>
      <c r="H225" s="268"/>
      <c r="O225" s="503"/>
    </row>
    <row r="226" spans="1:15" ht="15.75" hidden="1" thickBot="1">
      <c r="A226" s="504">
        <v>1</v>
      </c>
      <c r="B226" s="634" t="s">
        <v>1605</v>
      </c>
      <c r="C226" s="635"/>
      <c r="D226" s="636"/>
      <c r="E226" s="505" t="s">
        <v>1334</v>
      </c>
      <c r="F226" s="506">
        <v>44677</v>
      </c>
      <c r="G226" s="427"/>
      <c r="H226" s="268"/>
      <c r="O226" s="503"/>
    </row>
    <row r="227" spans="1:16" ht="15.75" hidden="1" thickBot="1">
      <c r="A227" s="13" t="s">
        <v>1639</v>
      </c>
      <c r="B227" s="27" t="s">
        <v>1640</v>
      </c>
      <c r="C227" s="13" t="s">
        <v>33</v>
      </c>
      <c r="D227" s="13" t="s">
        <v>1333</v>
      </c>
      <c r="E227" s="13"/>
      <c r="F227" s="13" t="s">
        <v>12</v>
      </c>
      <c r="G227" s="442">
        <v>30</v>
      </c>
      <c r="H227" s="440">
        <v>10</v>
      </c>
      <c r="I227" s="28">
        <v>2</v>
      </c>
      <c r="J227" s="441">
        <f t="shared" si="44" ref="J227">H227/G227*I227</f>
        <v>0.66666666666666663</v>
      </c>
      <c r="K227" s="28">
        <v>1</v>
      </c>
      <c r="L227" s="267">
        <f t="shared" si="45" ref="L227">J227*K227</f>
        <v>0.66666666666666663</v>
      </c>
      <c r="M227" s="433">
        <f t="shared" si="46" ref="M227">L227*N227</f>
        <v>101.33333333333333</v>
      </c>
      <c r="N227" s="434">
        <v>152</v>
      </c>
      <c r="O227" s="435">
        <f t="shared" si="47" ref="O227">J227/I227*K227</f>
        <v>0.33333333333333331</v>
      </c>
      <c r="P227" s="21"/>
    </row>
    <row r="228" spans="1:15" ht="15" hidden="1">
      <c r="A228" s="500" t="s">
        <v>328</v>
      </c>
      <c r="B228" s="631" t="s">
        <v>1593</v>
      </c>
      <c r="C228" s="632"/>
      <c r="D228" s="633"/>
      <c r="E228" s="501" t="s">
        <v>332</v>
      </c>
      <c r="F228" s="502" t="s">
        <v>333</v>
      </c>
      <c r="G228" s="427"/>
      <c r="H228" s="268"/>
      <c r="O228" s="503"/>
    </row>
    <row r="229" spans="1:15" ht="15.75" hidden="1" thickBot="1">
      <c r="A229" s="504">
        <v>2</v>
      </c>
      <c r="B229" s="634" t="s">
        <v>1605</v>
      </c>
      <c r="C229" s="635"/>
      <c r="D229" s="636"/>
      <c r="E229" s="505" t="s">
        <v>1334</v>
      </c>
      <c r="F229" s="506">
        <v>44719</v>
      </c>
      <c r="G229" s="427"/>
      <c r="H229" s="268"/>
      <c r="O229" s="503"/>
    </row>
    <row r="230" spans="1:16" ht="15.75" hidden="1" thickBot="1">
      <c r="A230" s="13" t="s">
        <v>1641</v>
      </c>
      <c r="B230" s="27" t="s">
        <v>1642</v>
      </c>
      <c r="C230" s="13" t="s">
        <v>33</v>
      </c>
      <c r="D230" s="13" t="s">
        <v>1333</v>
      </c>
      <c r="E230" s="13"/>
      <c r="F230" s="13" t="s">
        <v>139</v>
      </c>
      <c r="G230" s="442">
        <v>20</v>
      </c>
      <c r="H230" s="440">
        <v>10</v>
      </c>
      <c r="I230" s="28">
        <v>1</v>
      </c>
      <c r="J230" s="441">
        <f t="shared" si="48" ref="J230">H230/G230*I230</f>
        <v>0.50</v>
      </c>
      <c r="K230" s="28">
        <v>1</v>
      </c>
      <c r="L230" s="267">
        <f t="shared" si="49" ref="L230">J230*K230</f>
        <v>0.50</v>
      </c>
      <c r="M230" s="433">
        <f t="shared" si="50" ref="M230">L230*N230</f>
        <v>76</v>
      </c>
      <c r="N230" s="434">
        <v>152</v>
      </c>
      <c r="O230" s="435">
        <f t="shared" si="51" ref="O230">J230/I230*K230</f>
        <v>0.50</v>
      </c>
      <c r="P230" s="21"/>
    </row>
    <row r="231" spans="1:15" ht="15" hidden="1">
      <c r="A231" s="500" t="s">
        <v>328</v>
      </c>
      <c r="B231" s="631" t="s">
        <v>1593</v>
      </c>
      <c r="C231" s="632"/>
      <c r="D231" s="633"/>
      <c r="E231" s="501" t="s">
        <v>332</v>
      </c>
      <c r="F231" s="502" t="s">
        <v>333</v>
      </c>
      <c r="G231" s="427"/>
      <c r="H231" s="268"/>
      <c r="O231" s="503"/>
    </row>
    <row r="232" spans="1:15" ht="15.75" hidden="1" thickBot="1">
      <c r="A232" s="504">
        <v>3</v>
      </c>
      <c r="B232" s="634" t="s">
        <v>1645</v>
      </c>
      <c r="C232" s="635"/>
      <c r="D232" s="636"/>
      <c r="E232" s="505" t="s">
        <v>1250</v>
      </c>
      <c r="F232" s="506">
        <v>44727</v>
      </c>
      <c r="G232" s="427"/>
      <c r="H232" s="268"/>
      <c r="O232" s="503"/>
    </row>
    <row r="233" spans="1:15" s="0" customFormat="1" ht="15" hidden="1">
      <c r="A233" s="642" t="s">
        <v>651</v>
      </c>
      <c r="B233" s="639" t="s">
        <v>1051</v>
      </c>
      <c r="C233" s="13" t="s">
        <v>1052</v>
      </c>
      <c r="D233" s="13">
        <v>106</v>
      </c>
      <c r="E233" s="13"/>
      <c r="F233" s="13" t="s">
        <v>1053</v>
      </c>
      <c r="G233" s="28">
        <v>20</v>
      </c>
      <c r="H233" s="437">
        <v>10</v>
      </c>
      <c r="I233" s="28">
        <v>2</v>
      </c>
      <c r="J233" s="438">
        <f t="shared" si="52" ref="J233:J235">H233/G233*I233</f>
        <v>1</v>
      </c>
      <c r="K233" s="436">
        <v>1</v>
      </c>
      <c r="L233" s="267">
        <f t="shared" si="53" ref="L233:L235">J233*K233</f>
        <v>1</v>
      </c>
      <c r="M233" s="433">
        <f>L233*N233</f>
        <v>200</v>
      </c>
      <c r="N233" s="478">
        <v>200</v>
      </c>
      <c r="O233" s="435">
        <f t="shared" si="54" ref="O233:O235">J233/I233*K233</f>
        <v>0.50</v>
      </c>
    </row>
    <row r="234" spans="1:15" ht="15" hidden="1">
      <c r="A234" s="643"/>
      <c r="B234" s="640"/>
      <c r="C234" s="13" t="s">
        <v>1643</v>
      </c>
      <c r="D234" s="13">
        <v>106</v>
      </c>
      <c r="E234" s="13"/>
      <c r="F234" s="13" t="s">
        <v>10</v>
      </c>
      <c r="G234" s="442">
        <v>40</v>
      </c>
      <c r="H234" s="437">
        <v>10</v>
      </c>
      <c r="I234" s="28">
        <v>1</v>
      </c>
      <c r="J234" s="468">
        <f t="shared" si="52"/>
        <v>0.25</v>
      </c>
      <c r="K234" s="442">
        <f>(854)/1000</f>
        <v>0.85399999999999998</v>
      </c>
      <c r="L234" s="435">
        <f t="shared" si="53"/>
        <v>0.2135</v>
      </c>
      <c r="M234" s="266">
        <f t="shared" si="55" ref="M234">L234*N234</f>
        <v>42.70</v>
      </c>
      <c r="N234" s="433">
        <v>200</v>
      </c>
      <c r="O234" s="267">
        <f t="shared" si="54"/>
        <v>0.2135</v>
      </c>
    </row>
    <row r="235" spans="1:15" s="0" customFormat="1" ht="15.75" hidden="1" thickBot="1">
      <c r="A235" s="643"/>
      <c r="B235" s="640"/>
      <c r="C235" s="13" t="s">
        <v>1644</v>
      </c>
      <c r="D235" s="13">
        <v>106</v>
      </c>
      <c r="E235" s="13" t="s">
        <v>44</v>
      </c>
      <c r="F235" s="13" t="s">
        <v>10</v>
      </c>
      <c r="G235" s="28">
        <v>27</v>
      </c>
      <c r="H235" s="437">
        <v>10</v>
      </c>
      <c r="I235" s="28">
        <v>1</v>
      </c>
      <c r="J235" s="438">
        <f t="shared" si="52"/>
        <v>0.37037037037037035</v>
      </c>
      <c r="K235" s="436">
        <f>(854)*2/1000+0.2</f>
        <v>1.9079999999999999</v>
      </c>
      <c r="L235" s="435">
        <f t="shared" si="53"/>
        <v>0.70666666666666655</v>
      </c>
      <c r="M235" s="266">
        <f>L235*N235</f>
        <v>141.33333333333331</v>
      </c>
      <c r="N235" s="433">
        <v>200</v>
      </c>
      <c r="O235" s="435">
        <f t="shared" si="54"/>
        <v>0.70666666666666655</v>
      </c>
    </row>
    <row r="236" spans="1:15" ht="15" hidden="1">
      <c r="A236" s="500" t="s">
        <v>328</v>
      </c>
      <c r="B236" s="631" t="s">
        <v>1593</v>
      </c>
      <c r="C236" s="632"/>
      <c r="D236" s="633"/>
      <c r="E236" s="501" t="s">
        <v>332</v>
      </c>
      <c r="F236" s="502" t="s">
        <v>333</v>
      </c>
      <c r="G236" s="427"/>
      <c r="H236" s="268"/>
      <c r="O236" s="503"/>
    </row>
    <row r="237" spans="1:15" ht="15.75" hidden="1" thickBot="1">
      <c r="A237" s="504">
        <v>4</v>
      </c>
      <c r="B237" s="634" t="s">
        <v>1647</v>
      </c>
      <c r="C237" s="635"/>
      <c r="D237" s="636"/>
      <c r="E237" s="505" t="s">
        <v>1250</v>
      </c>
      <c r="F237" s="506">
        <v>44727</v>
      </c>
      <c r="G237" s="427"/>
      <c r="H237" s="268"/>
      <c r="O237" s="503"/>
    </row>
    <row r="238" spans="1:15" s="0" customFormat="1" ht="15" hidden="1">
      <c r="A238" s="650" t="s">
        <v>182</v>
      </c>
      <c r="B238" s="638" t="s">
        <v>183</v>
      </c>
      <c r="C238" s="13" t="s">
        <v>184</v>
      </c>
      <c r="D238" s="13">
        <v>105</v>
      </c>
      <c r="E238" s="13"/>
      <c r="F238" s="17" t="s">
        <v>353</v>
      </c>
      <c r="G238" s="16">
        <v>11.462999999999999</v>
      </c>
      <c r="H238" s="252">
        <v>10</v>
      </c>
      <c r="I238" s="16">
        <v>1</v>
      </c>
      <c r="J238" s="253">
        <f t="shared" si="56" ref="J238:J241">H238/G238*I238</f>
        <v>0.87237197941202138</v>
      </c>
      <c r="K238" s="52">
        <v>1</v>
      </c>
      <c r="L238" s="8">
        <f t="shared" si="57" ref="L238:L241">J238*K238</f>
        <v>0.87237197941202138</v>
      </c>
      <c r="M238" s="42">
        <f t="shared" si="58" ref="M238:M241">L238*N238</f>
        <v>174.47439588240428</v>
      </c>
      <c r="N238" s="43">
        <v>200</v>
      </c>
      <c r="O238" s="8">
        <f t="shared" si="59" ref="O238:O241">J238/I238*K238</f>
        <v>0.87237197941202138</v>
      </c>
    </row>
    <row r="239" spans="1:15" s="0" customFormat="1" ht="15" hidden="1">
      <c r="A239" s="650"/>
      <c r="B239" s="638"/>
      <c r="C239" s="13" t="s">
        <v>1119</v>
      </c>
      <c r="D239" s="13">
        <v>105</v>
      </c>
      <c r="E239" s="13"/>
      <c r="F239" s="17" t="s">
        <v>353</v>
      </c>
      <c r="G239" s="16">
        <v>11.462999999999999</v>
      </c>
      <c r="H239" s="252">
        <v>10</v>
      </c>
      <c r="I239" s="16">
        <v>1</v>
      </c>
      <c r="J239" s="253">
        <f t="shared" si="56"/>
        <v>0.87237197941202138</v>
      </c>
      <c r="K239" s="52">
        <v>1</v>
      </c>
      <c r="L239" s="8">
        <f t="shared" si="57"/>
        <v>0.87237197941202138</v>
      </c>
      <c r="M239" s="42">
        <f t="shared" si="58"/>
        <v>174.47439588240428</v>
      </c>
      <c r="N239" s="43">
        <v>200</v>
      </c>
      <c r="O239" s="8">
        <f t="shared" si="59"/>
        <v>0.87237197941202138</v>
      </c>
    </row>
    <row r="240" spans="1:15" s="0" customFormat="1" ht="15" hidden="1">
      <c r="A240" s="650" t="s">
        <v>182</v>
      </c>
      <c r="B240" s="638" t="s">
        <v>183</v>
      </c>
      <c r="C240" s="13" t="s">
        <v>1648</v>
      </c>
      <c r="D240" s="13">
        <v>105</v>
      </c>
      <c r="E240" s="13"/>
      <c r="F240" s="17" t="s">
        <v>353</v>
      </c>
      <c r="G240" s="16">
        <v>11.462999999999999</v>
      </c>
      <c r="H240" s="252">
        <v>10</v>
      </c>
      <c r="I240" s="16">
        <v>1</v>
      </c>
      <c r="J240" s="253">
        <f t="shared" si="56"/>
        <v>0.87237197941202138</v>
      </c>
      <c r="K240" s="52">
        <v>1</v>
      </c>
      <c r="L240" s="8">
        <f t="shared" si="57"/>
        <v>0.87237197941202138</v>
      </c>
      <c r="M240" s="42">
        <f t="shared" si="58"/>
        <v>174.47439588240428</v>
      </c>
      <c r="N240" s="43">
        <v>200</v>
      </c>
      <c r="O240" s="8">
        <f t="shared" si="59"/>
        <v>0.87237197941202138</v>
      </c>
    </row>
    <row r="241" spans="1:15" s="0" customFormat="1" ht="15" hidden="1">
      <c r="A241" s="650"/>
      <c r="B241" s="638"/>
      <c r="C241" s="13" t="s">
        <v>1651</v>
      </c>
      <c r="D241" s="13">
        <v>105</v>
      </c>
      <c r="E241" s="13"/>
      <c r="F241" s="17" t="s">
        <v>353</v>
      </c>
      <c r="G241" s="16">
        <v>11.462999999999999</v>
      </c>
      <c r="H241" s="252">
        <v>10</v>
      </c>
      <c r="I241" s="16">
        <v>1</v>
      </c>
      <c r="J241" s="253">
        <f t="shared" si="56"/>
        <v>0.87237197941202138</v>
      </c>
      <c r="K241" s="52">
        <v>1</v>
      </c>
      <c r="L241" s="8">
        <f t="shared" si="57"/>
        <v>0.87237197941202138</v>
      </c>
      <c r="M241" s="42">
        <f t="shared" si="58"/>
        <v>174.47439588240428</v>
      </c>
      <c r="N241" s="43">
        <v>200</v>
      </c>
      <c r="O241" s="8">
        <f t="shared" si="59"/>
        <v>0.87237197941202138</v>
      </c>
    </row>
    <row r="242" spans="2:8" s="514" customFormat="1" ht="15" hidden="1">
      <c r="B242" s="515"/>
      <c r="F242" s="516"/>
      <c r="H242" s="517"/>
    </row>
    <row r="243" spans="1:15" ht="15" hidden="1">
      <c r="A243" s="642" t="s">
        <v>188</v>
      </c>
      <c r="B243" s="685" t="s">
        <v>438</v>
      </c>
      <c r="C243" s="13" t="s">
        <v>983</v>
      </c>
      <c r="D243" s="13">
        <v>109</v>
      </c>
      <c r="E243" s="637" t="s">
        <v>44</v>
      </c>
      <c r="F243" s="13" t="s">
        <v>10</v>
      </c>
      <c r="G243" s="28">
        <v>40</v>
      </c>
      <c r="H243" s="440">
        <v>10</v>
      </c>
      <c r="I243" s="28">
        <v>1</v>
      </c>
      <c r="J243" s="453">
        <f t="shared" si="60" ref="J243:J250">H243/G243*I243</f>
        <v>0.25</v>
      </c>
      <c r="K243" s="436">
        <f>(1480)/1000</f>
        <v>1.48</v>
      </c>
      <c r="L243" s="267">
        <f t="shared" si="61" ref="L243:L250">J243*K243</f>
        <v>0.37</v>
      </c>
      <c r="M243" s="433">
        <f t="shared" si="62" ref="M243:M250">L243*N243</f>
        <v>74</v>
      </c>
      <c r="N243" s="434">
        <v>200</v>
      </c>
      <c r="O243" s="435">
        <f t="shared" si="63" ref="O243:O250">J243/I243*K243</f>
        <v>0.37</v>
      </c>
    </row>
    <row r="244" spans="1:15" ht="15" hidden="1">
      <c r="A244" s="643"/>
      <c r="B244" s="686"/>
      <c r="C244" s="13" t="s">
        <v>189</v>
      </c>
      <c r="D244" s="13">
        <v>109</v>
      </c>
      <c r="E244" s="637"/>
      <c r="F244" s="13" t="s">
        <v>10</v>
      </c>
      <c r="G244" s="28">
        <v>27</v>
      </c>
      <c r="H244" s="440">
        <v>10</v>
      </c>
      <c r="I244" s="28">
        <v>1</v>
      </c>
      <c r="J244" s="441">
        <f t="shared" si="60"/>
        <v>0.37037037037037035</v>
      </c>
      <c r="K244" s="436">
        <f>(1480*2)/1000+0.2</f>
        <v>3.16</v>
      </c>
      <c r="L244" s="435">
        <f t="shared" si="61"/>
        <v>1.1703703703703703</v>
      </c>
      <c r="M244" s="266">
        <f t="shared" si="62"/>
        <v>234.07407407407405</v>
      </c>
      <c r="N244" s="433">
        <v>200</v>
      </c>
      <c r="O244" s="435">
        <f t="shared" si="63"/>
        <v>1.1703703703703703</v>
      </c>
    </row>
    <row r="245" spans="1:15" ht="15" hidden="1">
      <c r="A245" s="643"/>
      <c r="B245" s="686"/>
      <c r="C245" s="13" t="s">
        <v>1120</v>
      </c>
      <c r="D245" s="13">
        <v>109</v>
      </c>
      <c r="E245" s="637" t="s">
        <v>44</v>
      </c>
      <c r="F245" s="13" t="s">
        <v>10</v>
      </c>
      <c r="G245" s="28">
        <v>40</v>
      </c>
      <c r="H245" s="440">
        <v>10</v>
      </c>
      <c r="I245" s="28">
        <v>1</v>
      </c>
      <c r="J245" s="453">
        <f t="shared" si="60"/>
        <v>0.25</v>
      </c>
      <c r="K245" s="436">
        <f>(730)/1000</f>
        <v>0.73</v>
      </c>
      <c r="L245" s="267">
        <f t="shared" si="61"/>
        <v>0.1825</v>
      </c>
      <c r="M245" s="433">
        <f t="shared" si="62"/>
        <v>36.50</v>
      </c>
      <c r="N245" s="434">
        <v>200</v>
      </c>
      <c r="O245" s="435">
        <f t="shared" si="63"/>
        <v>0.1825</v>
      </c>
    </row>
    <row r="246" spans="1:15" ht="15" hidden="1">
      <c r="A246" s="644"/>
      <c r="B246" s="676"/>
      <c r="C246" s="13" t="s">
        <v>1121</v>
      </c>
      <c r="D246" s="13">
        <v>109</v>
      </c>
      <c r="E246" s="637"/>
      <c r="F246" s="13" t="s">
        <v>10</v>
      </c>
      <c r="G246" s="28">
        <v>27</v>
      </c>
      <c r="H246" s="440">
        <v>10</v>
      </c>
      <c r="I246" s="28">
        <v>1</v>
      </c>
      <c r="J246" s="441">
        <f t="shared" si="60"/>
        <v>0.37037037037037035</v>
      </c>
      <c r="K246" s="436">
        <f>(730*2)/1000+0.2</f>
        <v>1.66</v>
      </c>
      <c r="L246" s="435">
        <f t="shared" si="61"/>
        <v>0.6148148148148147</v>
      </c>
      <c r="M246" s="266">
        <f t="shared" si="62"/>
        <v>122.96296296296293</v>
      </c>
      <c r="N246" s="433">
        <v>200</v>
      </c>
      <c r="O246" s="435">
        <f t="shared" si="63"/>
        <v>0.6148148148148147</v>
      </c>
    </row>
    <row r="247" spans="1:15" ht="15" hidden="1">
      <c r="A247" s="642" t="s">
        <v>188</v>
      </c>
      <c r="B247" s="685" t="s">
        <v>438</v>
      </c>
      <c r="C247" s="13" t="s">
        <v>1649</v>
      </c>
      <c r="D247" s="13">
        <v>109</v>
      </c>
      <c r="E247" s="637" t="s">
        <v>44</v>
      </c>
      <c r="F247" s="13" t="s">
        <v>10</v>
      </c>
      <c r="G247" s="28">
        <v>40</v>
      </c>
      <c r="H247" s="440">
        <v>10</v>
      </c>
      <c r="I247" s="28">
        <v>1</v>
      </c>
      <c r="J247" s="453">
        <f t="shared" si="60"/>
        <v>0.25</v>
      </c>
      <c r="K247" s="436">
        <f>(1356)/1000</f>
        <v>1.3560000000000001</v>
      </c>
      <c r="L247" s="267">
        <f t="shared" si="61"/>
        <v>0.33900000000000002</v>
      </c>
      <c r="M247" s="433">
        <f t="shared" si="62"/>
        <v>67.800000000000011</v>
      </c>
      <c r="N247" s="434">
        <v>200</v>
      </c>
      <c r="O247" s="435">
        <f t="shared" si="63"/>
        <v>0.33900000000000002</v>
      </c>
    </row>
    <row r="248" spans="1:15" ht="15" hidden="1">
      <c r="A248" s="643"/>
      <c r="B248" s="686"/>
      <c r="C248" s="13" t="s">
        <v>1650</v>
      </c>
      <c r="D248" s="13">
        <v>109</v>
      </c>
      <c r="E248" s="637"/>
      <c r="F248" s="13" t="s">
        <v>10</v>
      </c>
      <c r="G248" s="28">
        <v>27</v>
      </c>
      <c r="H248" s="440">
        <v>10</v>
      </c>
      <c r="I248" s="28">
        <v>1</v>
      </c>
      <c r="J248" s="441">
        <f t="shared" si="60"/>
        <v>0.37037037037037035</v>
      </c>
      <c r="K248" s="436">
        <f>(1356*2)/1000+0.2</f>
        <v>2.9120000000000004</v>
      </c>
      <c r="L248" s="435">
        <f t="shared" si="61"/>
        <v>1.0785185185185187</v>
      </c>
      <c r="M248" s="266">
        <f t="shared" si="62"/>
        <v>215.70370370370372</v>
      </c>
      <c r="N248" s="433">
        <v>200</v>
      </c>
      <c r="O248" s="435">
        <f t="shared" si="63"/>
        <v>1.0785185185185187</v>
      </c>
    </row>
    <row r="249" spans="1:15" ht="15" hidden="1">
      <c r="A249" s="643"/>
      <c r="B249" s="686"/>
      <c r="C249" s="13" t="s">
        <v>1643</v>
      </c>
      <c r="D249" s="13">
        <v>109</v>
      </c>
      <c r="E249" s="637" t="s">
        <v>44</v>
      </c>
      <c r="F249" s="13" t="s">
        <v>10</v>
      </c>
      <c r="G249" s="28">
        <v>40</v>
      </c>
      <c r="H249" s="440">
        <v>10</v>
      </c>
      <c r="I249" s="28">
        <v>1</v>
      </c>
      <c r="J249" s="453">
        <f t="shared" si="60"/>
        <v>0.25</v>
      </c>
      <c r="K249" s="436">
        <f>(854)/1000</f>
        <v>0.85399999999999998</v>
      </c>
      <c r="L249" s="267">
        <f t="shared" si="61"/>
        <v>0.2135</v>
      </c>
      <c r="M249" s="433">
        <f t="shared" si="62"/>
        <v>42.70</v>
      </c>
      <c r="N249" s="434">
        <v>200</v>
      </c>
      <c r="O249" s="435">
        <f t="shared" si="63"/>
        <v>0.2135</v>
      </c>
    </row>
    <row r="250" spans="1:15" ht="15" hidden="1">
      <c r="A250" s="644"/>
      <c r="B250" s="676"/>
      <c r="C250" s="13" t="s">
        <v>1652</v>
      </c>
      <c r="D250" s="13">
        <v>109</v>
      </c>
      <c r="E250" s="637"/>
      <c r="F250" s="13" t="s">
        <v>10</v>
      </c>
      <c r="G250" s="28">
        <v>27</v>
      </c>
      <c r="H250" s="440">
        <v>10</v>
      </c>
      <c r="I250" s="28">
        <v>1</v>
      </c>
      <c r="J250" s="441">
        <f t="shared" si="60"/>
        <v>0.37037037037037035</v>
      </c>
      <c r="K250" s="436">
        <f>(854*2)/1000+0.2</f>
        <v>1.9079999999999999</v>
      </c>
      <c r="L250" s="435">
        <f t="shared" si="61"/>
        <v>0.70666666666666655</v>
      </c>
      <c r="M250" s="266">
        <f t="shared" si="62"/>
        <v>141.33333333333331</v>
      </c>
      <c r="N250" s="433">
        <v>200</v>
      </c>
      <c r="O250" s="435">
        <f t="shared" si="63"/>
        <v>0.70666666666666655</v>
      </c>
    </row>
    <row r="251" spans="2:8" s="514" customFormat="1" ht="15" hidden="1">
      <c r="B251" s="515"/>
      <c r="F251" s="516"/>
      <c r="H251" s="517"/>
    </row>
    <row r="252" spans="1:15" ht="15" hidden="1">
      <c r="A252" s="642" t="s">
        <v>437</v>
      </c>
      <c r="B252" s="639" t="s">
        <v>439</v>
      </c>
      <c r="C252" s="13" t="s">
        <v>986</v>
      </c>
      <c r="D252" s="13">
        <v>107</v>
      </c>
      <c r="E252" s="637" t="s">
        <v>43</v>
      </c>
      <c r="F252" s="13" t="s">
        <v>10</v>
      </c>
      <c r="G252" s="28">
        <v>25</v>
      </c>
      <c r="H252" s="440">
        <v>10</v>
      </c>
      <c r="I252" s="28">
        <v>1</v>
      </c>
      <c r="J252" s="453">
        <f t="shared" si="64" ref="J252:J259">H252/G252*I252</f>
        <v>0.40</v>
      </c>
      <c r="K252" s="436">
        <f>(1480*2)/1000</f>
        <v>2.96</v>
      </c>
      <c r="L252" s="267">
        <f t="shared" si="65" ref="L252:L259">J252*K252</f>
        <v>1.1839999999999999</v>
      </c>
      <c r="M252" s="433">
        <f t="shared" si="66" ref="M252:M259">L252*N252</f>
        <v>208.38399999999999</v>
      </c>
      <c r="N252" s="434">
        <v>176</v>
      </c>
      <c r="O252" s="435">
        <f t="shared" si="67" ref="O252:O259">J252/I252*K252</f>
        <v>1.1839999999999999</v>
      </c>
    </row>
    <row r="253" spans="1:15" ht="15" hidden="1">
      <c r="A253" s="643"/>
      <c r="B253" s="640"/>
      <c r="C253" s="13" t="s">
        <v>987</v>
      </c>
      <c r="D253" s="13">
        <v>107</v>
      </c>
      <c r="E253" s="637"/>
      <c r="F253" s="13" t="s">
        <v>10</v>
      </c>
      <c r="G253" s="28">
        <v>28.50</v>
      </c>
      <c r="H253" s="440">
        <v>10</v>
      </c>
      <c r="I253" s="28">
        <v>1</v>
      </c>
      <c r="J253" s="453">
        <f t="shared" si="64"/>
        <v>0.35087719298245612</v>
      </c>
      <c r="K253" s="436">
        <f>1480*2/1000+0.2</f>
        <v>3.16</v>
      </c>
      <c r="L253" s="267">
        <f t="shared" si="65"/>
        <v>1.1087719298245613</v>
      </c>
      <c r="M253" s="433">
        <f t="shared" si="66"/>
        <v>221.75438596491227</v>
      </c>
      <c r="N253" s="434">
        <v>200</v>
      </c>
      <c r="O253" s="435">
        <f t="shared" si="67"/>
        <v>1.1087719298245613</v>
      </c>
    </row>
    <row r="254" spans="1:15" ht="15" hidden="1">
      <c r="A254" s="643"/>
      <c r="B254" s="640"/>
      <c r="C254" s="13" t="s">
        <v>1122</v>
      </c>
      <c r="D254" s="13">
        <v>107</v>
      </c>
      <c r="E254" s="637" t="s">
        <v>43</v>
      </c>
      <c r="F254" s="13" t="s">
        <v>10</v>
      </c>
      <c r="G254" s="28">
        <v>25</v>
      </c>
      <c r="H254" s="440">
        <v>10</v>
      </c>
      <c r="I254" s="28">
        <v>1</v>
      </c>
      <c r="J254" s="453">
        <f t="shared" si="64"/>
        <v>0.40</v>
      </c>
      <c r="K254" s="436">
        <f>(730*2)/1000</f>
        <v>1.46</v>
      </c>
      <c r="L254" s="267">
        <f t="shared" si="65"/>
        <v>0.58399999999999996</v>
      </c>
      <c r="M254" s="433">
        <f t="shared" si="66"/>
        <v>102.78399999999999</v>
      </c>
      <c r="N254" s="434">
        <v>176</v>
      </c>
      <c r="O254" s="435">
        <f t="shared" si="67"/>
        <v>0.58399999999999996</v>
      </c>
    </row>
    <row r="255" spans="1:15" ht="15" hidden="1">
      <c r="A255" s="644"/>
      <c r="B255" s="641"/>
      <c r="C255" s="13" t="s">
        <v>1123</v>
      </c>
      <c r="D255" s="13">
        <v>107</v>
      </c>
      <c r="E255" s="637"/>
      <c r="F255" s="13" t="s">
        <v>10</v>
      </c>
      <c r="G255" s="28">
        <v>28.50</v>
      </c>
      <c r="H255" s="440">
        <v>10</v>
      </c>
      <c r="I255" s="28">
        <v>1</v>
      </c>
      <c r="J255" s="453">
        <f t="shared" si="64"/>
        <v>0.35087719298245612</v>
      </c>
      <c r="K255" s="436">
        <f>730*2/1000+0.2</f>
        <v>1.66</v>
      </c>
      <c r="L255" s="267">
        <f t="shared" si="65"/>
        <v>0.58245614035087712</v>
      </c>
      <c r="M255" s="433">
        <f t="shared" si="66"/>
        <v>116.49122807017542</v>
      </c>
      <c r="N255" s="434">
        <v>200</v>
      </c>
      <c r="O255" s="435">
        <f t="shared" si="67"/>
        <v>0.58245614035087712</v>
      </c>
    </row>
    <row r="256" spans="1:15" ht="15" hidden="1">
      <c r="A256" s="642" t="s">
        <v>437</v>
      </c>
      <c r="B256" s="639" t="s">
        <v>439</v>
      </c>
      <c r="C256" s="13" t="s">
        <v>1653</v>
      </c>
      <c r="D256" s="13">
        <v>107</v>
      </c>
      <c r="E256" s="637" t="s">
        <v>43</v>
      </c>
      <c r="F256" s="13" t="s">
        <v>10</v>
      </c>
      <c r="G256" s="28">
        <v>25</v>
      </c>
      <c r="H256" s="440">
        <v>10</v>
      </c>
      <c r="I256" s="28">
        <v>1</v>
      </c>
      <c r="J256" s="453">
        <f t="shared" si="64"/>
        <v>0.40</v>
      </c>
      <c r="K256" s="436">
        <f>(1356*2)/1000</f>
        <v>2.7120000000000002</v>
      </c>
      <c r="L256" s="267">
        <f t="shared" si="65"/>
        <v>1.0848000000000002</v>
      </c>
      <c r="M256" s="433">
        <f t="shared" si="66"/>
        <v>190.92480000000003</v>
      </c>
      <c r="N256" s="434">
        <v>176</v>
      </c>
      <c r="O256" s="435">
        <f t="shared" si="67"/>
        <v>1.0848000000000002</v>
      </c>
    </row>
    <row r="257" spans="1:15" ht="15" hidden="1">
      <c r="A257" s="643"/>
      <c r="B257" s="640"/>
      <c r="C257" s="13" t="s">
        <v>1654</v>
      </c>
      <c r="D257" s="13">
        <v>107</v>
      </c>
      <c r="E257" s="637"/>
      <c r="F257" s="13" t="s">
        <v>10</v>
      </c>
      <c r="G257" s="28">
        <v>28.50</v>
      </c>
      <c r="H257" s="440">
        <v>10</v>
      </c>
      <c r="I257" s="28">
        <v>1</v>
      </c>
      <c r="J257" s="453">
        <f t="shared" si="64"/>
        <v>0.35087719298245612</v>
      </c>
      <c r="K257" s="436">
        <f>1356*2/1000+0.2</f>
        <v>2.9120000000000004</v>
      </c>
      <c r="L257" s="267">
        <f t="shared" si="65"/>
        <v>1.0217543859649123</v>
      </c>
      <c r="M257" s="433">
        <f t="shared" si="66"/>
        <v>204.35087719298247</v>
      </c>
      <c r="N257" s="434">
        <v>200</v>
      </c>
      <c r="O257" s="435">
        <f t="shared" si="67"/>
        <v>1.0217543859649123</v>
      </c>
    </row>
    <row r="258" spans="1:15" ht="15" hidden="1">
      <c r="A258" s="643"/>
      <c r="B258" s="640"/>
      <c r="C258" s="13" t="s">
        <v>1655</v>
      </c>
      <c r="D258" s="13">
        <v>107</v>
      </c>
      <c r="E258" s="637" t="s">
        <v>43</v>
      </c>
      <c r="F258" s="13" t="s">
        <v>10</v>
      </c>
      <c r="G258" s="28">
        <v>25</v>
      </c>
      <c r="H258" s="440">
        <v>10</v>
      </c>
      <c r="I258" s="28">
        <v>1</v>
      </c>
      <c r="J258" s="453">
        <f t="shared" si="64"/>
        <v>0.40</v>
      </c>
      <c r="K258" s="436">
        <f>(854*2)/1000</f>
        <v>1.708</v>
      </c>
      <c r="L258" s="267">
        <f t="shared" si="65"/>
        <v>0.68320000000000003</v>
      </c>
      <c r="M258" s="433">
        <f t="shared" si="66"/>
        <v>120.2432</v>
      </c>
      <c r="N258" s="434">
        <v>176</v>
      </c>
      <c r="O258" s="435">
        <f t="shared" si="67"/>
        <v>0.68320000000000003</v>
      </c>
    </row>
    <row r="259" spans="1:15" ht="15" hidden="1">
      <c r="A259" s="644"/>
      <c r="B259" s="641"/>
      <c r="C259" s="13" t="s">
        <v>1656</v>
      </c>
      <c r="D259" s="13">
        <v>107</v>
      </c>
      <c r="E259" s="637"/>
      <c r="F259" s="13" t="s">
        <v>10</v>
      </c>
      <c r="G259" s="28">
        <v>28.50</v>
      </c>
      <c r="H259" s="440">
        <v>10</v>
      </c>
      <c r="I259" s="28">
        <v>1</v>
      </c>
      <c r="J259" s="453">
        <f t="shared" si="64"/>
        <v>0.35087719298245612</v>
      </c>
      <c r="K259" s="436">
        <f>854*2/1000+0.2</f>
        <v>1.9079999999999999</v>
      </c>
      <c r="L259" s="267">
        <f t="shared" si="65"/>
        <v>0.66947368421052622</v>
      </c>
      <c r="M259" s="433">
        <f t="shared" si="66"/>
        <v>133.89473684210523</v>
      </c>
      <c r="N259" s="434">
        <v>200</v>
      </c>
      <c r="O259" s="435">
        <f t="shared" si="67"/>
        <v>0.66947368421052622</v>
      </c>
    </row>
    <row r="260" ht="15.75" thickBot="1"/>
    <row r="261" spans="1:7" ht="15">
      <c r="A261" s="500" t="s">
        <v>328</v>
      </c>
      <c r="B261" s="631" t="s">
        <v>1593</v>
      </c>
      <c r="C261" s="632"/>
      <c r="D261" s="633"/>
      <c r="E261" s="501" t="s">
        <v>332</v>
      </c>
      <c r="F261" s="502" t="s">
        <v>333</v>
      </c>
      <c r="G261" s="68"/>
    </row>
    <row r="262" spans="1:7" ht="15.75" thickBot="1">
      <c r="A262" s="504">
        <v>5</v>
      </c>
      <c r="B262" s="634" t="s">
        <v>1605</v>
      </c>
      <c r="C262" s="635"/>
      <c r="D262" s="636"/>
      <c r="E262" s="505" t="s">
        <v>1682</v>
      </c>
      <c r="F262" s="506">
        <v>44987</v>
      </c>
      <c r="G262" s="68"/>
    </row>
    <row r="263" spans="1:15" ht="30">
      <c r="A263" s="529" t="s">
        <v>1662</v>
      </c>
      <c r="B263" s="522" t="s">
        <v>1661</v>
      </c>
      <c r="C263" s="523" t="s">
        <v>9</v>
      </c>
      <c r="D263" s="523">
        <v>109</v>
      </c>
      <c r="E263" s="523"/>
      <c r="F263" s="524" t="s">
        <v>10</v>
      </c>
      <c r="G263" s="525">
        <v>33</v>
      </c>
      <c r="H263" s="526">
        <v>10</v>
      </c>
      <c r="I263" s="527">
        <v>1</v>
      </c>
      <c r="J263" s="528">
        <f t="shared" si="68" ref="J263:J267">H263/G263*I263</f>
        <v>0.30303030303030304</v>
      </c>
      <c r="K263" s="525">
        <f>(350*2)/1000</f>
        <v>0.70</v>
      </c>
      <c r="L263" s="267">
        <f t="shared" si="69" ref="L263:L267">J263*K263</f>
        <v>0.21212121212121213</v>
      </c>
      <c r="M263" s="266">
        <f t="shared" si="70" ref="M263:M267">L263*N263</f>
        <v>32.242424242424242</v>
      </c>
      <c r="N263" s="433">
        <v>152</v>
      </c>
      <c r="O263" s="267">
        <f t="shared" si="71" ref="O263:O267">J263/I263*K263</f>
        <v>0.21212121212121213</v>
      </c>
    </row>
    <row r="264" spans="1:15" ht="30">
      <c r="A264" s="523" t="s">
        <v>1668</v>
      </c>
      <c r="B264" s="522" t="s">
        <v>1670</v>
      </c>
      <c r="C264" s="523" t="s">
        <v>33</v>
      </c>
      <c r="D264" s="523">
        <v>116</v>
      </c>
      <c r="E264" s="523"/>
      <c r="F264" s="523" t="s">
        <v>1666</v>
      </c>
      <c r="G264" s="527">
        <v>11.36</v>
      </c>
      <c r="H264" s="530">
        <v>10</v>
      </c>
      <c r="I264" s="527">
        <v>2</v>
      </c>
      <c r="J264" s="531">
        <f t="shared" si="68"/>
        <v>1.7605633802816902</v>
      </c>
      <c r="K264" s="527">
        <v>1</v>
      </c>
      <c r="L264" s="267">
        <f t="shared" si="69"/>
        <v>1.7605633802816902</v>
      </c>
      <c r="M264" s="433">
        <f t="shared" si="70"/>
        <v>352.11267605633805</v>
      </c>
      <c r="N264" s="434">
        <v>200</v>
      </c>
      <c r="O264" s="435">
        <f t="shared" si="71"/>
        <v>0.88028169014084512</v>
      </c>
    </row>
    <row r="265" spans="1:15" ht="30">
      <c r="A265" s="523" t="s">
        <v>1669</v>
      </c>
      <c r="B265" s="522" t="s">
        <v>1671</v>
      </c>
      <c r="C265" s="523" t="s">
        <v>33</v>
      </c>
      <c r="D265" s="523">
        <v>116</v>
      </c>
      <c r="E265" s="523"/>
      <c r="F265" s="523" t="s">
        <v>10</v>
      </c>
      <c r="G265" s="527">
        <v>40</v>
      </c>
      <c r="H265" s="530">
        <v>10</v>
      </c>
      <c r="I265" s="527">
        <v>1</v>
      </c>
      <c r="J265" s="531">
        <f t="shared" si="68"/>
        <v>0.25</v>
      </c>
      <c r="K265" s="525">
        <f>3911/1000</f>
        <v>3.911</v>
      </c>
      <c r="L265" s="267">
        <f t="shared" si="69"/>
        <v>0.97775000000000001</v>
      </c>
      <c r="M265" s="433">
        <f t="shared" si="70"/>
        <v>195.55</v>
      </c>
      <c r="N265" s="434">
        <v>200</v>
      </c>
      <c r="O265" s="435">
        <f t="shared" si="71"/>
        <v>0.97775000000000001</v>
      </c>
    </row>
    <row r="266" spans="1:15" ht="30">
      <c r="A266" s="523" t="s">
        <v>1663</v>
      </c>
      <c r="B266" s="522" t="s">
        <v>1665</v>
      </c>
      <c r="C266" s="523" t="s">
        <v>33</v>
      </c>
      <c r="D266" s="523">
        <v>116</v>
      </c>
      <c r="E266" s="523"/>
      <c r="F266" s="523" t="s">
        <v>1666</v>
      </c>
      <c r="G266" s="527">
        <v>11.11</v>
      </c>
      <c r="H266" s="530">
        <v>10</v>
      </c>
      <c r="I266" s="527">
        <v>2</v>
      </c>
      <c r="J266" s="531">
        <f t="shared" si="68"/>
        <v>1.8001800180018002</v>
      </c>
      <c r="K266" s="527">
        <v>1</v>
      </c>
      <c r="L266" s="267">
        <f t="shared" si="69"/>
        <v>1.8001800180018002</v>
      </c>
      <c r="M266" s="433">
        <f t="shared" si="70"/>
        <v>360.03600360036</v>
      </c>
      <c r="N266" s="434">
        <v>200</v>
      </c>
      <c r="O266" s="435">
        <f t="shared" si="71"/>
        <v>0.90009000900090008</v>
      </c>
    </row>
    <row r="267" spans="1:15" ht="30">
      <c r="A267" s="523" t="s">
        <v>1664</v>
      </c>
      <c r="B267" s="522" t="s">
        <v>1667</v>
      </c>
      <c r="C267" s="523" t="s">
        <v>33</v>
      </c>
      <c r="D267" s="523">
        <v>116</v>
      </c>
      <c r="E267" s="523"/>
      <c r="F267" s="523" t="s">
        <v>10</v>
      </c>
      <c r="G267" s="527">
        <v>40</v>
      </c>
      <c r="H267" s="530">
        <v>10</v>
      </c>
      <c r="I267" s="527">
        <v>1</v>
      </c>
      <c r="J267" s="531">
        <f t="shared" si="68"/>
        <v>0.25</v>
      </c>
      <c r="K267" s="525">
        <f>3867/1000</f>
        <v>3.867</v>
      </c>
      <c r="L267" s="267">
        <f t="shared" si="69"/>
        <v>0.96675</v>
      </c>
      <c r="M267" s="433">
        <f t="shared" si="70"/>
        <v>193.35</v>
      </c>
      <c r="N267" s="434">
        <v>200</v>
      </c>
      <c r="O267" s="435">
        <f t="shared" si="71"/>
        <v>0.96675</v>
      </c>
    </row>
    <row r="268" ht="15.75" thickBot="1"/>
    <row r="269" spans="1:6" ht="15">
      <c r="A269" s="500" t="s">
        <v>328</v>
      </c>
      <c r="B269" s="631" t="s">
        <v>1593</v>
      </c>
      <c r="C269" s="632"/>
      <c r="D269" s="633"/>
      <c r="E269" s="501" t="s">
        <v>332</v>
      </c>
      <c r="F269" s="502" t="s">
        <v>333</v>
      </c>
    </row>
    <row r="270" spans="1:6" ht="15.75" thickBot="1">
      <c r="A270" s="504">
        <v>6</v>
      </c>
      <c r="B270" s="634" t="s">
        <v>1605</v>
      </c>
      <c r="C270" s="635"/>
      <c r="D270" s="636"/>
      <c r="E270" s="505" t="s">
        <v>1682</v>
      </c>
      <c r="F270" s="506">
        <v>45055</v>
      </c>
    </row>
    <row r="271" spans="1:15" ht="15">
      <c r="A271" s="523" t="s">
        <v>1695</v>
      </c>
      <c r="B271" s="522" t="s">
        <v>1696</v>
      </c>
      <c r="C271" s="523" t="s">
        <v>33</v>
      </c>
      <c r="D271" s="523">
        <v>226</v>
      </c>
      <c r="E271" s="523"/>
      <c r="F271" s="523" t="s">
        <v>12</v>
      </c>
      <c r="G271" s="527">
        <v>20</v>
      </c>
      <c r="H271" s="530">
        <v>10</v>
      </c>
      <c r="I271" s="527">
        <v>1</v>
      </c>
      <c r="J271" s="531">
        <f t="shared" si="72" ref="J271">H271/G271*I271</f>
        <v>0.50</v>
      </c>
      <c r="K271" s="527">
        <v>1</v>
      </c>
      <c r="L271" s="267">
        <f t="shared" si="73" ref="L271">J271*K271</f>
        <v>0.50</v>
      </c>
      <c r="M271" s="433">
        <f t="shared" si="74" ref="M271">L271*N271</f>
        <v>100</v>
      </c>
      <c r="N271" s="434">
        <v>200</v>
      </c>
      <c r="O271" s="435">
        <f t="shared" si="75" ref="O271">J271/I271*K271</f>
        <v>0.50</v>
      </c>
    </row>
    <row r="272" ht="15.75" thickBot="1"/>
    <row r="273" spans="1:6" ht="15">
      <c r="A273" s="500" t="s">
        <v>328</v>
      </c>
      <c r="B273" s="631" t="s">
        <v>1593</v>
      </c>
      <c r="C273" s="632"/>
      <c r="D273" s="633"/>
      <c r="E273" s="501" t="s">
        <v>332</v>
      </c>
      <c r="F273" s="502" t="s">
        <v>333</v>
      </c>
    </row>
    <row r="274" spans="1:6" ht="15.75" thickBot="1">
      <c r="A274" s="504">
        <v>7</v>
      </c>
      <c r="B274" s="634" t="s">
        <v>1657</v>
      </c>
      <c r="C274" s="635"/>
      <c r="D274" s="636"/>
      <c r="E274" s="505" t="s">
        <v>1697</v>
      </c>
      <c r="F274" s="506">
        <v>45142</v>
      </c>
    </row>
    <row r="275" spans="1:16" ht="15">
      <c r="A275" s="13" t="s">
        <v>292</v>
      </c>
      <c r="B275" s="27" t="s">
        <v>21</v>
      </c>
      <c r="C275" s="13" t="s">
        <v>33</v>
      </c>
      <c r="D275" s="13">
        <v>219</v>
      </c>
      <c r="E275" s="13"/>
      <c r="F275" s="13" t="s">
        <v>12</v>
      </c>
      <c r="G275" s="436">
        <v>2.0089999999999999</v>
      </c>
      <c r="H275" s="440">
        <v>10</v>
      </c>
      <c r="I275" s="28">
        <v>2</v>
      </c>
      <c r="J275" s="441">
        <f t="shared" si="76" ref="J275:J276">H275/G275*I275</f>
        <v>9.955201592832255</v>
      </c>
      <c r="K275" s="28">
        <v>1</v>
      </c>
      <c r="L275" s="267">
        <f t="shared" si="77" ref="L275:L276">J275*K275</f>
        <v>9.955201592832255</v>
      </c>
      <c r="M275" s="433">
        <f t="shared" si="78" ref="M275:M276">L275*N275</f>
        <v>1652.5634644101544</v>
      </c>
      <c r="N275" s="434">
        <v>166</v>
      </c>
      <c r="O275" s="435">
        <f t="shared" si="79" ref="O275:O276">J275/I275*K275</f>
        <v>4.9776007964161275</v>
      </c>
      <c r="P275" s="22"/>
    </row>
    <row r="276" spans="1:16" ht="15">
      <c r="A276" s="13" t="s">
        <v>292</v>
      </c>
      <c r="B276" s="27" t="s">
        <v>21</v>
      </c>
      <c r="C276" s="13" t="s">
        <v>33</v>
      </c>
      <c r="D276" s="13">
        <v>219</v>
      </c>
      <c r="E276" s="13"/>
      <c r="F276" s="13" t="s">
        <v>12</v>
      </c>
      <c r="G276" s="569">
        <f t="shared" si="80" ref="G276">2.009*2</f>
        <v>4.0179999999999998</v>
      </c>
      <c r="H276" s="440">
        <v>10</v>
      </c>
      <c r="I276" s="28">
        <v>2</v>
      </c>
      <c r="J276" s="441">
        <f t="shared" si="76"/>
        <v>4.9776007964161275</v>
      </c>
      <c r="K276" s="28">
        <v>1</v>
      </c>
      <c r="L276" s="267">
        <f t="shared" si="77"/>
        <v>4.9776007964161275</v>
      </c>
      <c r="M276" s="433">
        <f t="shared" si="78"/>
        <v>826.28173220507722</v>
      </c>
      <c r="N276" s="434">
        <v>166</v>
      </c>
      <c r="O276" s="435">
        <f t="shared" si="79"/>
        <v>2.4888003982080638</v>
      </c>
      <c r="P276" s="22"/>
    </row>
  </sheetData>
  <autoFilter ref="A4:P186"/>
  <mergeCells count="98">
    <mergeCell ref="A24:A26"/>
    <mergeCell ref="B24:B26"/>
    <mergeCell ref="E24:E26"/>
    <mergeCell ref="A33:A34"/>
    <mergeCell ref="B33:B34"/>
    <mergeCell ref="E33:E34"/>
    <mergeCell ref="B5:K5"/>
    <mergeCell ref="B17:K17"/>
    <mergeCell ref="A18:A20"/>
    <mergeCell ref="B18:B20"/>
    <mergeCell ref="A22:A23"/>
    <mergeCell ref="B22:B23"/>
    <mergeCell ref="E22:E23"/>
    <mergeCell ref="A35:A37"/>
    <mergeCell ref="B35:B37"/>
    <mergeCell ref="E35:E37"/>
    <mergeCell ref="A38:A41"/>
    <mergeCell ref="B38:B41"/>
    <mergeCell ref="A44:A45"/>
    <mergeCell ref="B44:B45"/>
    <mergeCell ref="E44:E45"/>
    <mergeCell ref="A46:A48"/>
    <mergeCell ref="B46:B48"/>
    <mergeCell ref="E46:E48"/>
    <mergeCell ref="A50:A53"/>
    <mergeCell ref="B50:B53"/>
    <mergeCell ref="A66:A67"/>
    <mergeCell ref="B66:B67"/>
    <mergeCell ref="A69:A72"/>
    <mergeCell ref="B69:B72"/>
    <mergeCell ref="B62:K62"/>
    <mergeCell ref="E69:E70"/>
    <mergeCell ref="E71:E72"/>
    <mergeCell ref="A63:A65"/>
    <mergeCell ref="B63:B65"/>
    <mergeCell ref="B100:K100"/>
    <mergeCell ref="A73:A76"/>
    <mergeCell ref="B73:B76"/>
    <mergeCell ref="E73:E74"/>
    <mergeCell ref="E75:E76"/>
    <mergeCell ref="A77:A80"/>
    <mergeCell ref="B77:B80"/>
    <mergeCell ref="E78:E80"/>
    <mergeCell ref="A83:A84"/>
    <mergeCell ref="B83:B84"/>
    <mergeCell ref="B87:K87"/>
    <mergeCell ref="A88:A90"/>
    <mergeCell ref="B88:B90"/>
    <mergeCell ref="B225:D225"/>
    <mergeCell ref="B226:D226"/>
    <mergeCell ref="A224:F224"/>
    <mergeCell ref="B107:K107"/>
    <mergeCell ref="B111:K111"/>
    <mergeCell ref="A119:A120"/>
    <mergeCell ref="B119:B120"/>
    <mergeCell ref="A132:A133"/>
    <mergeCell ref="B132:B133"/>
    <mergeCell ref="B161:K161"/>
    <mergeCell ref="A134:A136"/>
    <mergeCell ref="B134:B136"/>
    <mergeCell ref="A137:A138"/>
    <mergeCell ref="B137:B138"/>
    <mergeCell ref="A158:A159"/>
    <mergeCell ref="B158:B159"/>
    <mergeCell ref="B231:D231"/>
    <mergeCell ref="B232:D232"/>
    <mergeCell ref="A233:A235"/>
    <mergeCell ref="B233:B235"/>
    <mergeCell ref="B228:D228"/>
    <mergeCell ref="B229:D229"/>
    <mergeCell ref="B236:D236"/>
    <mergeCell ref="B237:D237"/>
    <mergeCell ref="A238:A239"/>
    <mergeCell ref="B238:B239"/>
    <mergeCell ref="A240:A241"/>
    <mergeCell ref="B240:B241"/>
    <mergeCell ref="A243:A246"/>
    <mergeCell ref="B243:B246"/>
    <mergeCell ref="E243:E244"/>
    <mergeCell ref="E245:E246"/>
    <mergeCell ref="A247:A250"/>
    <mergeCell ref="B247:B250"/>
    <mergeCell ref="E247:E248"/>
    <mergeCell ref="E249:E250"/>
    <mergeCell ref="A252:A255"/>
    <mergeCell ref="B252:B255"/>
    <mergeCell ref="E252:E253"/>
    <mergeCell ref="E254:E255"/>
    <mergeCell ref="A256:A259"/>
    <mergeCell ref="B256:B259"/>
    <mergeCell ref="E256:E257"/>
    <mergeCell ref="E258:E259"/>
    <mergeCell ref="B273:D273"/>
    <mergeCell ref="B274:D274"/>
    <mergeCell ref="B269:D269"/>
    <mergeCell ref="B270:D270"/>
    <mergeCell ref="B261:D261"/>
    <mergeCell ref="B262:D262"/>
  </mergeCells>
  <pageMargins left="0.7" right="0.7" top="0.75" bottom="0.75" header="0.3" footer="0.3"/>
  <pageSetup orientation="portrait" paperSize="9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255"/>
  <sheetViews>
    <sheetView zoomScale="85" zoomScaleNormal="85" workbookViewId="0" topLeftCell="A1">
      <pane ySplit="4" topLeftCell="A247" activePane="bottomLeft" state="frozen"/>
      <selection pane="topLeft" activeCell="A1" sqref="A1"/>
      <selection pane="bottomLeft" activeCell="A252" sqref="A252:XFD253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3.857142857142858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44502</v>
      </c>
    </row>
    <row r="2" spans="2:9" ht="31.5">
      <c r="B2" s="492" t="s">
        <v>1013</v>
      </c>
      <c r="F2" s="429" t="s">
        <v>22</v>
      </c>
      <c r="G2" s="268">
        <f>3024/1000</f>
        <v>3.024</v>
      </c>
      <c r="H2" s="427" t="s">
        <v>23</v>
      </c>
      <c r="I2" s="268" t="s">
        <v>23</v>
      </c>
    </row>
    <row r="3" spans="2:5" ht="15.75">
      <c r="B3" s="493" t="s">
        <v>1014</v>
      </c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SUM(M6:M16)</f>
        <v>872.31466666666677</v>
      </c>
      <c r="N5" s="263"/>
      <c r="O5" s="264">
        <f>SUM(O6:O16)</f>
        <v>4.9563333333333333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6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37</v>
      </c>
      <c r="L6" s="465">
        <f t="shared" si="1" ref="L6:L16">J6*K6</f>
        <v>0.72150000000000003</v>
      </c>
      <c r="M6" s="466">
        <f t="shared" si="2" ref="M6:M16">L6*N6</f>
        <v>126.98400000000001</v>
      </c>
      <c r="N6" s="466">
        <v>176</v>
      </c>
      <c r="O6" s="456">
        <f t="shared" si="3" ref="O6:O16">J6/I6*K6</f>
        <v>0.72150000000000003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4</v>
      </c>
      <c r="L9" s="465">
        <f t="shared" si="1"/>
        <v>0.068666666666666668</v>
      </c>
      <c r="M9" s="466">
        <f t="shared" si="2"/>
        <v>12.085333333333333</v>
      </c>
      <c r="N9" s="466">
        <v>176</v>
      </c>
      <c r="O9" s="456">
        <f t="shared" si="3"/>
        <v>0.068666666666666668</v>
      </c>
    </row>
    <row r="10" spans="1:15" s="457" customFormat="1" ht="15">
      <c r="A10" s="459" t="s">
        <v>839</v>
      </c>
      <c r="B10" s="494" t="s">
        <v>957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88.888888888888886</v>
      </c>
      <c r="H10" s="462">
        <v>10</v>
      </c>
      <c r="I10" s="463">
        <v>1</v>
      </c>
      <c r="J10" s="464">
        <f>6.75/60</f>
        <v>0.1125</v>
      </c>
      <c r="K10" s="461">
        <v>2</v>
      </c>
      <c r="L10" s="465">
        <f t="shared" si="1"/>
        <v>0.225</v>
      </c>
      <c r="M10" s="466">
        <f t="shared" si="2"/>
        <v>39.60</v>
      </c>
      <c r="N10" s="466">
        <v>176</v>
      </c>
      <c r="O10" s="456">
        <f t="shared" si="3"/>
        <v>0.225</v>
      </c>
    </row>
    <row r="11" spans="1:15" s="457" customFormat="1" ht="15">
      <c r="A11" s="459" t="s">
        <v>840</v>
      </c>
      <c r="B11" s="494" t="s">
        <v>857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322.58064516129036</v>
      </c>
      <c r="H11" s="462">
        <v>10</v>
      </c>
      <c r="I11" s="463">
        <v>1</v>
      </c>
      <c r="J11" s="464">
        <f>1.86/60</f>
        <v>0.030999999999999996</v>
      </c>
      <c r="K11" s="461">
        <v>1</v>
      </c>
      <c r="L11" s="465">
        <f t="shared" si="1"/>
        <v>0.030999999999999996</v>
      </c>
      <c r="M11" s="466">
        <f t="shared" si="2"/>
        <v>5.4559999999999995</v>
      </c>
      <c r="N11" s="466">
        <v>176</v>
      </c>
      <c r="O11" s="456">
        <f t="shared" si="3"/>
        <v>0.030999999999999996</v>
      </c>
    </row>
    <row r="12" spans="1:15" s="457" customFormat="1" ht="15">
      <c r="A12" s="459" t="s">
        <v>841</v>
      </c>
      <c r="B12" s="494" t="s">
        <v>959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287.08133971291863</v>
      </c>
      <c r="H12" s="462">
        <v>10</v>
      </c>
      <c r="I12" s="463">
        <v>1</v>
      </c>
      <c r="J12" s="464">
        <f>2.09/60</f>
        <v>0.034833333333333334</v>
      </c>
      <c r="K12" s="461">
        <v>6</v>
      </c>
      <c r="L12" s="465">
        <f t="shared" si="1"/>
        <v>0.20900000000000002</v>
      </c>
      <c r="M12" s="466">
        <f t="shared" si="2"/>
        <v>36.784000000000006</v>
      </c>
      <c r="N12" s="466">
        <v>176</v>
      </c>
      <c r="O12" s="456">
        <f t="shared" si="3"/>
        <v>0.20900000000000002</v>
      </c>
    </row>
    <row r="13" spans="1:15" s="457" customFormat="1" ht="15">
      <c r="A13" s="459" t="s">
        <v>842</v>
      </c>
      <c r="B13" s="494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0.038833333333333338</v>
      </c>
      <c r="K13" s="461">
        <v>83</v>
      </c>
      <c r="L13" s="465">
        <f t="shared" si="1"/>
        <v>3.2231666666666672</v>
      </c>
      <c r="M13" s="466">
        <f t="shared" si="2"/>
        <v>567.27733333333344</v>
      </c>
      <c r="N13" s="466">
        <v>176</v>
      </c>
      <c r="O13" s="456">
        <f t="shared" si="3"/>
        <v>3.2231666666666672</v>
      </c>
    </row>
    <row r="14" spans="1:15" s="457" customFormat="1" ht="15">
      <c r="A14" s="459" t="s">
        <v>843</v>
      </c>
      <c r="B14" s="494" t="s">
        <v>854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631.57894736842115</v>
      </c>
      <c r="H14" s="462">
        <v>10</v>
      </c>
      <c r="I14" s="463">
        <v>1</v>
      </c>
      <c r="J14" s="464">
        <f>0.95/60</f>
        <v>0.015833333333333331</v>
      </c>
      <c r="K14" s="461">
        <v>2</v>
      </c>
      <c r="L14" s="465">
        <f t="shared" si="1"/>
        <v>0.031666666666666662</v>
      </c>
      <c r="M14" s="466">
        <f t="shared" si="2"/>
        <v>5.5733333333333324</v>
      </c>
      <c r="N14" s="466">
        <v>176</v>
      </c>
      <c r="O14" s="456">
        <f t="shared" si="3"/>
        <v>0.031666666666666662</v>
      </c>
    </row>
    <row r="15" spans="1:15" s="457" customFormat="1" ht="15">
      <c r="A15" s="459" t="s">
        <v>844</v>
      </c>
      <c r="B15" s="494" t="s">
        <v>855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454.5454545454545</v>
      </c>
      <c r="H15" s="462">
        <v>10</v>
      </c>
      <c r="I15" s="463">
        <v>1</v>
      </c>
      <c r="J15" s="464">
        <f>1.32/60</f>
        <v>0.022000000000000002</v>
      </c>
      <c r="K15" s="461">
        <v>6</v>
      </c>
      <c r="L15" s="465">
        <f t="shared" si="1"/>
        <v>0.13200000000000001</v>
      </c>
      <c r="M15" s="466">
        <f t="shared" si="2"/>
        <v>23.231999999999999</v>
      </c>
      <c r="N15" s="466">
        <v>176</v>
      </c>
      <c r="O15" s="456">
        <f t="shared" si="3"/>
        <v>0.13200000000000001</v>
      </c>
    </row>
    <row r="16" spans="1:15" s="457" customFormat="1" ht="15">
      <c r="A16" s="459" t="s">
        <v>845</v>
      </c>
      <c r="B16" s="494" t="s">
        <v>960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179.1044776119403</v>
      </c>
      <c r="H16" s="462">
        <v>10</v>
      </c>
      <c r="I16" s="463">
        <v>1</v>
      </c>
      <c r="J16" s="464">
        <f>3.35/60</f>
        <v>0.055833333333333332</v>
      </c>
      <c r="K16" s="461">
        <v>2</v>
      </c>
      <c r="L16" s="465">
        <f t="shared" si="1"/>
        <v>0.11166666666666666</v>
      </c>
      <c r="M16" s="466">
        <f t="shared" si="2"/>
        <v>19.653333333333332</v>
      </c>
      <c r="N16" s="466">
        <v>176</v>
      </c>
      <c r="O16" s="456">
        <f t="shared" si="3"/>
        <v>0.11166666666666666</v>
      </c>
    </row>
    <row r="17" spans="1:15" ht="15">
      <c r="A17" s="39"/>
      <c r="B17" s="690" t="s">
        <v>130</v>
      </c>
      <c r="C17" s="691"/>
      <c r="D17" s="691"/>
      <c r="E17" s="691"/>
      <c r="F17" s="691"/>
      <c r="G17" s="691"/>
      <c r="H17" s="691"/>
      <c r="I17" s="691"/>
      <c r="J17" s="691"/>
      <c r="K17" s="692"/>
      <c r="L17" s="265"/>
      <c r="M17" s="262">
        <f>SUM(M18:M68)</f>
        <v>8417.5966826689491</v>
      </c>
      <c r="N17" s="430"/>
      <c r="O17" s="264">
        <f>SUM(O18:O68)</f>
        <v>37.446851000424523</v>
      </c>
    </row>
    <row r="18" spans="1:15" s="0" customFormat="1" ht="15">
      <c r="A18" s="642" t="s">
        <v>143</v>
      </c>
      <c r="B18" s="639" t="s">
        <v>144</v>
      </c>
      <c r="C18" s="13" t="s">
        <v>1243</v>
      </c>
      <c r="D18" s="13">
        <v>105</v>
      </c>
      <c r="E18" s="13"/>
      <c r="F18" s="17" t="s">
        <v>353</v>
      </c>
      <c r="G18" s="469">
        <v>14.60</v>
      </c>
      <c r="H18" s="252">
        <v>10</v>
      </c>
      <c r="I18" s="16">
        <v>1</v>
      </c>
      <c r="J18" s="253">
        <f>H18/G18*I18</f>
        <v>0.68493150684931503</v>
      </c>
      <c r="K18" s="52">
        <v>1</v>
      </c>
      <c r="L18" s="26">
        <f t="shared" si="4" ref="L18:L29">J18*K18</f>
        <v>0.68493150684931503</v>
      </c>
      <c r="M18" s="37">
        <f>L18*N18</f>
        <v>136.98630136986301</v>
      </c>
      <c r="N18" s="85">
        <v>200</v>
      </c>
      <c r="O18" s="8">
        <f>J18/I18*K18</f>
        <v>0.68493150684931503</v>
      </c>
    </row>
    <row r="19" spans="1:15" s="0" customFormat="1" ht="15">
      <c r="A19" s="644"/>
      <c r="B19" s="641"/>
      <c r="C19" s="13" t="s">
        <v>962</v>
      </c>
      <c r="D19" s="13">
        <v>105</v>
      </c>
      <c r="E19" s="13"/>
      <c r="F19" s="17" t="s">
        <v>353</v>
      </c>
      <c r="G19" s="469">
        <v>14.60</v>
      </c>
      <c r="H19" s="252">
        <v>10</v>
      </c>
      <c r="I19" s="16">
        <v>1</v>
      </c>
      <c r="J19" s="253">
        <f>H19/G19*I19</f>
        <v>0.68493150684931503</v>
      </c>
      <c r="K19" s="52">
        <v>1</v>
      </c>
      <c r="L19" s="26">
        <f t="shared" si="4"/>
        <v>0.68493150684931503</v>
      </c>
      <c r="M19" s="37">
        <f>L19*N19</f>
        <v>136.98630136986301</v>
      </c>
      <c r="N19" s="85">
        <v>200</v>
      </c>
      <c r="O19" s="8">
        <f>J19/I19*K19</f>
        <v>0.68493150684931503</v>
      </c>
    </row>
    <row r="20" spans="1:15" s="0" customFormat="1" ht="15" customHeight="1">
      <c r="A20" s="642" t="s">
        <v>146</v>
      </c>
      <c r="B20" s="639" t="s">
        <v>411</v>
      </c>
      <c r="C20" s="13" t="s">
        <v>1244</v>
      </c>
      <c r="D20" s="54">
        <v>109</v>
      </c>
      <c r="E20" s="645" t="s">
        <v>911</v>
      </c>
      <c r="F20" s="17" t="s">
        <v>10</v>
      </c>
      <c r="G20" s="16">
        <v>40</v>
      </c>
      <c r="H20" s="252">
        <v>10</v>
      </c>
      <c r="I20" s="16">
        <v>1</v>
      </c>
      <c r="J20" s="253">
        <f t="shared" si="5" ref="J20:J29">H20/G20*I20</f>
        <v>0.25</v>
      </c>
      <c r="K20" s="260">
        <f>375/1000+0.1</f>
        <v>0.475</v>
      </c>
      <c r="L20" s="26">
        <f t="shared" si="4"/>
        <v>0.11874999999999999</v>
      </c>
      <c r="M20" s="43">
        <f t="shared" si="6" ref="M20:M29">L20*N20</f>
        <v>23.75</v>
      </c>
      <c r="N20" s="85">
        <v>200</v>
      </c>
      <c r="O20" s="8">
        <f t="shared" si="7" ref="O20:O29">J20/I20*K20</f>
        <v>0.11874999999999999</v>
      </c>
    </row>
    <row r="21" spans="1:15" s="0" customFormat="1" ht="15">
      <c r="A21" s="643"/>
      <c r="B21" s="640"/>
      <c r="C21" s="13" t="s">
        <v>1245</v>
      </c>
      <c r="D21" s="90">
        <v>109</v>
      </c>
      <c r="E21" s="647"/>
      <c r="F21" s="17" t="s">
        <v>10</v>
      </c>
      <c r="G21" s="16">
        <v>27</v>
      </c>
      <c r="H21" s="252">
        <v>10</v>
      </c>
      <c r="I21" s="16">
        <v>1</v>
      </c>
      <c r="J21" s="253">
        <f t="shared" si="5"/>
        <v>0.37037037037037035</v>
      </c>
      <c r="K21" s="260">
        <f>375/1000+0.1</f>
        <v>0.475</v>
      </c>
      <c r="L21" s="26">
        <f t="shared" si="4"/>
        <v>0.1759259259259259</v>
      </c>
      <c r="M21" s="43">
        <f t="shared" si="6"/>
        <v>35.185185185185183</v>
      </c>
      <c r="N21" s="85">
        <v>200</v>
      </c>
      <c r="O21" s="8">
        <f t="shared" si="7"/>
        <v>0.1759259259259259</v>
      </c>
    </row>
    <row r="22" spans="1:15" s="0" customFormat="1" ht="15">
      <c r="A22" s="643"/>
      <c r="B22" s="640"/>
      <c r="C22" s="13" t="s">
        <v>965</v>
      </c>
      <c r="D22" s="54">
        <v>109</v>
      </c>
      <c r="E22" s="645" t="s">
        <v>911</v>
      </c>
      <c r="F22" s="17" t="s">
        <v>10</v>
      </c>
      <c r="G22" s="16">
        <v>40</v>
      </c>
      <c r="H22" s="252">
        <v>10</v>
      </c>
      <c r="I22" s="16">
        <v>1</v>
      </c>
      <c r="J22" s="253">
        <f t="shared" si="5"/>
        <v>0.25</v>
      </c>
      <c r="K22" s="260">
        <f>1480/1000+0.1</f>
        <v>1.58</v>
      </c>
      <c r="L22" s="26">
        <f t="shared" si="4"/>
        <v>0.395</v>
      </c>
      <c r="M22" s="43">
        <f t="shared" si="6"/>
        <v>79</v>
      </c>
      <c r="N22" s="85">
        <v>200</v>
      </c>
      <c r="O22" s="8">
        <f t="shared" si="7"/>
        <v>0.395</v>
      </c>
    </row>
    <row r="23" spans="1:15" s="0" customFormat="1" ht="15">
      <c r="A23" s="644"/>
      <c r="B23" s="641"/>
      <c r="C23" s="13" t="s">
        <v>966</v>
      </c>
      <c r="D23" s="90">
        <v>109</v>
      </c>
      <c r="E23" s="647"/>
      <c r="F23" s="17" t="s">
        <v>10</v>
      </c>
      <c r="G23" s="16">
        <v>27</v>
      </c>
      <c r="H23" s="252">
        <v>10</v>
      </c>
      <c r="I23" s="16">
        <v>1</v>
      </c>
      <c r="J23" s="253">
        <f t="shared" si="5"/>
        <v>0.37037037037037035</v>
      </c>
      <c r="K23" s="260">
        <f>1480/1000+0.1</f>
        <v>1.58</v>
      </c>
      <c r="L23" s="26">
        <f t="shared" si="4"/>
        <v>0.58518518518518514</v>
      </c>
      <c r="M23" s="43">
        <f t="shared" si="6"/>
        <v>117.03703703703702</v>
      </c>
      <c r="N23" s="85">
        <v>200</v>
      </c>
      <c r="O23" s="8">
        <f t="shared" si="7"/>
        <v>0.58518518518518514</v>
      </c>
    </row>
    <row r="24" spans="1:15" s="0" customFormat="1" ht="15" customHeight="1">
      <c r="A24" s="642" t="s">
        <v>148</v>
      </c>
      <c r="B24" s="639" t="s">
        <v>412</v>
      </c>
      <c r="C24" s="13" t="s">
        <v>1246</v>
      </c>
      <c r="D24" s="13">
        <v>107</v>
      </c>
      <c r="E24" s="645" t="s">
        <v>43</v>
      </c>
      <c r="F24" s="17" t="s">
        <v>10</v>
      </c>
      <c r="G24" s="16">
        <v>40</v>
      </c>
      <c r="H24" s="252">
        <v>10</v>
      </c>
      <c r="I24" s="16">
        <v>1</v>
      </c>
      <c r="J24" s="253">
        <f t="shared" si="5"/>
        <v>0.25</v>
      </c>
      <c r="K24" s="30">
        <f>375/1000+0.1</f>
        <v>0.475</v>
      </c>
      <c r="L24" s="26">
        <f t="shared" si="4"/>
        <v>0.11874999999999999</v>
      </c>
      <c r="M24" s="37">
        <f t="shared" si="6"/>
        <v>23.75</v>
      </c>
      <c r="N24" s="85">
        <v>200</v>
      </c>
      <c r="O24" s="8">
        <f t="shared" si="7"/>
        <v>0.11874999999999999</v>
      </c>
    </row>
    <row r="25" spans="1:15" s="0" customFormat="1" ht="15">
      <c r="A25" s="643"/>
      <c r="B25" s="640"/>
      <c r="C25" s="13" t="s">
        <v>1247</v>
      </c>
      <c r="D25" s="13">
        <v>107</v>
      </c>
      <c r="E25" s="646"/>
      <c r="F25" s="17" t="s">
        <v>10</v>
      </c>
      <c r="G25" s="16">
        <v>25</v>
      </c>
      <c r="H25" s="252">
        <v>10</v>
      </c>
      <c r="I25" s="16">
        <v>1</v>
      </c>
      <c r="J25" s="253">
        <f t="shared" si="5"/>
        <v>0.40</v>
      </c>
      <c r="K25" s="30">
        <f>375/1000</f>
        <v>0.375</v>
      </c>
      <c r="L25" s="26">
        <f t="shared" si="4"/>
        <v>0.15000000000000002</v>
      </c>
      <c r="M25" s="37">
        <f t="shared" si="6"/>
        <v>26.400000000000006</v>
      </c>
      <c r="N25" s="85">
        <v>176</v>
      </c>
      <c r="O25" s="8">
        <f t="shared" si="7"/>
        <v>0.15000000000000002</v>
      </c>
    </row>
    <row r="26" spans="1:15" s="0" customFormat="1" ht="15">
      <c r="A26" s="643"/>
      <c r="B26" s="640"/>
      <c r="C26" s="13" t="s">
        <v>1248</v>
      </c>
      <c r="D26" s="13">
        <v>107</v>
      </c>
      <c r="E26" s="647"/>
      <c r="F26" s="17" t="s">
        <v>10</v>
      </c>
      <c r="G26" s="16">
        <v>28.50</v>
      </c>
      <c r="H26" s="252">
        <v>10</v>
      </c>
      <c r="I26" s="16">
        <v>1</v>
      </c>
      <c r="J26" s="253">
        <f t="shared" si="5"/>
        <v>0.35087719298245612</v>
      </c>
      <c r="K26" s="30">
        <f>375/1000+0.1</f>
        <v>0.475</v>
      </c>
      <c r="L26" s="26">
        <f t="shared" si="4"/>
        <v>0.16666666666666666</v>
      </c>
      <c r="M26" s="37">
        <f t="shared" si="6"/>
        <v>33.333333333333329</v>
      </c>
      <c r="N26" s="85">
        <v>200</v>
      </c>
      <c r="O26" s="8">
        <f t="shared" si="7"/>
        <v>0.16666666666666666</v>
      </c>
    </row>
    <row r="27" spans="1:15" s="0" customFormat="1" ht="15">
      <c r="A27" s="643"/>
      <c r="B27" s="640"/>
      <c r="C27" s="13" t="s">
        <v>413</v>
      </c>
      <c r="D27" s="13">
        <v>107</v>
      </c>
      <c r="E27" s="645" t="s">
        <v>43</v>
      </c>
      <c r="F27" s="17" t="s">
        <v>10</v>
      </c>
      <c r="G27" s="16">
        <v>40</v>
      </c>
      <c r="H27" s="252">
        <v>10</v>
      </c>
      <c r="I27" s="16">
        <v>1</v>
      </c>
      <c r="J27" s="253">
        <f t="shared" si="5"/>
        <v>0.25</v>
      </c>
      <c r="K27" s="30">
        <f>1480/1000+0.1</f>
        <v>1.58</v>
      </c>
      <c r="L27" s="26">
        <f t="shared" si="4"/>
        <v>0.395</v>
      </c>
      <c r="M27" s="37">
        <f t="shared" si="6"/>
        <v>79</v>
      </c>
      <c r="N27" s="85">
        <v>200</v>
      </c>
      <c r="O27" s="8">
        <f t="shared" si="7"/>
        <v>0.395</v>
      </c>
    </row>
    <row r="28" spans="1:15" s="0" customFormat="1" ht="15">
      <c r="A28" s="643"/>
      <c r="B28" s="640"/>
      <c r="C28" s="13" t="s">
        <v>414</v>
      </c>
      <c r="D28" s="13">
        <v>107</v>
      </c>
      <c r="E28" s="646"/>
      <c r="F28" s="17" t="s">
        <v>10</v>
      </c>
      <c r="G28" s="16">
        <v>25</v>
      </c>
      <c r="H28" s="252">
        <v>10</v>
      </c>
      <c r="I28" s="16">
        <v>1</v>
      </c>
      <c r="J28" s="253">
        <f t="shared" si="5"/>
        <v>0.40</v>
      </c>
      <c r="K28" s="30">
        <f>1480/1000</f>
        <v>1.48</v>
      </c>
      <c r="L28" s="26">
        <f t="shared" si="4"/>
        <v>0.59199999999999997</v>
      </c>
      <c r="M28" s="37">
        <f t="shared" si="6"/>
        <v>104.19199999999999</v>
      </c>
      <c r="N28" s="85">
        <v>176</v>
      </c>
      <c r="O28" s="8">
        <f t="shared" si="7"/>
        <v>0.59199999999999997</v>
      </c>
    </row>
    <row r="29" spans="1:15" s="0" customFormat="1" ht="15">
      <c r="A29" s="644"/>
      <c r="B29" s="641"/>
      <c r="C29" s="13" t="s">
        <v>415</v>
      </c>
      <c r="D29" s="13">
        <v>107</v>
      </c>
      <c r="E29" s="647"/>
      <c r="F29" s="17" t="s">
        <v>10</v>
      </c>
      <c r="G29" s="16">
        <v>28.50</v>
      </c>
      <c r="H29" s="252">
        <v>10</v>
      </c>
      <c r="I29" s="16">
        <v>1</v>
      </c>
      <c r="J29" s="253">
        <f t="shared" si="5"/>
        <v>0.35087719298245612</v>
      </c>
      <c r="K29" s="30">
        <f>1480/1000+0.1</f>
        <v>1.58</v>
      </c>
      <c r="L29" s="26">
        <f t="shared" si="4"/>
        <v>0.55438596491228065</v>
      </c>
      <c r="M29" s="37">
        <f t="shared" si="6"/>
        <v>110.87719298245614</v>
      </c>
      <c r="N29" s="85">
        <v>200</v>
      </c>
      <c r="O29" s="8">
        <f t="shared" si="7"/>
        <v>0.55438596491228065</v>
      </c>
    </row>
    <row r="30" spans="1:15" s="0" customFormat="1" ht="15">
      <c r="A30" s="642" t="s">
        <v>421</v>
      </c>
      <c r="B30" s="639" t="s">
        <v>149</v>
      </c>
      <c r="C30" s="13" t="s">
        <v>1243</v>
      </c>
      <c r="D30" s="13">
        <v>105</v>
      </c>
      <c r="E30" s="13"/>
      <c r="F30" s="17" t="s">
        <v>353</v>
      </c>
      <c r="G30" s="469">
        <f>14.6/0.65</f>
        <v>22.46153846153846</v>
      </c>
      <c r="H30" s="252">
        <v>10</v>
      </c>
      <c r="I30" s="16">
        <v>1</v>
      </c>
      <c r="J30" s="253">
        <f>H30/G30*I30</f>
        <v>0.44520547945205485</v>
      </c>
      <c r="K30" s="52">
        <v>1</v>
      </c>
      <c r="L30" s="26">
        <f t="shared" si="8" ref="L30:L35">J30*K30</f>
        <v>0.44520547945205485</v>
      </c>
      <c r="M30" s="37">
        <f>L30*N30</f>
        <v>89.041095890410972</v>
      </c>
      <c r="N30" s="85">
        <v>200</v>
      </c>
      <c r="O30" s="8">
        <f>J30/I30*K30</f>
        <v>0.44520547945205485</v>
      </c>
    </row>
    <row r="31" spans="1:15" s="0" customFormat="1" ht="15">
      <c r="A31" s="644"/>
      <c r="B31" s="641"/>
      <c r="C31" s="13" t="s">
        <v>962</v>
      </c>
      <c r="D31" s="13">
        <v>105</v>
      </c>
      <c r="E31" s="13"/>
      <c r="F31" s="17" t="s">
        <v>353</v>
      </c>
      <c r="G31" s="469">
        <f>14.6/0.65</f>
        <v>22.46153846153846</v>
      </c>
      <c r="H31" s="252">
        <v>10</v>
      </c>
      <c r="I31" s="16">
        <v>1</v>
      </c>
      <c r="J31" s="253">
        <f>H31/G31*I31</f>
        <v>0.44520547945205485</v>
      </c>
      <c r="K31" s="52">
        <v>1</v>
      </c>
      <c r="L31" s="26">
        <f t="shared" si="8"/>
        <v>0.44520547945205485</v>
      </c>
      <c r="M31" s="37">
        <f>L31*N31</f>
        <v>89.041095890410972</v>
      </c>
      <c r="N31" s="85">
        <v>200</v>
      </c>
      <c r="O31" s="8">
        <f>J31/I31*K31</f>
        <v>0.44520547945205485</v>
      </c>
    </row>
    <row r="32" spans="1:15" s="0" customFormat="1" ht="30">
      <c r="A32" s="529" t="s">
        <v>1662</v>
      </c>
      <c r="B32" s="522" t="s">
        <v>1661</v>
      </c>
      <c r="C32" s="523" t="s">
        <v>9</v>
      </c>
      <c r="D32" s="523">
        <v>109</v>
      </c>
      <c r="E32" s="523"/>
      <c r="F32" s="524" t="s">
        <v>10</v>
      </c>
      <c r="G32" s="525">
        <v>33</v>
      </c>
      <c r="H32" s="526">
        <v>10</v>
      </c>
      <c r="I32" s="527">
        <v>1</v>
      </c>
      <c r="J32" s="528">
        <f t="shared" si="9" ref="J32:J35">H32/G32*I32</f>
        <v>0.30303030303030304</v>
      </c>
      <c r="K32" s="525">
        <f>(350*2)/1000</f>
        <v>0.70</v>
      </c>
      <c r="L32" s="267">
        <f t="shared" si="8"/>
        <v>0.21212121212121213</v>
      </c>
      <c r="M32" s="266">
        <f t="shared" si="10" ref="M32:M35">L32*N32</f>
        <v>32.242424242424242</v>
      </c>
      <c r="N32" s="433">
        <v>152</v>
      </c>
      <c r="O32" s="267">
        <f t="shared" si="11" ref="O32:O35">J32/I32*K32</f>
        <v>0.21212121212121213</v>
      </c>
    </row>
    <row r="33" spans="1:15" s="0" customFormat="1" ht="15">
      <c r="A33" s="57" t="s">
        <v>422</v>
      </c>
      <c r="B33" s="56" t="s">
        <v>423</v>
      </c>
      <c r="C33" s="13" t="s">
        <v>24</v>
      </c>
      <c r="D33" s="13">
        <v>108</v>
      </c>
      <c r="E33" s="13"/>
      <c r="F33" s="25" t="s">
        <v>45</v>
      </c>
      <c r="G33" s="16">
        <v>10</v>
      </c>
      <c r="H33" s="252">
        <v>10</v>
      </c>
      <c r="I33" s="16">
        <v>2</v>
      </c>
      <c r="J33" s="253">
        <f t="shared" si="9"/>
        <v>2</v>
      </c>
      <c r="K33" s="16">
        <v>1</v>
      </c>
      <c r="L33" s="26">
        <f t="shared" si="8"/>
        <v>2</v>
      </c>
      <c r="M33" s="43">
        <f t="shared" si="10"/>
        <v>400</v>
      </c>
      <c r="N33" s="85">
        <v>200</v>
      </c>
      <c r="O33" s="8">
        <f t="shared" si="11"/>
        <v>1</v>
      </c>
    </row>
    <row r="34" spans="1:15" s="0" customFormat="1" ht="15">
      <c r="A34" s="642" t="s">
        <v>150</v>
      </c>
      <c r="B34" s="639" t="s">
        <v>424</v>
      </c>
      <c r="C34" s="13" t="s">
        <v>970</v>
      </c>
      <c r="D34" s="54">
        <v>109</v>
      </c>
      <c r="E34" s="645" t="s">
        <v>911</v>
      </c>
      <c r="F34" s="17" t="s">
        <v>10</v>
      </c>
      <c r="G34" s="16">
        <v>40</v>
      </c>
      <c r="H34" s="252">
        <v>10</v>
      </c>
      <c r="I34" s="16">
        <v>1</v>
      </c>
      <c r="J34" s="253">
        <f t="shared" si="9"/>
        <v>0.25</v>
      </c>
      <c r="K34" s="260">
        <f>824*3.1415/1000</f>
        <v>2.5885959999999999</v>
      </c>
      <c r="L34" s="26">
        <f t="shared" si="8"/>
        <v>0.64714899999999997</v>
      </c>
      <c r="M34" s="43">
        <f t="shared" si="10"/>
        <v>129.4298</v>
      </c>
      <c r="N34" s="85">
        <v>200</v>
      </c>
      <c r="O34" s="8">
        <f t="shared" si="11"/>
        <v>0.64714899999999997</v>
      </c>
    </row>
    <row r="35" spans="1:15" s="0" customFormat="1" ht="15">
      <c r="A35" s="644"/>
      <c r="B35" s="641"/>
      <c r="C35" s="13" t="s">
        <v>151</v>
      </c>
      <c r="D35" s="90">
        <v>109</v>
      </c>
      <c r="E35" s="647"/>
      <c r="F35" s="17" t="s">
        <v>10</v>
      </c>
      <c r="G35" s="16">
        <v>27</v>
      </c>
      <c r="H35" s="252">
        <v>10</v>
      </c>
      <c r="I35" s="16">
        <v>1</v>
      </c>
      <c r="J35" s="253">
        <f t="shared" si="9"/>
        <v>0.37037037037037035</v>
      </c>
      <c r="K35" s="30">
        <f>(824*3.1415)/1000</f>
        <v>2.5885959999999999</v>
      </c>
      <c r="L35" s="26">
        <f t="shared" si="8"/>
        <v>0.95873925925925918</v>
      </c>
      <c r="M35" s="43">
        <f t="shared" si="10"/>
        <v>191.74785185185183</v>
      </c>
      <c r="N35" s="85">
        <v>200</v>
      </c>
      <c r="O35" s="8">
        <f t="shared" si="11"/>
        <v>0.95873925925925918</v>
      </c>
    </row>
    <row r="36" spans="1:15" ht="15">
      <c r="A36" s="57" t="s">
        <v>152</v>
      </c>
      <c r="B36" s="56" t="s">
        <v>153</v>
      </c>
      <c r="C36" s="13" t="s">
        <v>154</v>
      </c>
      <c r="D36" s="13">
        <v>124</v>
      </c>
      <c r="E36" s="13"/>
      <c r="F36" s="13" t="s">
        <v>354</v>
      </c>
      <c r="G36" s="442">
        <v>10</v>
      </c>
      <c r="H36" s="440">
        <v>10</v>
      </c>
      <c r="I36" s="28">
        <v>1</v>
      </c>
      <c r="J36" s="441">
        <f t="shared" si="12" ref="J36:J58">H36/G36*I36</f>
        <v>1</v>
      </c>
      <c r="K36" s="432">
        <v>1</v>
      </c>
      <c r="L36" s="267">
        <f t="shared" si="13" ref="L36:L58">J36*K36</f>
        <v>1</v>
      </c>
      <c r="M36" s="433">
        <f t="shared" si="14" ref="M36:M58">L36*N36</f>
        <v>200</v>
      </c>
      <c r="N36" s="434">
        <v>200</v>
      </c>
      <c r="O36" s="435">
        <f t="shared" si="15" ref="O36:O58">J36/I36*K36</f>
        <v>1</v>
      </c>
    </row>
    <row r="37" spans="1:15" ht="30">
      <c r="A37" s="57" t="s">
        <v>155</v>
      </c>
      <c r="B37" s="56" t="s">
        <v>156</v>
      </c>
      <c r="C37" s="13" t="s">
        <v>157</v>
      </c>
      <c r="D37" s="13" t="s">
        <v>1329</v>
      </c>
      <c r="E37" s="13"/>
      <c r="F37" s="13" t="s">
        <v>354</v>
      </c>
      <c r="G37" s="442">
        <v>4.3099999999999996</v>
      </c>
      <c r="H37" s="440">
        <v>10</v>
      </c>
      <c r="I37" s="28">
        <v>1</v>
      </c>
      <c r="J37" s="441">
        <f t="shared" si="12"/>
        <v>2.3201856148491879</v>
      </c>
      <c r="K37" s="432">
        <v>1</v>
      </c>
      <c r="L37" s="267">
        <f t="shared" si="13"/>
        <v>2.3201856148491879</v>
      </c>
      <c r="M37" s="433">
        <f t="shared" si="14"/>
        <v>464.03712296983758</v>
      </c>
      <c r="N37" s="434">
        <v>200</v>
      </c>
      <c r="O37" s="435">
        <f t="shared" si="15"/>
        <v>2.3201856148491879</v>
      </c>
    </row>
    <row r="38" spans="1:15" ht="30">
      <c r="A38" s="57" t="s">
        <v>158</v>
      </c>
      <c r="B38" s="56" t="s">
        <v>159</v>
      </c>
      <c r="C38" s="13" t="s">
        <v>160</v>
      </c>
      <c r="D38" s="13" t="s">
        <v>1331</v>
      </c>
      <c r="E38" s="13" t="s">
        <v>161</v>
      </c>
      <c r="F38" s="13" t="s">
        <v>10</v>
      </c>
      <c r="G38" s="439">
        <v>15.40</v>
      </c>
      <c r="H38" s="440">
        <v>10</v>
      </c>
      <c r="I38" s="28">
        <v>1</v>
      </c>
      <c r="J38" s="441">
        <f t="shared" si="12"/>
        <v>0.64935064935064934</v>
      </c>
      <c r="K38" s="436">
        <f>(61/1000)*3.1415*4</f>
        <v>0.76652600000000004</v>
      </c>
      <c r="L38" s="435">
        <f t="shared" si="13"/>
        <v>0.49774415584415588</v>
      </c>
      <c r="M38" s="266">
        <f t="shared" si="14"/>
        <v>99.548831168831171</v>
      </c>
      <c r="N38" s="433">
        <v>200</v>
      </c>
      <c r="O38" s="435">
        <f t="shared" si="15"/>
        <v>0.49774415584415588</v>
      </c>
    </row>
    <row r="39" spans="1:15" ht="15">
      <c r="A39" s="57" t="s">
        <v>427</v>
      </c>
      <c r="B39" s="56" t="s">
        <v>428</v>
      </c>
      <c r="C39" s="13" t="s">
        <v>24</v>
      </c>
      <c r="D39" s="13">
        <v>110</v>
      </c>
      <c r="E39" s="13"/>
      <c r="F39" s="4" t="s">
        <v>38</v>
      </c>
      <c r="G39" s="442">
        <v>10</v>
      </c>
      <c r="H39" s="440">
        <v>10</v>
      </c>
      <c r="I39" s="28">
        <v>2</v>
      </c>
      <c r="J39" s="441">
        <f t="shared" si="12"/>
        <v>2</v>
      </c>
      <c r="K39" s="28">
        <v>1</v>
      </c>
      <c r="L39" s="267">
        <f t="shared" si="13"/>
        <v>2</v>
      </c>
      <c r="M39" s="433">
        <f t="shared" si="14"/>
        <v>400</v>
      </c>
      <c r="N39" s="434">
        <v>200</v>
      </c>
      <c r="O39" s="435">
        <f t="shared" si="15"/>
        <v>1</v>
      </c>
    </row>
    <row r="40" spans="1:15" ht="15">
      <c r="A40" s="645" t="s">
        <v>162</v>
      </c>
      <c r="B40" s="639" t="s">
        <v>429</v>
      </c>
      <c r="C40" s="13" t="s">
        <v>160</v>
      </c>
      <c r="D40" s="13">
        <v>109</v>
      </c>
      <c r="E40" s="645" t="s">
        <v>911</v>
      </c>
      <c r="F40" s="13" t="s">
        <v>10</v>
      </c>
      <c r="G40" s="28">
        <v>40</v>
      </c>
      <c r="H40" s="440">
        <v>10</v>
      </c>
      <c r="I40" s="28">
        <v>1</v>
      </c>
      <c r="J40" s="441">
        <f t="shared" si="12"/>
        <v>0.25</v>
      </c>
      <c r="K40" s="436">
        <f>824/1000*3.1415</f>
        <v>2.5885959999999999</v>
      </c>
      <c r="L40" s="267">
        <f t="shared" si="13"/>
        <v>0.64714899999999997</v>
      </c>
      <c r="M40" s="433">
        <f t="shared" si="14"/>
        <v>129.4298</v>
      </c>
      <c r="N40" s="434">
        <v>200</v>
      </c>
      <c r="O40" s="435">
        <f t="shared" si="15"/>
        <v>0.64714899999999997</v>
      </c>
    </row>
    <row r="41" spans="1:15" ht="15">
      <c r="A41" s="647"/>
      <c r="B41" s="641"/>
      <c r="C41" s="13" t="s">
        <v>9</v>
      </c>
      <c r="D41" s="13">
        <v>109</v>
      </c>
      <c r="E41" s="647"/>
      <c r="F41" s="13" t="s">
        <v>10</v>
      </c>
      <c r="G41" s="28">
        <v>27</v>
      </c>
      <c r="H41" s="440">
        <v>10</v>
      </c>
      <c r="I41" s="28">
        <v>1</v>
      </c>
      <c r="J41" s="441">
        <f t="shared" si="12"/>
        <v>0.37037037037037035</v>
      </c>
      <c r="K41" s="436">
        <f>824/1000*3.1415</f>
        <v>2.5885959999999999</v>
      </c>
      <c r="L41" s="267">
        <f t="shared" si="13"/>
        <v>0.95873925925925918</v>
      </c>
      <c r="M41" s="433">
        <f t="shared" si="14"/>
        <v>191.74785185185183</v>
      </c>
      <c r="N41" s="434">
        <v>200</v>
      </c>
      <c r="O41" s="435">
        <f t="shared" si="15"/>
        <v>0.95873925925925918</v>
      </c>
    </row>
    <row r="42" spans="1:15" ht="15">
      <c r="A42" s="642" t="s">
        <v>430</v>
      </c>
      <c r="B42" s="639" t="s">
        <v>431</v>
      </c>
      <c r="C42" s="13" t="s">
        <v>160</v>
      </c>
      <c r="D42" s="54">
        <v>107</v>
      </c>
      <c r="E42" s="645" t="s">
        <v>43</v>
      </c>
      <c r="F42" s="13" t="s">
        <v>10</v>
      </c>
      <c r="G42" s="28">
        <v>40</v>
      </c>
      <c r="H42" s="440">
        <v>10</v>
      </c>
      <c r="I42" s="28">
        <v>1</v>
      </c>
      <c r="J42" s="441">
        <f t="shared" si="12"/>
        <v>0.25</v>
      </c>
      <c r="K42" s="436">
        <f>824/1000*3.1415</f>
        <v>2.5885959999999999</v>
      </c>
      <c r="L42" s="267">
        <f t="shared" si="13"/>
        <v>0.64714899999999997</v>
      </c>
      <c r="M42" s="433">
        <f t="shared" si="14"/>
        <v>129.4298</v>
      </c>
      <c r="N42" s="434">
        <v>200</v>
      </c>
      <c r="O42" s="435">
        <f t="shared" si="15"/>
        <v>0.64714899999999997</v>
      </c>
    </row>
    <row r="43" spans="1:15" ht="15">
      <c r="A43" s="643"/>
      <c r="B43" s="640"/>
      <c r="C43" s="13" t="s">
        <v>511</v>
      </c>
      <c r="D43" s="274">
        <v>107</v>
      </c>
      <c r="E43" s="646"/>
      <c r="F43" s="13" t="s">
        <v>10</v>
      </c>
      <c r="G43" s="28">
        <v>25</v>
      </c>
      <c r="H43" s="440">
        <v>10</v>
      </c>
      <c r="I43" s="28">
        <v>1</v>
      </c>
      <c r="J43" s="453">
        <f t="shared" si="12"/>
        <v>0.40</v>
      </c>
      <c r="K43" s="436">
        <f>824*3.1415/1000</f>
        <v>2.5885959999999999</v>
      </c>
      <c r="L43" s="267">
        <f t="shared" si="13"/>
        <v>1.0354384000000001</v>
      </c>
      <c r="M43" s="433">
        <f t="shared" si="14"/>
        <v>182.23715840000003</v>
      </c>
      <c r="N43" s="434">
        <v>176</v>
      </c>
      <c r="O43" s="435">
        <f t="shared" si="15"/>
        <v>1.0354384000000001</v>
      </c>
    </row>
    <row r="44" spans="1:15" ht="15">
      <c r="A44" s="644"/>
      <c r="B44" s="641"/>
      <c r="C44" s="13" t="s">
        <v>313</v>
      </c>
      <c r="D44" s="90">
        <v>107</v>
      </c>
      <c r="E44" s="647"/>
      <c r="F44" s="13" t="s">
        <v>10</v>
      </c>
      <c r="G44" s="28">
        <v>28.50</v>
      </c>
      <c r="H44" s="440">
        <v>10</v>
      </c>
      <c r="I44" s="28">
        <v>1</v>
      </c>
      <c r="J44" s="453">
        <f t="shared" si="12"/>
        <v>0.35087719298245612</v>
      </c>
      <c r="K44" s="436">
        <f>824*3.1415/1000</f>
        <v>2.5885959999999999</v>
      </c>
      <c r="L44" s="267">
        <f t="shared" si="13"/>
        <v>0.90827929824561393</v>
      </c>
      <c r="M44" s="433">
        <f t="shared" si="14"/>
        <v>181.65585964912279</v>
      </c>
      <c r="N44" s="434">
        <v>200</v>
      </c>
      <c r="O44" s="435">
        <f t="shared" si="15"/>
        <v>0.90827929824561393</v>
      </c>
    </row>
    <row r="45" spans="1:15" s="0" customFormat="1" ht="15">
      <c r="A45" s="642" t="s">
        <v>163</v>
      </c>
      <c r="B45" s="639" t="s">
        <v>164</v>
      </c>
      <c r="C45" s="13" t="s">
        <v>165</v>
      </c>
      <c r="D45" s="13">
        <v>123</v>
      </c>
      <c r="E45" s="13"/>
      <c r="F45" s="17" t="s">
        <v>973</v>
      </c>
      <c r="G45" s="16">
        <v>10.40</v>
      </c>
      <c r="H45" s="252">
        <v>10</v>
      </c>
      <c r="I45" s="16">
        <v>1</v>
      </c>
      <c r="J45" s="253">
        <f t="shared" si="12"/>
        <v>0.96153846153846145</v>
      </c>
      <c r="K45" s="52">
        <v>1</v>
      </c>
      <c r="L45" s="26">
        <f t="shared" si="13"/>
        <v>0.96153846153846145</v>
      </c>
      <c r="M45" s="43">
        <f t="shared" si="14"/>
        <v>192.30769230769229</v>
      </c>
      <c r="N45" s="85">
        <v>200</v>
      </c>
      <c r="O45" s="8">
        <f t="shared" si="15"/>
        <v>0.96153846153846145</v>
      </c>
    </row>
    <row r="46" spans="1:15" s="0" customFormat="1" ht="15">
      <c r="A46" s="643"/>
      <c r="B46" s="640"/>
      <c r="C46" s="13" t="s">
        <v>166</v>
      </c>
      <c r="D46" s="13">
        <v>123</v>
      </c>
      <c r="E46" s="13"/>
      <c r="F46" s="17" t="s">
        <v>973</v>
      </c>
      <c r="G46" s="16">
        <f>$G$45*2</f>
        <v>20.80</v>
      </c>
      <c r="H46" s="252">
        <v>10</v>
      </c>
      <c r="I46" s="16">
        <v>1</v>
      </c>
      <c r="J46" s="253">
        <f t="shared" si="12"/>
        <v>0.48076923076923073</v>
      </c>
      <c r="K46" s="52">
        <v>1</v>
      </c>
      <c r="L46" s="26">
        <f t="shared" si="13"/>
        <v>0.48076923076923073</v>
      </c>
      <c r="M46" s="43">
        <f t="shared" si="14"/>
        <v>96.153846153846146</v>
      </c>
      <c r="N46" s="85">
        <v>200</v>
      </c>
      <c r="O46" s="8">
        <f t="shared" si="15"/>
        <v>0.48076923076923073</v>
      </c>
    </row>
    <row r="47" spans="1:15" s="0" customFormat="1" ht="15">
      <c r="A47" s="643"/>
      <c r="B47" s="640"/>
      <c r="C47" s="13" t="s">
        <v>167</v>
      </c>
      <c r="D47" s="13">
        <v>122</v>
      </c>
      <c r="E47" s="13"/>
      <c r="F47" s="17" t="s">
        <v>973</v>
      </c>
      <c r="G47" s="16">
        <f>$G$45*2</f>
        <v>20.80</v>
      </c>
      <c r="H47" s="252">
        <v>10</v>
      </c>
      <c r="I47" s="16">
        <v>1</v>
      </c>
      <c r="J47" s="253">
        <f t="shared" si="12"/>
        <v>0.48076923076923073</v>
      </c>
      <c r="K47" s="52">
        <v>1</v>
      </c>
      <c r="L47" s="26">
        <f t="shared" si="13"/>
        <v>0.48076923076923073</v>
      </c>
      <c r="M47" s="43">
        <f t="shared" si="14"/>
        <v>96.153846153846146</v>
      </c>
      <c r="N47" s="85">
        <v>200</v>
      </c>
      <c r="O47" s="8">
        <f t="shared" si="15"/>
        <v>0.48076923076923073</v>
      </c>
    </row>
    <row r="48" spans="1:15" s="0" customFormat="1" ht="15">
      <c r="A48" s="644"/>
      <c r="B48" s="641"/>
      <c r="C48" s="13" t="s">
        <v>168</v>
      </c>
      <c r="D48" s="13" t="s">
        <v>1332</v>
      </c>
      <c r="E48" s="13"/>
      <c r="F48" s="17" t="s">
        <v>973</v>
      </c>
      <c r="G48" s="16">
        <f>$G$45*2</f>
        <v>20.80</v>
      </c>
      <c r="H48" s="252">
        <v>10</v>
      </c>
      <c r="I48" s="16">
        <v>1</v>
      </c>
      <c r="J48" s="253">
        <f t="shared" si="12"/>
        <v>0.48076923076923073</v>
      </c>
      <c r="K48" s="52">
        <v>1</v>
      </c>
      <c r="L48" s="26">
        <f t="shared" si="13"/>
        <v>0.48076923076923073</v>
      </c>
      <c r="M48" s="43">
        <f t="shared" si="14"/>
        <v>84.615384615384613</v>
      </c>
      <c r="N48" s="85">
        <v>176</v>
      </c>
      <c r="O48" s="8">
        <f t="shared" si="15"/>
        <v>0.48076923076923073</v>
      </c>
    </row>
    <row r="49" spans="1:15" s="0" customFormat="1" ht="15">
      <c r="A49" s="57" t="s">
        <v>514</v>
      </c>
      <c r="B49" s="213" t="s">
        <v>974</v>
      </c>
      <c r="C49" s="13" t="s">
        <v>975</v>
      </c>
      <c r="D49" s="13" t="s">
        <v>1332</v>
      </c>
      <c r="E49" s="13"/>
      <c r="F49" s="17" t="s">
        <v>973</v>
      </c>
      <c r="G49" s="16">
        <v>40</v>
      </c>
      <c r="H49" s="252">
        <v>10</v>
      </c>
      <c r="I49" s="16">
        <v>1</v>
      </c>
      <c r="J49" s="253">
        <f t="shared" si="12"/>
        <v>0.25</v>
      </c>
      <c r="K49" s="30">
        <f>824*3.1415/1000</f>
        <v>2.5885959999999999</v>
      </c>
      <c r="L49" s="26">
        <f t="shared" si="13"/>
        <v>0.64714899999999997</v>
      </c>
      <c r="M49" s="43">
        <f t="shared" si="14"/>
        <v>113.898224</v>
      </c>
      <c r="N49" s="85">
        <v>176</v>
      </c>
      <c r="O49" s="8">
        <f t="shared" si="15"/>
        <v>0.64714899999999997</v>
      </c>
    </row>
    <row r="50" spans="1:15" s="0" customFormat="1" ht="15">
      <c r="A50" s="57" t="s">
        <v>432</v>
      </c>
      <c r="B50" s="56" t="s">
        <v>433</v>
      </c>
      <c r="C50" s="13" t="s">
        <v>39</v>
      </c>
      <c r="D50" s="13">
        <v>110</v>
      </c>
      <c r="E50" s="13"/>
      <c r="F50" s="25" t="s">
        <v>170</v>
      </c>
      <c r="G50" s="16">
        <v>6.67</v>
      </c>
      <c r="H50" s="252">
        <v>10</v>
      </c>
      <c r="I50" s="16">
        <v>2</v>
      </c>
      <c r="J50" s="253">
        <f t="shared" si="12"/>
        <v>2.9985007496251876</v>
      </c>
      <c r="K50" s="16">
        <v>1</v>
      </c>
      <c r="L50" s="26">
        <f t="shared" si="13"/>
        <v>2.9985007496251876</v>
      </c>
      <c r="M50" s="43">
        <f t="shared" si="14"/>
        <v>599.70014992503752</v>
      </c>
      <c r="N50" s="43">
        <v>200</v>
      </c>
      <c r="O50" s="8">
        <f t="shared" si="15"/>
        <v>1.4992503748125938</v>
      </c>
    </row>
    <row r="51" spans="1:15" s="0" customFormat="1" ht="15">
      <c r="A51" s="642" t="s">
        <v>169</v>
      </c>
      <c r="B51" s="639" t="s">
        <v>435</v>
      </c>
      <c r="C51" s="13" t="s">
        <v>976</v>
      </c>
      <c r="D51" s="54">
        <v>109</v>
      </c>
      <c r="E51" s="645" t="s">
        <v>44</v>
      </c>
      <c r="F51" s="17" t="s">
        <v>10</v>
      </c>
      <c r="G51" s="16">
        <v>40</v>
      </c>
      <c r="H51" s="252">
        <v>10</v>
      </c>
      <c r="I51" s="16">
        <v>1</v>
      </c>
      <c r="J51" s="253">
        <f t="shared" si="12"/>
        <v>0.25</v>
      </c>
      <c r="K51" s="30">
        <f>0.824*3.1415</f>
        <v>2.5885959999999999</v>
      </c>
      <c r="L51" s="26">
        <f t="shared" si="13"/>
        <v>0.64714899999999997</v>
      </c>
      <c r="M51" s="43">
        <f t="shared" si="14"/>
        <v>129.4298</v>
      </c>
      <c r="N51" s="43">
        <v>200</v>
      </c>
      <c r="O51" s="8">
        <f t="shared" si="15"/>
        <v>0.64714899999999997</v>
      </c>
    </row>
    <row r="52" spans="1:15" s="0" customFormat="1" ht="15">
      <c r="A52" s="644"/>
      <c r="B52" s="641"/>
      <c r="C52" s="13" t="s">
        <v>977</v>
      </c>
      <c r="D52" s="90">
        <v>109</v>
      </c>
      <c r="E52" s="647"/>
      <c r="F52" s="17" t="s">
        <v>10</v>
      </c>
      <c r="G52" s="16">
        <v>27</v>
      </c>
      <c r="H52" s="252">
        <v>10</v>
      </c>
      <c r="I52" s="16">
        <v>1</v>
      </c>
      <c r="J52" s="253">
        <f t="shared" si="12"/>
        <v>0.37037037037037035</v>
      </c>
      <c r="K52" s="30">
        <f>0.824*3.1415*2</f>
        <v>5.1771919999999998</v>
      </c>
      <c r="L52" s="26">
        <f t="shared" si="13"/>
        <v>1.9174785185185184</v>
      </c>
      <c r="M52" s="43">
        <f t="shared" si="14"/>
        <v>383.49570370370367</v>
      </c>
      <c r="N52" s="43">
        <v>200</v>
      </c>
      <c r="O52" s="8">
        <f t="shared" si="15"/>
        <v>1.9174785185185184</v>
      </c>
    </row>
    <row r="53" spans="1:15" s="0" customFormat="1" ht="15">
      <c r="A53" s="642" t="s">
        <v>434</v>
      </c>
      <c r="B53" s="639" t="s">
        <v>436</v>
      </c>
      <c r="C53" s="13" t="s">
        <v>976</v>
      </c>
      <c r="D53" s="13">
        <v>107</v>
      </c>
      <c r="E53" s="645" t="s">
        <v>43</v>
      </c>
      <c r="F53" s="17" t="s">
        <v>10</v>
      </c>
      <c r="G53" s="16">
        <v>40</v>
      </c>
      <c r="H53" s="252">
        <v>10</v>
      </c>
      <c r="I53" s="16">
        <v>1</v>
      </c>
      <c r="J53" s="471">
        <f t="shared" si="12"/>
        <v>0.25</v>
      </c>
      <c r="K53" s="30">
        <f>(824*3.1415)/1000</f>
        <v>2.5885959999999999</v>
      </c>
      <c r="L53" s="26">
        <f t="shared" si="13"/>
        <v>0.64714899999999997</v>
      </c>
      <c r="M53" s="43">
        <f t="shared" si="14"/>
        <v>129.4298</v>
      </c>
      <c r="N53" s="85">
        <v>200</v>
      </c>
      <c r="O53" s="8">
        <f t="shared" si="15"/>
        <v>0.64714899999999997</v>
      </c>
    </row>
    <row r="54" spans="1:15" s="0" customFormat="1" ht="15">
      <c r="A54" s="643"/>
      <c r="B54" s="640"/>
      <c r="C54" s="13" t="s">
        <v>978</v>
      </c>
      <c r="D54" s="13">
        <v>107</v>
      </c>
      <c r="E54" s="646"/>
      <c r="F54" s="17" t="s">
        <v>10</v>
      </c>
      <c r="G54" s="16">
        <v>25</v>
      </c>
      <c r="H54" s="252">
        <v>10</v>
      </c>
      <c r="I54" s="16">
        <v>1</v>
      </c>
      <c r="J54" s="471">
        <f t="shared" si="12"/>
        <v>0.40</v>
      </c>
      <c r="K54" s="30">
        <f>(824*3.1415)/1000</f>
        <v>2.5885959999999999</v>
      </c>
      <c r="L54" s="26">
        <f t="shared" si="13"/>
        <v>1.0354384000000001</v>
      </c>
      <c r="M54" s="43">
        <f t="shared" si="14"/>
        <v>182.23715840000003</v>
      </c>
      <c r="N54" s="85">
        <v>176</v>
      </c>
      <c r="O54" s="8">
        <f t="shared" si="15"/>
        <v>1.0354384000000001</v>
      </c>
    </row>
    <row r="55" spans="1:15" s="0" customFormat="1" ht="15">
      <c r="A55" s="644"/>
      <c r="B55" s="641"/>
      <c r="C55" s="13" t="s">
        <v>979</v>
      </c>
      <c r="D55" s="13">
        <v>107</v>
      </c>
      <c r="E55" s="647"/>
      <c r="F55" s="17" t="s">
        <v>10</v>
      </c>
      <c r="G55" s="16">
        <v>28.50</v>
      </c>
      <c r="H55" s="252">
        <v>10</v>
      </c>
      <c r="I55" s="16">
        <v>1</v>
      </c>
      <c r="J55" s="471">
        <f t="shared" si="12"/>
        <v>0.35087719298245612</v>
      </c>
      <c r="K55" s="30">
        <f>(824*3.1415*2)/1000</f>
        <v>5.1771919999999998</v>
      </c>
      <c r="L55" s="26">
        <f t="shared" si="13"/>
        <v>1.8165585964912279</v>
      </c>
      <c r="M55" s="43">
        <f t="shared" si="14"/>
        <v>363.31171929824558</v>
      </c>
      <c r="N55" s="85">
        <v>200</v>
      </c>
      <c r="O55" s="8">
        <f t="shared" si="15"/>
        <v>1.8165585964912279</v>
      </c>
    </row>
    <row r="56" spans="1:15" ht="15">
      <c r="A56" s="57" t="s">
        <v>629</v>
      </c>
      <c r="B56" s="56" t="s">
        <v>1001</v>
      </c>
      <c r="C56" s="13" t="s">
        <v>862</v>
      </c>
      <c r="D56" s="13">
        <v>224</v>
      </c>
      <c r="E56" s="13"/>
      <c r="F56" s="17"/>
      <c r="G56" s="28">
        <f>(600-25)/10</f>
        <v>57.50</v>
      </c>
      <c r="H56" s="440">
        <v>10</v>
      </c>
      <c r="I56" s="28">
        <v>2</v>
      </c>
      <c r="J56" s="441">
        <f t="shared" si="12"/>
        <v>0.34782608695652173</v>
      </c>
      <c r="K56" s="28">
        <v>1</v>
      </c>
      <c r="L56" s="267">
        <f t="shared" si="13"/>
        <v>0.34782608695652173</v>
      </c>
      <c r="M56" s="433">
        <f t="shared" si="14"/>
        <v>69.565217391304344</v>
      </c>
      <c r="N56" s="434">
        <v>200</v>
      </c>
      <c r="O56" s="435">
        <f t="shared" si="15"/>
        <v>0.17391304347826086</v>
      </c>
    </row>
    <row r="57" spans="1:15" s="0" customFormat="1" ht="15" customHeight="1">
      <c r="A57" s="645" t="s">
        <v>172</v>
      </c>
      <c r="B57" s="639" t="s">
        <v>121</v>
      </c>
      <c r="C57" s="13" t="s">
        <v>24</v>
      </c>
      <c r="D57" s="13">
        <v>110</v>
      </c>
      <c r="E57" s="13"/>
      <c r="F57" s="25" t="s">
        <v>173</v>
      </c>
      <c r="G57" s="30">
        <v>13</v>
      </c>
      <c r="H57" s="252">
        <v>10</v>
      </c>
      <c r="I57" s="16">
        <v>2</v>
      </c>
      <c r="J57" s="253">
        <f t="shared" si="12"/>
        <v>1.5384615384615385</v>
      </c>
      <c r="K57" s="16">
        <v>1</v>
      </c>
      <c r="L57" s="26">
        <f t="shared" si="13"/>
        <v>1.5384615384615385</v>
      </c>
      <c r="M57" s="43">
        <f t="shared" si="14"/>
        <v>307.69230769230774</v>
      </c>
      <c r="N57" s="43">
        <v>200</v>
      </c>
      <c r="O57" s="8">
        <f t="shared" si="15"/>
        <v>0.76923076923076927</v>
      </c>
    </row>
    <row r="58" spans="1:15" s="0" customFormat="1" ht="15">
      <c r="A58" s="646"/>
      <c r="B58" s="640"/>
      <c r="C58" s="13" t="s">
        <v>25</v>
      </c>
      <c r="D58" s="13">
        <v>110</v>
      </c>
      <c r="E58" s="13" t="s">
        <v>122</v>
      </c>
      <c r="F58" s="25" t="s">
        <v>10</v>
      </c>
      <c r="G58" s="16">
        <v>40</v>
      </c>
      <c r="H58" s="252">
        <v>10</v>
      </c>
      <c r="I58" s="16">
        <v>1</v>
      </c>
      <c r="J58" s="253">
        <f t="shared" si="12"/>
        <v>0.25</v>
      </c>
      <c r="K58" s="30">
        <f>920*3.1415*2/1000</f>
        <v>5.7803600000000008</v>
      </c>
      <c r="L58" s="26">
        <f t="shared" si="13"/>
        <v>1.4450900000000002</v>
      </c>
      <c r="M58" s="42">
        <f t="shared" si="14"/>
        <v>289.01800000000003</v>
      </c>
      <c r="N58" s="43">
        <v>200</v>
      </c>
      <c r="O58" s="8">
        <f t="shared" si="15"/>
        <v>1.4450900000000002</v>
      </c>
    </row>
    <row r="59" spans="1:15" s="0" customFormat="1" ht="15">
      <c r="A59" s="646"/>
      <c r="B59" s="640"/>
      <c r="C59" s="13" t="s">
        <v>981</v>
      </c>
      <c r="D59" s="13">
        <v>110</v>
      </c>
      <c r="E59" s="13"/>
      <c r="F59" s="25" t="s">
        <v>10</v>
      </c>
      <c r="G59" s="16">
        <v>25</v>
      </c>
      <c r="H59" s="252">
        <v>10</v>
      </c>
      <c r="I59" s="16">
        <v>1</v>
      </c>
      <c r="J59" s="253">
        <f t="shared" si="16" ref="J59:J68">H59/G59*I59</f>
        <v>0.40</v>
      </c>
      <c r="K59" s="30">
        <f>920*3.1415/1000</f>
        <v>2.8901800000000004</v>
      </c>
      <c r="L59" s="26">
        <f t="shared" si="17" ref="L59:L68">J59*K59</f>
        <v>1.1560720000000002</v>
      </c>
      <c r="M59" s="42">
        <f t="shared" si="18" ref="M59:M68">L59*N59</f>
        <v>203.46867200000003</v>
      </c>
      <c r="N59" s="43">
        <v>176</v>
      </c>
      <c r="O59" s="8">
        <f t="shared" si="19" ref="O59:O68">J59/I59*K59</f>
        <v>1.1560720000000002</v>
      </c>
    </row>
    <row r="60" spans="1:15" s="0" customFormat="1" ht="15">
      <c r="A60" s="647"/>
      <c r="B60" s="641"/>
      <c r="C60" s="13" t="s">
        <v>1015</v>
      </c>
      <c r="D60" s="13">
        <v>110</v>
      </c>
      <c r="E60" s="13"/>
      <c r="F60" s="4" t="s">
        <v>10</v>
      </c>
      <c r="G60" s="28">
        <v>25</v>
      </c>
      <c r="H60" s="437">
        <v>10</v>
      </c>
      <c r="I60" s="28">
        <v>1</v>
      </c>
      <c r="J60" s="438">
        <f t="shared" si="16"/>
        <v>0.40</v>
      </c>
      <c r="K60" s="436">
        <f>(920*3.1415)/1000</f>
        <v>2.8901800000000004</v>
      </c>
      <c r="L60" s="435">
        <f t="shared" si="17"/>
        <v>1.1560720000000002</v>
      </c>
      <c r="M60" s="266">
        <f t="shared" si="18"/>
        <v>203.46867200000003</v>
      </c>
      <c r="N60" s="433">
        <v>176</v>
      </c>
      <c r="O60" s="435">
        <f t="shared" si="19"/>
        <v>1.1560720000000002</v>
      </c>
    </row>
    <row r="61" spans="1:15" ht="15">
      <c r="A61" s="57" t="s">
        <v>1285</v>
      </c>
      <c r="B61" s="56" t="s">
        <v>1579</v>
      </c>
      <c r="C61" s="13" t="s">
        <v>1454</v>
      </c>
      <c r="D61" s="13">
        <v>110</v>
      </c>
      <c r="E61" s="13"/>
      <c r="F61" s="13" t="s">
        <v>353</v>
      </c>
      <c r="G61" s="442">
        <v>18.10</v>
      </c>
      <c r="H61" s="440">
        <v>10</v>
      </c>
      <c r="I61" s="28">
        <v>1</v>
      </c>
      <c r="J61" s="441">
        <f t="shared" si="16"/>
        <v>0.55248618784530379</v>
      </c>
      <c r="K61" s="432">
        <v>1</v>
      </c>
      <c r="L61" s="435">
        <f t="shared" si="17"/>
        <v>0.55248618784530379</v>
      </c>
      <c r="M61" s="266">
        <f t="shared" si="18"/>
        <v>110.49723756906076</v>
      </c>
      <c r="N61" s="433">
        <v>200</v>
      </c>
      <c r="O61" s="435">
        <f t="shared" si="19"/>
        <v>0.55248618784530379</v>
      </c>
    </row>
    <row r="62" spans="1:15" ht="15" customHeight="1">
      <c r="A62" s="57" t="s">
        <v>648</v>
      </c>
      <c r="B62" s="567" t="s">
        <v>1580</v>
      </c>
      <c r="C62" s="13" t="s">
        <v>1455</v>
      </c>
      <c r="D62" s="13">
        <v>110</v>
      </c>
      <c r="E62" s="13"/>
      <c r="F62" s="13" t="s">
        <v>10</v>
      </c>
      <c r="G62" s="28">
        <v>40</v>
      </c>
      <c r="H62" s="440">
        <v>10</v>
      </c>
      <c r="I62" s="28">
        <v>1</v>
      </c>
      <c r="J62" s="453">
        <f t="shared" si="16"/>
        <v>0.25</v>
      </c>
      <c r="K62" s="436">
        <f>196*2/1000</f>
        <v>0.39200000000000002</v>
      </c>
      <c r="L62" s="267">
        <f t="shared" si="17"/>
        <v>0.098000000000000004</v>
      </c>
      <c r="M62" s="433">
        <f t="shared" si="18"/>
        <v>19.60</v>
      </c>
      <c r="N62" s="434">
        <v>200</v>
      </c>
      <c r="O62" s="435">
        <f t="shared" si="19"/>
        <v>0.098000000000000004</v>
      </c>
    </row>
    <row r="63" spans="1:15" ht="15">
      <c r="A63" s="57" t="s">
        <v>1288</v>
      </c>
      <c r="B63" s="56" t="s">
        <v>1581</v>
      </c>
      <c r="C63" s="13" t="s">
        <v>1454</v>
      </c>
      <c r="D63" s="13">
        <v>110</v>
      </c>
      <c r="E63" s="13"/>
      <c r="F63" s="13" t="s">
        <v>353</v>
      </c>
      <c r="G63" s="442">
        <f>18.1/0.65</f>
        <v>27.846153846153847</v>
      </c>
      <c r="H63" s="440">
        <v>10</v>
      </c>
      <c r="I63" s="28">
        <v>1</v>
      </c>
      <c r="J63" s="441">
        <f t="shared" si="16"/>
        <v>0.35911602209944748</v>
      </c>
      <c r="K63" s="432">
        <v>1</v>
      </c>
      <c r="L63" s="435">
        <f t="shared" si="17"/>
        <v>0.35911602209944748</v>
      </c>
      <c r="M63" s="266">
        <f t="shared" si="18"/>
        <v>71.823204419889493</v>
      </c>
      <c r="N63" s="433">
        <v>200</v>
      </c>
      <c r="O63" s="435">
        <f t="shared" si="19"/>
        <v>0.35911602209944748</v>
      </c>
    </row>
    <row r="64" spans="1:15" ht="15">
      <c r="A64" s="57" t="s">
        <v>176</v>
      </c>
      <c r="B64" s="56" t="s">
        <v>1453</v>
      </c>
      <c r="C64" s="13" t="s">
        <v>154</v>
      </c>
      <c r="D64" s="13">
        <v>124</v>
      </c>
      <c r="E64" s="13"/>
      <c r="F64" s="13" t="s">
        <v>354</v>
      </c>
      <c r="G64" s="442">
        <v>13</v>
      </c>
      <c r="H64" s="440">
        <v>10</v>
      </c>
      <c r="I64" s="28">
        <v>1</v>
      </c>
      <c r="J64" s="441">
        <f t="shared" si="16"/>
        <v>0.76923076923076927</v>
      </c>
      <c r="K64" s="432">
        <v>1</v>
      </c>
      <c r="L64" s="267">
        <f t="shared" si="17"/>
        <v>0.76923076923076927</v>
      </c>
      <c r="M64" s="433">
        <f t="shared" si="18"/>
        <v>153.84615384615387</v>
      </c>
      <c r="N64" s="434">
        <v>200</v>
      </c>
      <c r="O64" s="435">
        <f t="shared" si="19"/>
        <v>0.76923076923076927</v>
      </c>
    </row>
    <row r="65" spans="1:15" ht="30">
      <c r="A65" s="57" t="s">
        <v>1289</v>
      </c>
      <c r="B65" s="56" t="s">
        <v>1582</v>
      </c>
      <c r="C65" s="13" t="s">
        <v>24</v>
      </c>
      <c r="D65" s="13" t="s">
        <v>1352</v>
      </c>
      <c r="E65" s="13"/>
      <c r="F65" s="4" t="s">
        <v>38</v>
      </c>
      <c r="G65" s="442">
        <v>20</v>
      </c>
      <c r="H65" s="440">
        <v>10</v>
      </c>
      <c r="I65" s="28">
        <v>2</v>
      </c>
      <c r="J65" s="441">
        <f t="shared" si="16"/>
        <v>1</v>
      </c>
      <c r="K65" s="28">
        <v>1</v>
      </c>
      <c r="L65" s="267">
        <f t="shared" si="17"/>
        <v>1</v>
      </c>
      <c r="M65" s="433">
        <f t="shared" si="18"/>
        <v>200</v>
      </c>
      <c r="N65" s="434">
        <v>200</v>
      </c>
      <c r="O65" s="435">
        <f t="shared" si="19"/>
        <v>0.50</v>
      </c>
    </row>
    <row r="66" spans="1:15" ht="30">
      <c r="A66" s="13" t="s">
        <v>1290</v>
      </c>
      <c r="B66" s="56" t="s">
        <v>1583</v>
      </c>
      <c r="C66" s="13" t="s">
        <v>160</v>
      </c>
      <c r="D66" s="13" t="s">
        <v>1352</v>
      </c>
      <c r="E66" s="13" t="s">
        <v>869</v>
      </c>
      <c r="F66" s="13" t="s">
        <v>10</v>
      </c>
      <c r="G66" s="28">
        <v>40</v>
      </c>
      <c r="H66" s="440">
        <v>10</v>
      </c>
      <c r="I66" s="28">
        <v>1</v>
      </c>
      <c r="J66" s="441">
        <f t="shared" si="16"/>
        <v>0.25</v>
      </c>
      <c r="K66" s="436">
        <f>629*3.1415*2/1000</f>
        <v>3.952007</v>
      </c>
      <c r="L66" s="267">
        <f t="shared" si="17"/>
        <v>0.98800175000000001</v>
      </c>
      <c r="M66" s="433">
        <f t="shared" si="18"/>
        <v>197.60034999999999</v>
      </c>
      <c r="N66" s="434">
        <v>200</v>
      </c>
      <c r="O66" s="435">
        <f t="shared" si="19"/>
        <v>0.98800175000000001</v>
      </c>
    </row>
    <row r="67" spans="1:15" ht="30">
      <c r="A67" s="57" t="s">
        <v>1291</v>
      </c>
      <c r="B67" s="56" t="s">
        <v>1584</v>
      </c>
      <c r="C67" s="13" t="s">
        <v>24</v>
      </c>
      <c r="D67" s="13">
        <v>110</v>
      </c>
      <c r="E67" s="13"/>
      <c r="F67" s="4" t="s">
        <v>38</v>
      </c>
      <c r="G67" s="442">
        <v>20</v>
      </c>
      <c r="H67" s="440">
        <v>10</v>
      </c>
      <c r="I67" s="28">
        <v>2</v>
      </c>
      <c r="J67" s="441">
        <f t="shared" si="16"/>
        <v>1</v>
      </c>
      <c r="K67" s="28">
        <v>1</v>
      </c>
      <c r="L67" s="267">
        <f t="shared" si="17"/>
        <v>1</v>
      </c>
      <c r="M67" s="433">
        <f t="shared" si="18"/>
        <v>200</v>
      </c>
      <c r="N67" s="434">
        <v>200</v>
      </c>
      <c r="O67" s="435">
        <f t="shared" si="19"/>
        <v>0.50</v>
      </c>
    </row>
    <row r="68" spans="1:15" ht="30">
      <c r="A68" s="13" t="s">
        <v>177</v>
      </c>
      <c r="B68" s="56" t="s">
        <v>1585</v>
      </c>
      <c r="C68" s="13" t="s">
        <v>160</v>
      </c>
      <c r="D68" s="13">
        <v>110</v>
      </c>
      <c r="E68" s="13" t="s">
        <v>869</v>
      </c>
      <c r="F68" s="13" t="s">
        <v>10</v>
      </c>
      <c r="G68" s="28">
        <v>40</v>
      </c>
      <c r="H68" s="440">
        <v>10</v>
      </c>
      <c r="I68" s="28">
        <v>1</v>
      </c>
      <c r="J68" s="441">
        <f t="shared" si="16"/>
        <v>0.25</v>
      </c>
      <c r="K68" s="436">
        <f>650*3.1415*2/1000</f>
        <v>4.0839500000000006</v>
      </c>
      <c r="L68" s="267">
        <f t="shared" si="17"/>
        <v>1.0209875000000002</v>
      </c>
      <c r="M68" s="433">
        <f t="shared" si="18"/>
        <v>204.19750000000002</v>
      </c>
      <c r="N68" s="434">
        <v>200</v>
      </c>
      <c r="O68" s="435">
        <f t="shared" si="19"/>
        <v>1.0209875000000002</v>
      </c>
    </row>
    <row r="69" spans="1:15" ht="15">
      <c r="A69" s="39"/>
      <c r="B69" s="690" t="s">
        <v>131</v>
      </c>
      <c r="C69" s="691"/>
      <c r="D69" s="691"/>
      <c r="E69" s="691"/>
      <c r="F69" s="691"/>
      <c r="G69" s="691"/>
      <c r="H69" s="691"/>
      <c r="I69" s="691"/>
      <c r="J69" s="691"/>
      <c r="K69" s="692"/>
      <c r="L69" s="267"/>
      <c r="M69" s="262">
        <f>SUM(M70:M93)</f>
        <v>5763.9367866533639</v>
      </c>
      <c r="N69" s="263"/>
      <c r="O69" s="264">
        <f>SUM(O70:O93)</f>
        <v>22.949800431220577</v>
      </c>
    </row>
    <row r="70" spans="1:15" s="0" customFormat="1" ht="15">
      <c r="A70" s="642" t="s">
        <v>651</v>
      </c>
      <c r="B70" s="639" t="s">
        <v>1051</v>
      </c>
      <c r="C70" s="13" t="s">
        <v>1052</v>
      </c>
      <c r="D70" s="13">
        <v>106</v>
      </c>
      <c r="E70" s="13"/>
      <c r="F70" s="13" t="s">
        <v>1053</v>
      </c>
      <c r="G70" s="442">
        <v>20</v>
      </c>
      <c r="H70" s="437">
        <v>10</v>
      </c>
      <c r="I70" s="28">
        <v>2</v>
      </c>
      <c r="J70" s="438">
        <f t="shared" si="20" ref="J70:J72">H70/G70*I70</f>
        <v>1</v>
      </c>
      <c r="K70" s="442">
        <v>1</v>
      </c>
      <c r="L70" s="267">
        <f t="shared" si="21" ref="L70:L72">J70*K70</f>
        <v>1</v>
      </c>
      <c r="M70" s="433">
        <f>L70*N70</f>
        <v>200</v>
      </c>
      <c r="N70" s="478">
        <v>200</v>
      </c>
      <c r="O70" s="267">
        <f t="shared" si="22" ref="O70:O72">J70/I70*K70</f>
        <v>0.50</v>
      </c>
    </row>
    <row r="71" spans="1:15" ht="15">
      <c r="A71" s="643"/>
      <c r="B71" s="640"/>
      <c r="C71" s="13" t="s">
        <v>1003</v>
      </c>
      <c r="D71" s="13">
        <v>106</v>
      </c>
      <c r="E71" s="13"/>
      <c r="F71" s="13" t="s">
        <v>10</v>
      </c>
      <c r="G71" s="442">
        <v>40</v>
      </c>
      <c r="H71" s="437">
        <v>10</v>
      </c>
      <c r="I71" s="28">
        <v>1</v>
      </c>
      <c r="J71" s="468">
        <f t="shared" si="20"/>
        <v>0.25</v>
      </c>
      <c r="K71" s="442">
        <f>(720)/1000</f>
        <v>0.72</v>
      </c>
      <c r="L71" s="267">
        <f t="shared" si="21"/>
        <v>0.18</v>
      </c>
      <c r="M71" s="266">
        <f t="shared" si="23" ref="M71">L71*N71</f>
        <v>36</v>
      </c>
      <c r="N71" s="433">
        <v>200</v>
      </c>
      <c r="O71" s="267">
        <f t="shared" si="22"/>
        <v>0.18</v>
      </c>
    </row>
    <row r="72" spans="1:15" s="0" customFormat="1" ht="15">
      <c r="A72" s="643"/>
      <c r="B72" s="640"/>
      <c r="C72" s="13" t="s">
        <v>1659</v>
      </c>
      <c r="D72" s="13">
        <v>106</v>
      </c>
      <c r="E72" s="13" t="s">
        <v>44</v>
      </c>
      <c r="F72" s="13" t="s">
        <v>10</v>
      </c>
      <c r="G72" s="442">
        <v>27</v>
      </c>
      <c r="H72" s="437">
        <v>10</v>
      </c>
      <c r="I72" s="28">
        <v>1</v>
      </c>
      <c r="J72" s="438">
        <f t="shared" si="20"/>
        <v>0.37037037037037035</v>
      </c>
      <c r="K72" s="442">
        <f>(720)*2/1000+0.2</f>
        <v>1.64</v>
      </c>
      <c r="L72" s="267">
        <f t="shared" si="21"/>
        <v>0.60740740740740728</v>
      </c>
      <c r="M72" s="266">
        <f>L72*N72</f>
        <v>121.48148148148145</v>
      </c>
      <c r="N72" s="433">
        <v>200</v>
      </c>
      <c r="O72" s="267">
        <f t="shared" si="22"/>
        <v>0.60740740740740728</v>
      </c>
    </row>
    <row r="73" spans="1:15" s="0" customFormat="1" ht="15">
      <c r="A73" s="642" t="s">
        <v>182</v>
      </c>
      <c r="B73" s="639" t="s">
        <v>183</v>
      </c>
      <c r="C73" s="13" t="s">
        <v>184</v>
      </c>
      <c r="D73" s="13">
        <v>105</v>
      </c>
      <c r="E73" s="13"/>
      <c r="F73" s="17" t="s">
        <v>353</v>
      </c>
      <c r="G73" s="16">
        <v>10.37</v>
      </c>
      <c r="H73" s="252">
        <v>10</v>
      </c>
      <c r="I73" s="16">
        <v>1</v>
      </c>
      <c r="J73" s="253">
        <f t="shared" si="24" ref="J73:J93">H73/G73*I73</f>
        <v>0.96432015429122475</v>
      </c>
      <c r="K73" s="52">
        <v>1</v>
      </c>
      <c r="L73" s="8">
        <f t="shared" si="25" ref="L73:L93">J73*K73</f>
        <v>0.96432015429122475</v>
      </c>
      <c r="M73" s="42">
        <f t="shared" si="26" ref="M73:M93">L73*N73</f>
        <v>192.86403085824494</v>
      </c>
      <c r="N73" s="43">
        <v>200</v>
      </c>
      <c r="O73" s="8">
        <f t="shared" si="27" ref="O73:O93">J73/I73*K73</f>
        <v>0.96432015429122475</v>
      </c>
    </row>
    <row r="74" spans="1:15" s="0" customFormat="1" ht="15">
      <c r="A74" s="644"/>
      <c r="B74" s="641"/>
      <c r="C74" s="13" t="s">
        <v>1002</v>
      </c>
      <c r="D74" s="13">
        <v>105</v>
      </c>
      <c r="E74" s="13"/>
      <c r="F74" s="17" t="s">
        <v>353</v>
      </c>
      <c r="G74" s="16">
        <v>10.37</v>
      </c>
      <c r="H74" s="252">
        <v>10</v>
      </c>
      <c r="I74" s="16">
        <v>1</v>
      </c>
      <c r="J74" s="253">
        <f t="shared" si="24"/>
        <v>0.96432015429122475</v>
      </c>
      <c r="K74" s="52">
        <v>1</v>
      </c>
      <c r="L74" s="8">
        <f t="shared" si="25"/>
        <v>0.96432015429122475</v>
      </c>
      <c r="M74" s="42">
        <f t="shared" si="26"/>
        <v>192.86403085824494</v>
      </c>
      <c r="N74" s="43">
        <v>200</v>
      </c>
      <c r="O74" s="8">
        <f t="shared" si="27"/>
        <v>0.96432015429122475</v>
      </c>
    </row>
    <row r="75" spans="1:15" ht="30">
      <c r="A75" s="57" t="s">
        <v>185</v>
      </c>
      <c r="B75" s="56" t="s">
        <v>186</v>
      </c>
      <c r="C75" s="13" t="s">
        <v>187</v>
      </c>
      <c r="D75" s="13">
        <v>105</v>
      </c>
      <c r="E75" s="13"/>
      <c r="F75" s="13" t="s">
        <v>522</v>
      </c>
      <c r="G75" s="28">
        <v>55</v>
      </c>
      <c r="H75" s="440">
        <v>10</v>
      </c>
      <c r="I75" s="28">
        <v>1</v>
      </c>
      <c r="J75" s="441">
        <f t="shared" si="24"/>
        <v>0.18181818181818182</v>
      </c>
      <c r="K75" s="432">
        <v>5</v>
      </c>
      <c r="L75" s="435">
        <f t="shared" si="25"/>
        <v>0.90909090909090917</v>
      </c>
      <c r="M75" s="266">
        <f t="shared" si="26"/>
        <v>181.81818181818184</v>
      </c>
      <c r="N75" s="433">
        <v>200</v>
      </c>
      <c r="O75" s="435">
        <f t="shared" si="27"/>
        <v>0.90909090909090917</v>
      </c>
    </row>
    <row r="76" spans="1:15" ht="15">
      <c r="A76" s="642" t="s">
        <v>188</v>
      </c>
      <c r="B76" s="693" t="s">
        <v>438</v>
      </c>
      <c r="C76" s="13" t="s">
        <v>983</v>
      </c>
      <c r="D76" s="13">
        <v>109</v>
      </c>
      <c r="E76" s="645" t="s">
        <v>44</v>
      </c>
      <c r="F76" s="13" t="s">
        <v>10</v>
      </c>
      <c r="G76" s="28">
        <v>40</v>
      </c>
      <c r="H76" s="440">
        <v>10</v>
      </c>
      <c r="I76" s="28">
        <v>1</v>
      </c>
      <c r="J76" s="453">
        <f t="shared" si="24"/>
        <v>0.25</v>
      </c>
      <c r="K76" s="436">
        <f>(1480)/1000</f>
        <v>1.48</v>
      </c>
      <c r="L76" s="267">
        <f t="shared" si="25"/>
        <v>0.37</v>
      </c>
      <c r="M76" s="433">
        <f t="shared" si="26"/>
        <v>74</v>
      </c>
      <c r="N76" s="434">
        <v>200</v>
      </c>
      <c r="O76" s="435">
        <f t="shared" si="27"/>
        <v>0.37</v>
      </c>
    </row>
    <row r="77" spans="1:15" ht="15">
      <c r="A77" s="643"/>
      <c r="B77" s="694"/>
      <c r="C77" s="13" t="s">
        <v>189</v>
      </c>
      <c r="D77" s="13">
        <v>109</v>
      </c>
      <c r="E77" s="647"/>
      <c r="F77" s="13" t="s">
        <v>10</v>
      </c>
      <c r="G77" s="28">
        <v>27</v>
      </c>
      <c r="H77" s="440">
        <v>10</v>
      </c>
      <c r="I77" s="28">
        <v>1</v>
      </c>
      <c r="J77" s="441">
        <f t="shared" si="24"/>
        <v>0.37037037037037035</v>
      </c>
      <c r="K77" s="436">
        <f>(1480*2)/1000+0.2</f>
        <v>3.16</v>
      </c>
      <c r="L77" s="435">
        <f t="shared" si="25"/>
        <v>1.1703703703703703</v>
      </c>
      <c r="M77" s="266">
        <f t="shared" si="26"/>
        <v>234.07407407407405</v>
      </c>
      <c r="N77" s="433">
        <v>200</v>
      </c>
      <c r="O77" s="435">
        <f t="shared" si="27"/>
        <v>1.1703703703703703</v>
      </c>
    </row>
    <row r="78" spans="1:15" ht="15">
      <c r="A78" s="643"/>
      <c r="B78" s="694"/>
      <c r="C78" s="13" t="s">
        <v>1003</v>
      </c>
      <c r="D78" s="13">
        <v>109</v>
      </c>
      <c r="E78" s="637" t="s">
        <v>44</v>
      </c>
      <c r="F78" s="13" t="s">
        <v>10</v>
      </c>
      <c r="G78" s="28">
        <v>40</v>
      </c>
      <c r="H78" s="440">
        <v>10</v>
      </c>
      <c r="I78" s="28">
        <v>1</v>
      </c>
      <c r="J78" s="453">
        <f t="shared" si="24"/>
        <v>0.25</v>
      </c>
      <c r="K78" s="436">
        <f>(720)/1000</f>
        <v>0.72</v>
      </c>
      <c r="L78" s="267">
        <f t="shared" si="25"/>
        <v>0.18</v>
      </c>
      <c r="M78" s="433">
        <f t="shared" si="26"/>
        <v>36</v>
      </c>
      <c r="N78" s="434">
        <v>200</v>
      </c>
      <c r="O78" s="435">
        <f t="shared" si="27"/>
        <v>0.18</v>
      </c>
    </row>
    <row r="79" spans="1:15" ht="15">
      <c r="A79" s="644"/>
      <c r="B79" s="695"/>
      <c r="C79" s="13" t="s">
        <v>1004</v>
      </c>
      <c r="D79" s="13">
        <v>109</v>
      </c>
      <c r="E79" s="637"/>
      <c r="F79" s="13" t="s">
        <v>10</v>
      </c>
      <c r="G79" s="28">
        <v>27</v>
      </c>
      <c r="H79" s="440">
        <v>10</v>
      </c>
      <c r="I79" s="28">
        <v>1</v>
      </c>
      <c r="J79" s="441">
        <f t="shared" si="24"/>
        <v>0.37037037037037035</v>
      </c>
      <c r="K79" s="436">
        <f>(720*2)/1000+0.2</f>
        <v>1.64</v>
      </c>
      <c r="L79" s="435">
        <f t="shared" si="25"/>
        <v>0.60740740740740728</v>
      </c>
      <c r="M79" s="266">
        <f t="shared" si="26"/>
        <v>121.48148148148145</v>
      </c>
      <c r="N79" s="433">
        <v>200</v>
      </c>
      <c r="O79" s="435">
        <f t="shared" si="27"/>
        <v>0.60740740740740728</v>
      </c>
    </row>
    <row r="80" spans="1:15" ht="15">
      <c r="A80" s="642" t="s">
        <v>437</v>
      </c>
      <c r="B80" s="639" t="s">
        <v>439</v>
      </c>
      <c r="C80" s="13" t="s">
        <v>986</v>
      </c>
      <c r="D80" s="13">
        <v>107</v>
      </c>
      <c r="E80" s="637" t="s">
        <v>43</v>
      </c>
      <c r="F80" s="13" t="s">
        <v>10</v>
      </c>
      <c r="G80" s="28">
        <v>25</v>
      </c>
      <c r="H80" s="440">
        <v>10</v>
      </c>
      <c r="I80" s="28">
        <v>1</v>
      </c>
      <c r="J80" s="453">
        <f t="shared" si="24"/>
        <v>0.40</v>
      </c>
      <c r="K80" s="436">
        <f>(1480*2)/1000</f>
        <v>2.96</v>
      </c>
      <c r="L80" s="267">
        <f t="shared" si="25"/>
        <v>1.1839999999999999</v>
      </c>
      <c r="M80" s="433">
        <f t="shared" si="26"/>
        <v>208.38399999999999</v>
      </c>
      <c r="N80" s="434">
        <v>176</v>
      </c>
      <c r="O80" s="435">
        <f t="shared" si="27"/>
        <v>1.1839999999999999</v>
      </c>
    </row>
    <row r="81" spans="1:15" ht="15">
      <c r="A81" s="643"/>
      <c r="B81" s="640"/>
      <c r="C81" s="13" t="s">
        <v>987</v>
      </c>
      <c r="D81" s="13">
        <v>107</v>
      </c>
      <c r="E81" s="637"/>
      <c r="F81" s="13" t="s">
        <v>10</v>
      </c>
      <c r="G81" s="28">
        <v>28.50</v>
      </c>
      <c r="H81" s="440">
        <v>10</v>
      </c>
      <c r="I81" s="28">
        <v>1</v>
      </c>
      <c r="J81" s="453">
        <f t="shared" si="24"/>
        <v>0.35087719298245612</v>
      </c>
      <c r="K81" s="436">
        <f>1480*2/1000+0.2</f>
        <v>3.16</v>
      </c>
      <c r="L81" s="267">
        <f t="shared" si="25"/>
        <v>1.1087719298245613</v>
      </c>
      <c r="M81" s="433">
        <f t="shared" si="26"/>
        <v>221.75438596491227</v>
      </c>
      <c r="N81" s="434">
        <v>200</v>
      </c>
      <c r="O81" s="435">
        <f t="shared" si="27"/>
        <v>1.1087719298245613</v>
      </c>
    </row>
    <row r="82" spans="1:15" ht="15">
      <c r="A82" s="643"/>
      <c r="B82" s="640"/>
      <c r="C82" s="13" t="s">
        <v>1005</v>
      </c>
      <c r="D82" s="13">
        <v>107</v>
      </c>
      <c r="E82" s="637" t="s">
        <v>43</v>
      </c>
      <c r="F82" s="13" t="s">
        <v>10</v>
      </c>
      <c r="G82" s="28">
        <v>25</v>
      </c>
      <c r="H82" s="440">
        <v>10</v>
      </c>
      <c r="I82" s="28">
        <v>1</v>
      </c>
      <c r="J82" s="453">
        <f t="shared" si="24"/>
        <v>0.40</v>
      </c>
      <c r="K82" s="436">
        <f>(720*2)/1000</f>
        <v>1.44</v>
      </c>
      <c r="L82" s="267">
        <f t="shared" si="25"/>
        <v>0.57599999999999996</v>
      </c>
      <c r="M82" s="433">
        <f t="shared" si="26"/>
        <v>101.37599999999999</v>
      </c>
      <c r="N82" s="434">
        <v>176</v>
      </c>
      <c r="O82" s="435">
        <f t="shared" si="27"/>
        <v>0.57599999999999996</v>
      </c>
    </row>
    <row r="83" spans="1:15" ht="15">
      <c r="A83" s="644"/>
      <c r="B83" s="641"/>
      <c r="C83" s="13" t="s">
        <v>1006</v>
      </c>
      <c r="D83" s="13">
        <v>107</v>
      </c>
      <c r="E83" s="637"/>
      <c r="F83" s="13" t="s">
        <v>10</v>
      </c>
      <c r="G83" s="28">
        <v>28.50</v>
      </c>
      <c r="H83" s="440">
        <v>10</v>
      </c>
      <c r="I83" s="28">
        <v>1</v>
      </c>
      <c r="J83" s="453">
        <f t="shared" si="24"/>
        <v>0.35087719298245612</v>
      </c>
      <c r="K83" s="436">
        <f>720*2/1000+0.2</f>
        <v>1.64</v>
      </c>
      <c r="L83" s="267">
        <f t="shared" si="25"/>
        <v>0.57543859649122797</v>
      </c>
      <c r="M83" s="433">
        <f t="shared" si="26"/>
        <v>115.08771929824559</v>
      </c>
      <c r="N83" s="434">
        <v>200</v>
      </c>
      <c r="O83" s="435">
        <f t="shared" si="27"/>
        <v>0.57543859649122797</v>
      </c>
    </row>
    <row r="84" spans="1:15" s="0" customFormat="1" ht="15">
      <c r="A84" s="650" t="s">
        <v>190</v>
      </c>
      <c r="B84" s="638" t="s">
        <v>191</v>
      </c>
      <c r="C84" s="13" t="s">
        <v>24</v>
      </c>
      <c r="D84" s="13">
        <v>111</v>
      </c>
      <c r="E84" s="13"/>
      <c r="F84" s="25" t="s">
        <v>45</v>
      </c>
      <c r="G84" s="16">
        <v>6.215</v>
      </c>
      <c r="H84" s="252">
        <v>10</v>
      </c>
      <c r="I84" s="16">
        <v>2</v>
      </c>
      <c r="J84" s="253">
        <f t="shared" si="24"/>
        <v>3.2180209171359615</v>
      </c>
      <c r="K84" s="16">
        <v>1</v>
      </c>
      <c r="L84" s="26">
        <f t="shared" si="25"/>
        <v>3.2180209171359615</v>
      </c>
      <c r="M84" s="43">
        <f t="shared" si="26"/>
        <v>643.60418342719231</v>
      </c>
      <c r="N84" s="85">
        <v>200</v>
      </c>
      <c r="O84" s="8">
        <f t="shared" si="27"/>
        <v>1.6090104585679808</v>
      </c>
    </row>
    <row r="85" spans="1:15" s="0" customFormat="1" ht="15">
      <c r="A85" s="650"/>
      <c r="B85" s="638"/>
      <c r="C85" s="13" t="s">
        <v>106</v>
      </c>
      <c r="D85" s="54">
        <v>111</v>
      </c>
      <c r="E85" s="645" t="s">
        <v>122</v>
      </c>
      <c r="F85" s="17" t="s">
        <v>10</v>
      </c>
      <c r="G85" s="16">
        <v>40</v>
      </c>
      <c r="H85" s="252">
        <v>10</v>
      </c>
      <c r="I85" s="16">
        <v>1</v>
      </c>
      <c r="J85" s="253">
        <f t="shared" si="24"/>
        <v>0.25</v>
      </c>
      <c r="K85" s="16">
        <f>4205/1000</f>
        <v>4.205</v>
      </c>
      <c r="L85" s="26">
        <f t="shared" si="25"/>
        <v>1.05125</v>
      </c>
      <c r="M85" s="43">
        <f t="shared" si="26"/>
        <v>210.25</v>
      </c>
      <c r="N85" s="85">
        <v>200</v>
      </c>
      <c r="O85" s="8">
        <f t="shared" si="27"/>
        <v>1.05125</v>
      </c>
    </row>
    <row r="86" spans="1:15" s="0" customFormat="1" ht="15">
      <c r="A86" s="650"/>
      <c r="B86" s="638"/>
      <c r="C86" s="4" t="s">
        <v>511</v>
      </c>
      <c r="D86" s="487">
        <v>111</v>
      </c>
      <c r="E86" s="646"/>
      <c r="F86" s="25" t="s">
        <v>10</v>
      </c>
      <c r="G86" s="16">
        <v>25</v>
      </c>
      <c r="H86" s="252">
        <v>10</v>
      </c>
      <c r="I86" s="16">
        <v>1</v>
      </c>
      <c r="J86" s="253">
        <f t="shared" si="24"/>
        <v>0.40</v>
      </c>
      <c r="K86" s="16">
        <f>4205/1000</f>
        <v>4.205</v>
      </c>
      <c r="L86" s="26">
        <f t="shared" si="25"/>
        <v>1.6820000000000002</v>
      </c>
      <c r="M86" s="42">
        <f t="shared" si="26"/>
        <v>296.03200000000004</v>
      </c>
      <c r="N86" s="43">
        <v>176</v>
      </c>
      <c r="O86" s="8">
        <f t="shared" si="27"/>
        <v>1.6820000000000002</v>
      </c>
    </row>
    <row r="87" spans="1:15" s="0" customFormat="1" ht="15">
      <c r="A87" s="650"/>
      <c r="B87" s="638"/>
      <c r="C87" s="13" t="s">
        <v>990</v>
      </c>
      <c r="D87" s="90">
        <v>111</v>
      </c>
      <c r="E87" s="647"/>
      <c r="F87" s="17" t="s">
        <v>10</v>
      </c>
      <c r="G87" s="16">
        <v>40</v>
      </c>
      <c r="H87" s="252">
        <v>10</v>
      </c>
      <c r="I87" s="16">
        <v>1</v>
      </c>
      <c r="J87" s="253">
        <f t="shared" si="24"/>
        <v>0.25</v>
      </c>
      <c r="K87" s="16">
        <f>4205*2/1000</f>
        <v>8.41</v>
      </c>
      <c r="L87" s="26">
        <f t="shared" si="25"/>
        <v>2.1025</v>
      </c>
      <c r="M87" s="43">
        <f t="shared" si="26"/>
        <v>420.50</v>
      </c>
      <c r="N87" s="85">
        <v>200</v>
      </c>
      <c r="O87" s="8">
        <f t="shared" si="27"/>
        <v>2.1025</v>
      </c>
    </row>
    <row r="88" spans="1:15" s="0" customFormat="1" ht="15">
      <c r="A88" s="57" t="s">
        <v>348</v>
      </c>
      <c r="B88" s="56" t="s">
        <v>1007</v>
      </c>
      <c r="C88" s="17" t="s">
        <v>523</v>
      </c>
      <c r="D88" s="17">
        <v>224</v>
      </c>
      <c r="E88" s="13"/>
      <c r="F88" s="17"/>
      <c r="G88" s="16">
        <f>600/10</f>
        <v>60</v>
      </c>
      <c r="H88" s="252">
        <v>10</v>
      </c>
      <c r="I88" s="16">
        <v>1</v>
      </c>
      <c r="J88" s="253">
        <f t="shared" si="24"/>
        <v>0.16666666666666666</v>
      </c>
      <c r="K88" s="52">
        <v>3</v>
      </c>
      <c r="L88" s="8">
        <f t="shared" si="25"/>
        <v>0.50</v>
      </c>
      <c r="M88" s="42">
        <f t="shared" si="26"/>
        <v>100</v>
      </c>
      <c r="N88" s="43">
        <v>200</v>
      </c>
      <c r="O88" s="8">
        <f t="shared" si="27"/>
        <v>0.50</v>
      </c>
    </row>
    <row r="89" spans="1:15" ht="15">
      <c r="A89" s="57" t="s">
        <v>325</v>
      </c>
      <c r="B89" s="56" t="s">
        <v>327</v>
      </c>
      <c r="C89" s="13" t="s">
        <v>326</v>
      </c>
      <c r="D89" s="13">
        <v>112</v>
      </c>
      <c r="E89" s="13"/>
      <c r="F89" s="13" t="s">
        <v>513</v>
      </c>
      <c r="G89" s="28">
        <v>10</v>
      </c>
      <c r="H89" s="440">
        <v>10</v>
      </c>
      <c r="I89" s="28">
        <v>2</v>
      </c>
      <c r="J89" s="441">
        <f t="shared" si="24"/>
        <v>2</v>
      </c>
      <c r="K89" s="432">
        <v>1</v>
      </c>
      <c r="L89" s="435">
        <f t="shared" si="25"/>
        <v>2</v>
      </c>
      <c r="M89" s="266">
        <f t="shared" si="26"/>
        <v>400</v>
      </c>
      <c r="N89" s="433">
        <v>200</v>
      </c>
      <c r="O89" s="435">
        <f t="shared" si="27"/>
        <v>1</v>
      </c>
    </row>
    <row r="90" spans="1:15" s="0" customFormat="1" ht="15">
      <c r="A90" s="637" t="s">
        <v>197</v>
      </c>
      <c r="B90" s="638" t="s">
        <v>110</v>
      </c>
      <c r="C90" s="13" t="s">
        <v>47</v>
      </c>
      <c r="D90" s="13">
        <v>112</v>
      </c>
      <c r="E90" s="13"/>
      <c r="F90" s="25" t="s">
        <v>111</v>
      </c>
      <c r="G90" s="16">
        <v>5</v>
      </c>
      <c r="H90" s="252">
        <v>10</v>
      </c>
      <c r="I90" s="16">
        <v>2</v>
      </c>
      <c r="J90" s="253">
        <f t="shared" si="24"/>
        <v>4</v>
      </c>
      <c r="K90" s="16">
        <v>1</v>
      </c>
      <c r="L90" s="26">
        <f t="shared" si="25"/>
        <v>4</v>
      </c>
      <c r="M90" s="43">
        <f t="shared" si="26"/>
        <v>800</v>
      </c>
      <c r="N90" s="46">
        <v>200</v>
      </c>
      <c r="O90" s="8">
        <f t="shared" si="27"/>
        <v>2</v>
      </c>
    </row>
    <row r="91" spans="1:15" s="0" customFormat="1" ht="31.5" customHeight="1">
      <c r="A91" s="637"/>
      <c r="B91" s="638"/>
      <c r="C91" s="13" t="s">
        <v>48</v>
      </c>
      <c r="D91" s="13">
        <v>112</v>
      </c>
      <c r="E91" s="4" t="s">
        <v>520</v>
      </c>
      <c r="F91" s="17" t="s">
        <v>10</v>
      </c>
      <c r="G91" s="16">
        <v>40</v>
      </c>
      <c r="H91" s="252">
        <v>10</v>
      </c>
      <c r="I91" s="16">
        <v>1</v>
      </c>
      <c r="J91" s="253">
        <f t="shared" si="24"/>
        <v>0.25</v>
      </c>
      <c r="K91" s="30">
        <f>((2000*2)+488*2+(920*2)+(920))/1000</f>
        <v>7.7359999999999998</v>
      </c>
      <c r="L91" s="26">
        <f t="shared" si="25"/>
        <v>1.9339999999999999</v>
      </c>
      <c r="M91" s="43">
        <f t="shared" si="26"/>
        <v>386.80</v>
      </c>
      <c r="N91" s="46">
        <v>200</v>
      </c>
      <c r="O91" s="8">
        <f t="shared" si="27"/>
        <v>1.9339999999999999</v>
      </c>
    </row>
    <row r="92" spans="1:15" ht="15">
      <c r="A92" s="54" t="s">
        <v>888</v>
      </c>
      <c r="B92" s="56" t="s">
        <v>1423</v>
      </c>
      <c r="C92" s="13" t="s">
        <v>862</v>
      </c>
      <c r="D92" s="487">
        <v>224</v>
      </c>
      <c r="E92" s="13"/>
      <c r="F92" s="17"/>
      <c r="G92" s="28">
        <f>(600-25)/10</f>
        <v>57.50</v>
      </c>
      <c r="H92" s="440">
        <v>10</v>
      </c>
      <c r="I92" s="28">
        <v>2</v>
      </c>
      <c r="J92" s="441">
        <f t="shared" si="24"/>
        <v>0.34782608695652173</v>
      </c>
      <c r="K92" s="28">
        <v>1</v>
      </c>
      <c r="L92" s="267">
        <f t="shared" si="25"/>
        <v>0.34782608695652173</v>
      </c>
      <c r="M92" s="433">
        <f t="shared" si="26"/>
        <v>69.565217391304344</v>
      </c>
      <c r="N92" s="434">
        <v>200</v>
      </c>
      <c r="O92" s="435">
        <f t="shared" si="27"/>
        <v>0.17391304347826086</v>
      </c>
    </row>
    <row r="93" spans="1:15" ht="15">
      <c r="A93" s="13" t="s">
        <v>199</v>
      </c>
      <c r="B93" s="27" t="s">
        <v>890</v>
      </c>
      <c r="C93" s="13" t="s">
        <v>47</v>
      </c>
      <c r="D93" s="13">
        <v>112</v>
      </c>
      <c r="E93" s="13"/>
      <c r="F93" s="4" t="s">
        <v>870</v>
      </c>
      <c r="G93" s="28">
        <v>10</v>
      </c>
      <c r="H93" s="440">
        <v>10</v>
      </c>
      <c r="I93" s="28">
        <v>2</v>
      </c>
      <c r="J93" s="441">
        <f t="shared" si="24"/>
        <v>2</v>
      </c>
      <c r="K93" s="28">
        <v>1</v>
      </c>
      <c r="L93" s="267">
        <f t="shared" si="25"/>
        <v>2</v>
      </c>
      <c r="M93" s="433">
        <f t="shared" si="26"/>
        <v>400</v>
      </c>
      <c r="N93" s="434">
        <v>200</v>
      </c>
      <c r="O93" s="435">
        <f t="shared" si="27"/>
        <v>1</v>
      </c>
    </row>
    <row r="94" spans="1:15" ht="15">
      <c r="A94" s="39"/>
      <c r="B94" s="649" t="s">
        <v>132</v>
      </c>
      <c r="C94" s="649"/>
      <c r="D94" s="649"/>
      <c r="E94" s="649"/>
      <c r="F94" s="649"/>
      <c r="G94" s="649"/>
      <c r="H94" s="649"/>
      <c r="I94" s="649"/>
      <c r="J94" s="649"/>
      <c r="K94" s="649"/>
      <c r="L94" s="267"/>
      <c r="M94" s="262">
        <f>SUM(M95:M106)</f>
        <v>7523.5330562503186</v>
      </c>
      <c r="N94" s="263"/>
      <c r="O94" s="264">
        <f>SUM(O95:O106)</f>
        <v>28.694789237939251</v>
      </c>
    </row>
    <row r="95" spans="1:15" ht="15">
      <c r="A95" s="650" t="s">
        <v>200</v>
      </c>
      <c r="B95" s="638" t="s">
        <v>871</v>
      </c>
      <c r="C95" s="13" t="s">
        <v>993</v>
      </c>
      <c r="D95" s="13">
        <v>224</v>
      </c>
      <c r="E95" s="13"/>
      <c r="F95" s="13" t="s">
        <v>353</v>
      </c>
      <c r="G95" s="442">
        <f>600/10</f>
        <v>60</v>
      </c>
      <c r="H95" s="440">
        <v>10</v>
      </c>
      <c r="I95" s="28">
        <v>1</v>
      </c>
      <c r="J95" s="441">
        <f t="shared" si="28" ref="J95:J106">H95/G95*I95</f>
        <v>0.16666666666666666</v>
      </c>
      <c r="K95" s="432">
        <v>2</v>
      </c>
      <c r="L95" s="435">
        <f t="shared" si="29" ref="L95:L98">J95*K95</f>
        <v>0.33333333333333331</v>
      </c>
      <c r="M95" s="266">
        <f t="shared" si="30" ref="M95:M106">L95*N95</f>
        <v>66.666666666666657</v>
      </c>
      <c r="N95" s="433">
        <v>200</v>
      </c>
      <c r="O95" s="435">
        <f t="shared" si="31" ref="O95:O106">J95/I95*K95</f>
        <v>0.33333333333333331</v>
      </c>
    </row>
    <row r="96" spans="1:15" ht="15">
      <c r="A96" s="650"/>
      <c r="B96" s="638"/>
      <c r="C96" s="13" t="s">
        <v>1008</v>
      </c>
      <c r="D96" s="13">
        <v>224</v>
      </c>
      <c r="E96" s="13"/>
      <c r="F96" s="13" t="s">
        <v>353</v>
      </c>
      <c r="G96" s="442">
        <v>120</v>
      </c>
      <c r="H96" s="440">
        <v>10</v>
      </c>
      <c r="I96" s="28">
        <v>1</v>
      </c>
      <c r="J96" s="441">
        <f t="shared" si="28"/>
        <v>0.083333333333333329</v>
      </c>
      <c r="K96" s="432">
        <v>2</v>
      </c>
      <c r="L96" s="435">
        <f t="shared" si="29"/>
        <v>0.16666666666666666</v>
      </c>
      <c r="M96" s="266">
        <f t="shared" si="30"/>
        <v>33.333333333333329</v>
      </c>
      <c r="N96" s="433">
        <v>200</v>
      </c>
      <c r="O96" s="435">
        <f t="shared" si="31"/>
        <v>0.16666666666666666</v>
      </c>
    </row>
    <row r="97" spans="1:15" ht="15">
      <c r="A97" s="650"/>
      <c r="B97" s="638"/>
      <c r="C97" s="13" t="s">
        <v>873</v>
      </c>
      <c r="D97" s="13">
        <v>224</v>
      </c>
      <c r="E97" s="13"/>
      <c r="F97" s="13" t="s">
        <v>353</v>
      </c>
      <c r="G97" s="442">
        <f>600/5</f>
        <v>120</v>
      </c>
      <c r="H97" s="440">
        <v>10</v>
      </c>
      <c r="I97" s="28">
        <v>1</v>
      </c>
      <c r="J97" s="441">
        <f t="shared" si="28"/>
        <v>0.083333333333333329</v>
      </c>
      <c r="K97" s="432">
        <v>2</v>
      </c>
      <c r="L97" s="435">
        <f t="shared" si="29"/>
        <v>0.16666666666666666</v>
      </c>
      <c r="M97" s="266">
        <f t="shared" si="30"/>
        <v>33.333333333333329</v>
      </c>
      <c r="N97" s="433">
        <v>200</v>
      </c>
      <c r="O97" s="435">
        <f t="shared" si="31"/>
        <v>0.16666666666666666</v>
      </c>
    </row>
    <row r="98" spans="1:15" ht="15">
      <c r="A98" s="57" t="s">
        <v>662</v>
      </c>
      <c r="B98" s="56" t="s">
        <v>1009</v>
      </c>
      <c r="C98" s="13" t="s">
        <v>862</v>
      </c>
      <c r="D98" s="13">
        <v>224</v>
      </c>
      <c r="E98" s="13"/>
      <c r="F98" s="17"/>
      <c r="G98" s="442">
        <f>(600-25)/10</f>
        <v>57.50</v>
      </c>
      <c r="H98" s="440">
        <v>10</v>
      </c>
      <c r="I98" s="28">
        <v>2</v>
      </c>
      <c r="J98" s="441">
        <f t="shared" si="28"/>
        <v>0.34782608695652173</v>
      </c>
      <c r="K98" s="28">
        <v>1</v>
      </c>
      <c r="L98" s="267">
        <f t="shared" si="29"/>
        <v>0.34782608695652173</v>
      </c>
      <c r="M98" s="433">
        <f t="shared" si="30"/>
        <v>69.565217391304344</v>
      </c>
      <c r="N98" s="434">
        <v>200</v>
      </c>
      <c r="O98" s="435">
        <f t="shared" si="31"/>
        <v>0.17391304347826086</v>
      </c>
    </row>
    <row r="99" spans="1:15" ht="15">
      <c r="A99" s="13" t="s">
        <v>205</v>
      </c>
      <c r="B99" s="27" t="s">
        <v>875</v>
      </c>
      <c r="C99" s="13" t="s">
        <v>138</v>
      </c>
      <c r="D99" s="13">
        <v>117</v>
      </c>
      <c r="E99" s="13"/>
      <c r="F99" s="4" t="s">
        <v>13</v>
      </c>
      <c r="G99" s="442">
        <f>1.25*1.4</f>
        <v>1.75</v>
      </c>
      <c r="H99" s="440">
        <v>10</v>
      </c>
      <c r="I99" s="28">
        <v>2</v>
      </c>
      <c r="J99" s="441">
        <f t="shared" si="28"/>
        <v>11.428571428571429</v>
      </c>
      <c r="K99" s="28">
        <v>1</v>
      </c>
      <c r="L99" s="267">
        <f>J99*K99</f>
        <v>11.428571428571429</v>
      </c>
      <c r="M99" s="433">
        <f t="shared" si="30"/>
        <v>2285.7142857142858</v>
      </c>
      <c r="N99" s="434">
        <v>200</v>
      </c>
      <c r="O99" s="435">
        <f t="shared" si="31"/>
        <v>5.7142857142857144</v>
      </c>
    </row>
    <row r="100" spans="1:15" ht="15">
      <c r="A100" s="13" t="s">
        <v>877</v>
      </c>
      <c r="B100" s="27" t="s">
        <v>876</v>
      </c>
      <c r="C100" s="13" t="s">
        <v>160</v>
      </c>
      <c r="D100" s="13">
        <v>117</v>
      </c>
      <c r="E100" s="13"/>
      <c r="F100" s="4" t="s">
        <v>13</v>
      </c>
      <c r="G100" s="442">
        <v>40</v>
      </c>
      <c r="H100" s="440">
        <v>10</v>
      </c>
      <c r="I100" s="28">
        <v>1</v>
      </c>
      <c r="J100" s="441">
        <f t="shared" si="28"/>
        <v>0.25</v>
      </c>
      <c r="K100" s="442">
        <f>(4385+4065+4027+1140*2+16*3.1415*37+426*3.1415+30*3)/1000</f>
        <v>18.045047</v>
      </c>
      <c r="L100" s="267">
        <f>J100*K100</f>
        <v>4.5112617500000001</v>
      </c>
      <c r="M100" s="433">
        <f t="shared" si="30"/>
        <v>902.25234999999998</v>
      </c>
      <c r="N100" s="434">
        <v>200</v>
      </c>
      <c r="O100" s="435">
        <f t="shared" si="31"/>
        <v>4.5112617500000001</v>
      </c>
    </row>
    <row r="101" spans="1:15" ht="15">
      <c r="A101" s="13" t="s">
        <v>206</v>
      </c>
      <c r="B101" s="27" t="s">
        <v>94</v>
      </c>
      <c r="C101" s="13" t="s">
        <v>160</v>
      </c>
      <c r="D101" s="13">
        <v>114</v>
      </c>
      <c r="E101" s="13"/>
      <c r="F101" s="4" t="s">
        <v>13</v>
      </c>
      <c r="G101" s="442">
        <v>40</v>
      </c>
      <c r="H101" s="440">
        <v>10</v>
      </c>
      <c r="I101" s="28">
        <v>1</v>
      </c>
      <c r="J101" s="441">
        <f t="shared" si="28"/>
        <v>0.25</v>
      </c>
      <c r="K101" s="442">
        <f>(4385*2+120*5+16*3.1415*37+426*3.1415+4065+4208+4245+19*3.1415*2+23*3.1415*2+4027)/1000</f>
        <v>29.376932999999998</v>
      </c>
      <c r="L101" s="267">
        <f>J101*K101</f>
        <v>7.3442332499999994</v>
      </c>
      <c r="M101" s="433">
        <f t="shared" si="30"/>
        <v>1468.84665</v>
      </c>
      <c r="N101" s="434">
        <v>200</v>
      </c>
      <c r="O101" s="435">
        <f t="shared" si="31"/>
        <v>7.3442332499999994</v>
      </c>
    </row>
    <row r="102" spans="1:15" ht="15">
      <c r="A102" s="13" t="s">
        <v>207</v>
      </c>
      <c r="B102" s="56" t="s">
        <v>55</v>
      </c>
      <c r="C102" s="13" t="s">
        <v>29</v>
      </c>
      <c r="D102" s="13">
        <v>120</v>
      </c>
      <c r="E102" s="13"/>
      <c r="F102" s="13" t="s">
        <v>13</v>
      </c>
      <c r="G102" s="31">
        <v>8.0359999999999996</v>
      </c>
      <c r="H102" s="440">
        <v>10</v>
      </c>
      <c r="I102" s="28">
        <v>1</v>
      </c>
      <c r="J102" s="441">
        <f t="shared" si="28"/>
        <v>1.2444001991040319</v>
      </c>
      <c r="K102" s="28">
        <v>1</v>
      </c>
      <c r="L102" s="267">
        <f t="shared" si="32" ref="L102:L105">J102*K102</f>
        <v>1.2444001991040319</v>
      </c>
      <c r="M102" s="433">
        <f t="shared" si="30"/>
        <v>219.0144350423096</v>
      </c>
      <c r="N102" s="434">
        <v>176</v>
      </c>
      <c r="O102" s="435">
        <f t="shared" si="31"/>
        <v>1.2444001991040319</v>
      </c>
    </row>
    <row r="103" spans="1:15" ht="15">
      <c r="A103" s="13" t="s">
        <v>208</v>
      </c>
      <c r="B103" s="56" t="s">
        <v>56</v>
      </c>
      <c r="C103" s="13" t="s">
        <v>29</v>
      </c>
      <c r="D103" s="13">
        <v>120</v>
      </c>
      <c r="E103" s="13"/>
      <c r="F103" s="13" t="s">
        <v>13</v>
      </c>
      <c r="G103" s="31">
        <v>8.0359999999999996</v>
      </c>
      <c r="H103" s="440">
        <v>10</v>
      </c>
      <c r="I103" s="28">
        <v>1</v>
      </c>
      <c r="J103" s="441">
        <f t="shared" si="28"/>
        <v>1.2444001991040319</v>
      </c>
      <c r="K103" s="28">
        <v>1</v>
      </c>
      <c r="L103" s="267">
        <f t="shared" si="32"/>
        <v>1.2444001991040319</v>
      </c>
      <c r="M103" s="433">
        <f t="shared" si="30"/>
        <v>219.0144350423096</v>
      </c>
      <c r="N103" s="434">
        <v>176</v>
      </c>
      <c r="O103" s="435">
        <f t="shared" si="31"/>
        <v>1.2444001991040319</v>
      </c>
    </row>
    <row r="104" spans="1:16" ht="30">
      <c r="A104" s="13" t="s">
        <v>209</v>
      </c>
      <c r="B104" s="27" t="s">
        <v>892</v>
      </c>
      <c r="C104" s="13" t="s">
        <v>14</v>
      </c>
      <c r="D104" s="13">
        <v>119</v>
      </c>
      <c r="E104" s="13"/>
      <c r="F104" s="13" t="s">
        <v>58</v>
      </c>
      <c r="G104" s="16">
        <v>61</v>
      </c>
      <c r="H104" s="440">
        <v>10</v>
      </c>
      <c r="I104" s="28">
        <v>1</v>
      </c>
      <c r="J104" s="441">
        <f t="shared" si="28"/>
        <v>0.16393442622950818</v>
      </c>
      <c r="K104" s="28">
        <v>2.82</v>
      </c>
      <c r="L104" s="267">
        <f t="shared" si="32"/>
        <v>0.46229508196721303</v>
      </c>
      <c r="M104" s="433">
        <f t="shared" si="30"/>
        <v>92.45901639344261</v>
      </c>
      <c r="N104" s="434">
        <v>200</v>
      </c>
      <c r="O104" s="435">
        <f t="shared" si="31"/>
        <v>0.46229508196721303</v>
      </c>
      <c r="P104" s="22"/>
    </row>
    <row r="105" spans="1:16" ht="30">
      <c r="A105" s="13" t="s">
        <v>210</v>
      </c>
      <c r="B105" s="27" t="s">
        <v>114</v>
      </c>
      <c r="C105" s="13" t="s">
        <v>54</v>
      </c>
      <c r="D105" s="13">
        <v>116</v>
      </c>
      <c r="E105" s="13"/>
      <c r="F105" s="13" t="s">
        <v>13</v>
      </c>
      <c r="G105" s="469">
        <v>3</v>
      </c>
      <c r="H105" s="440">
        <v>10</v>
      </c>
      <c r="I105" s="28">
        <v>2</v>
      </c>
      <c r="J105" s="441">
        <f t="shared" si="28"/>
        <v>6.666666666666667</v>
      </c>
      <c r="K105" s="28">
        <v>1</v>
      </c>
      <c r="L105" s="267">
        <f t="shared" si="32"/>
        <v>6.666666666666667</v>
      </c>
      <c r="M105" s="433">
        <f t="shared" si="30"/>
        <v>1333.3333333333335</v>
      </c>
      <c r="N105" s="434">
        <v>200</v>
      </c>
      <c r="O105" s="435">
        <f t="shared" si="31"/>
        <v>3.3333333333333335</v>
      </c>
      <c r="P105" s="22"/>
    </row>
    <row r="106" spans="1:15" ht="30">
      <c r="A106" s="13" t="s">
        <v>211</v>
      </c>
      <c r="B106" s="56" t="s">
        <v>60</v>
      </c>
      <c r="C106" s="13" t="s">
        <v>14</v>
      </c>
      <c r="D106" s="13">
        <v>226</v>
      </c>
      <c r="E106" s="13"/>
      <c r="F106" s="4" t="s">
        <v>58</v>
      </c>
      <c r="G106" s="470">
        <v>2.50</v>
      </c>
      <c r="H106" s="440">
        <v>10</v>
      </c>
      <c r="I106" s="28">
        <v>1</v>
      </c>
      <c r="J106" s="441">
        <f t="shared" si="28"/>
        <v>4</v>
      </c>
      <c r="K106" s="28">
        <v>1</v>
      </c>
      <c r="L106" s="267">
        <f>J106*K106</f>
        <v>4</v>
      </c>
      <c r="M106" s="433">
        <f t="shared" si="30"/>
        <v>800</v>
      </c>
      <c r="N106" s="434">
        <v>200</v>
      </c>
      <c r="O106" s="435">
        <f t="shared" si="31"/>
        <v>4</v>
      </c>
    </row>
    <row r="107" spans="1:15" ht="15">
      <c r="A107" s="39"/>
      <c r="B107" s="649" t="s">
        <v>140</v>
      </c>
      <c r="C107" s="649"/>
      <c r="D107" s="649"/>
      <c r="E107" s="649"/>
      <c r="F107" s="649"/>
      <c r="G107" s="649"/>
      <c r="H107" s="649"/>
      <c r="I107" s="649"/>
      <c r="J107" s="649"/>
      <c r="K107" s="649"/>
      <c r="L107" s="267"/>
      <c r="M107" s="262">
        <f>SUM(M108:M113)</f>
        <v>2759.7321363395704</v>
      </c>
      <c r="N107" s="263"/>
      <c r="O107" s="264">
        <f>SUM(O108:O113)</f>
        <v>9.124747638219592</v>
      </c>
    </row>
    <row r="108" spans="1:15" ht="15">
      <c r="A108" s="57" t="s">
        <v>893</v>
      </c>
      <c r="B108" s="27" t="s">
        <v>881</v>
      </c>
      <c r="C108" s="13" t="s">
        <v>880</v>
      </c>
      <c r="D108" s="13">
        <v>224</v>
      </c>
      <c r="E108" s="13"/>
      <c r="F108" s="13" t="s">
        <v>353</v>
      </c>
      <c r="G108" s="436">
        <f>600/20</f>
        <v>30</v>
      </c>
      <c r="H108" s="440">
        <v>10</v>
      </c>
      <c r="I108" s="28">
        <v>1</v>
      </c>
      <c r="J108" s="441">
        <f t="shared" si="33" ref="J108:J113">H108/G108*I108</f>
        <v>0.33333333333333331</v>
      </c>
      <c r="K108" s="432">
        <v>1</v>
      </c>
      <c r="L108" s="435">
        <f t="shared" si="34" ref="L108:L113">J108*K108</f>
        <v>0.33333333333333331</v>
      </c>
      <c r="M108" s="266">
        <f t="shared" si="35" ref="M108:M113">L108*N108</f>
        <v>66.666666666666657</v>
      </c>
      <c r="N108" s="433">
        <v>200</v>
      </c>
      <c r="O108" s="435">
        <f t="shared" si="36" ref="O108:O113">J108/I108*K108</f>
        <v>0.33333333333333331</v>
      </c>
    </row>
    <row r="109" spans="1:15" ht="15">
      <c r="A109" s="57" t="s">
        <v>212</v>
      </c>
      <c r="B109" s="56" t="s">
        <v>1010</v>
      </c>
      <c r="C109" s="13" t="s">
        <v>862</v>
      </c>
      <c r="D109" s="13">
        <v>224</v>
      </c>
      <c r="E109" s="13"/>
      <c r="F109" s="17"/>
      <c r="G109" s="28">
        <f>(600-25)/10</f>
        <v>57.50</v>
      </c>
      <c r="H109" s="440">
        <v>10</v>
      </c>
      <c r="I109" s="28">
        <v>2</v>
      </c>
      <c r="J109" s="441">
        <f t="shared" si="33"/>
        <v>0.34782608695652173</v>
      </c>
      <c r="K109" s="28">
        <v>1</v>
      </c>
      <c r="L109" s="267">
        <f t="shared" si="34"/>
        <v>0.34782608695652173</v>
      </c>
      <c r="M109" s="433">
        <f t="shared" si="35"/>
        <v>69.565217391304344</v>
      </c>
      <c r="N109" s="434">
        <v>200</v>
      </c>
      <c r="O109" s="435">
        <f t="shared" si="36"/>
        <v>0.17391304347826086</v>
      </c>
    </row>
    <row r="110" spans="1:15" ht="15">
      <c r="A110" s="57" t="s">
        <v>878</v>
      </c>
      <c r="B110" s="27" t="s">
        <v>882</v>
      </c>
      <c r="C110" s="13" t="s">
        <v>1011</v>
      </c>
      <c r="D110" s="13">
        <v>117</v>
      </c>
      <c r="E110" s="13"/>
      <c r="F110" s="13" t="s">
        <v>353</v>
      </c>
      <c r="G110" s="28">
        <v>34.60</v>
      </c>
      <c r="H110" s="440">
        <v>10</v>
      </c>
      <c r="I110" s="28">
        <v>1</v>
      </c>
      <c r="J110" s="441">
        <f t="shared" si="33"/>
        <v>0.28901734104046239</v>
      </c>
      <c r="K110" s="432">
        <v>1</v>
      </c>
      <c r="L110" s="435">
        <f t="shared" si="34"/>
        <v>0.28901734104046239</v>
      </c>
      <c r="M110" s="266">
        <f t="shared" si="35"/>
        <v>57.803468208092482</v>
      </c>
      <c r="N110" s="433">
        <v>200</v>
      </c>
      <c r="O110" s="435">
        <f t="shared" si="36"/>
        <v>0.28901734104046239</v>
      </c>
    </row>
    <row r="111" spans="1:15" ht="15">
      <c r="A111" s="57" t="s">
        <v>214</v>
      </c>
      <c r="B111" s="56" t="s">
        <v>883</v>
      </c>
      <c r="C111" s="13" t="s">
        <v>33</v>
      </c>
      <c r="D111" s="13">
        <v>118</v>
      </c>
      <c r="E111" s="13"/>
      <c r="F111" s="13" t="s">
        <v>510</v>
      </c>
      <c r="G111" s="28">
        <v>40</v>
      </c>
      <c r="H111" s="440">
        <v>10</v>
      </c>
      <c r="I111" s="28">
        <v>2</v>
      </c>
      <c r="J111" s="441">
        <f t="shared" si="33"/>
        <v>0.50</v>
      </c>
      <c r="K111" s="432">
        <v>2</v>
      </c>
      <c r="L111" s="267">
        <f t="shared" si="34"/>
        <v>1</v>
      </c>
      <c r="M111" s="433">
        <f t="shared" si="35"/>
        <v>200</v>
      </c>
      <c r="N111" s="434">
        <v>200</v>
      </c>
      <c r="O111" s="435">
        <f t="shared" si="36"/>
        <v>0.50</v>
      </c>
    </row>
    <row r="112" spans="1:15" ht="15">
      <c r="A112" s="13" t="s">
        <v>219</v>
      </c>
      <c r="B112" s="56" t="s">
        <v>91</v>
      </c>
      <c r="C112" s="13" t="s">
        <v>54</v>
      </c>
      <c r="D112" s="13">
        <v>118</v>
      </c>
      <c r="E112" s="13"/>
      <c r="F112" s="4" t="s">
        <v>59</v>
      </c>
      <c r="G112" s="30">
        <v>2.50</v>
      </c>
      <c r="H112" s="440">
        <v>10</v>
      </c>
      <c r="I112" s="28">
        <v>2</v>
      </c>
      <c r="J112" s="441">
        <f t="shared" si="33"/>
        <v>8</v>
      </c>
      <c r="K112" s="432">
        <v>1</v>
      </c>
      <c r="L112" s="267">
        <f t="shared" si="34"/>
        <v>8</v>
      </c>
      <c r="M112" s="433">
        <f t="shared" si="35"/>
        <v>1600</v>
      </c>
      <c r="N112" s="434">
        <v>200</v>
      </c>
      <c r="O112" s="435">
        <f t="shared" si="36"/>
        <v>4</v>
      </c>
    </row>
    <row r="113" spans="1:15" ht="15">
      <c r="A113" s="13" t="s">
        <v>220</v>
      </c>
      <c r="B113" s="56" t="s">
        <v>92</v>
      </c>
      <c r="C113" s="13" t="s">
        <v>54</v>
      </c>
      <c r="D113" s="13">
        <v>118</v>
      </c>
      <c r="E113" s="13"/>
      <c r="F113" s="4" t="s">
        <v>59</v>
      </c>
      <c r="G113" s="30">
        <v>2.6120000000000001</v>
      </c>
      <c r="H113" s="440">
        <v>10</v>
      </c>
      <c r="I113" s="28">
        <v>1</v>
      </c>
      <c r="J113" s="441">
        <f t="shared" si="33"/>
        <v>3.8284839203675345</v>
      </c>
      <c r="K113" s="432">
        <v>1</v>
      </c>
      <c r="L113" s="267">
        <f t="shared" si="34"/>
        <v>3.8284839203675345</v>
      </c>
      <c r="M113" s="433">
        <f t="shared" si="35"/>
        <v>765.69678407350693</v>
      </c>
      <c r="N113" s="434">
        <v>200</v>
      </c>
      <c r="O113" s="435">
        <f t="shared" si="36"/>
        <v>3.8284839203675345</v>
      </c>
    </row>
    <row r="114" spans="1:15" ht="15">
      <c r="A114" s="39"/>
      <c r="B114" s="649" t="s">
        <v>135</v>
      </c>
      <c r="C114" s="649"/>
      <c r="D114" s="649"/>
      <c r="E114" s="649"/>
      <c r="F114" s="649"/>
      <c r="G114" s="649"/>
      <c r="H114" s="649"/>
      <c r="I114" s="649"/>
      <c r="J114" s="649"/>
      <c r="K114" s="649"/>
      <c r="L114" s="435"/>
      <c r="M114" s="262">
        <f>SUM(M115:M117)</f>
        <v>542.1416234887738</v>
      </c>
      <c r="N114" s="263"/>
      <c r="O114" s="264">
        <f>SUM(O115:O117)</f>
        <v>1.4607081174438687</v>
      </c>
    </row>
    <row r="115" spans="1:15" ht="15">
      <c r="A115" s="13" t="s">
        <v>136</v>
      </c>
      <c r="B115" s="56" t="s">
        <v>137</v>
      </c>
      <c r="C115" s="13" t="s">
        <v>138</v>
      </c>
      <c r="D115" s="13">
        <v>117</v>
      </c>
      <c r="E115" s="13"/>
      <c r="F115" s="4" t="s">
        <v>139</v>
      </c>
      <c r="G115" s="28">
        <v>10</v>
      </c>
      <c r="H115" s="440">
        <v>10</v>
      </c>
      <c r="I115" s="28">
        <v>2</v>
      </c>
      <c r="J115" s="441">
        <f>H115/G115*I115</f>
        <v>2</v>
      </c>
      <c r="K115" s="28">
        <v>1</v>
      </c>
      <c r="L115" s="435">
        <f t="shared" si="37" ref="L115:L117">J115*K115</f>
        <v>2</v>
      </c>
      <c r="M115" s="266">
        <f>L115*N115</f>
        <v>400</v>
      </c>
      <c r="N115" s="433">
        <v>200</v>
      </c>
      <c r="O115" s="435">
        <f>J115/I115*K115</f>
        <v>1</v>
      </c>
    </row>
    <row r="116" spans="1:15" ht="15">
      <c r="A116" s="13" t="s">
        <v>346</v>
      </c>
      <c r="B116" s="56" t="s">
        <v>347</v>
      </c>
      <c r="C116" s="13" t="s">
        <v>14</v>
      </c>
      <c r="D116" s="13">
        <v>226</v>
      </c>
      <c r="E116" s="13"/>
      <c r="F116" s="13" t="s">
        <v>58</v>
      </c>
      <c r="G116" s="28">
        <v>23.16</v>
      </c>
      <c r="H116" s="440">
        <v>10</v>
      </c>
      <c r="I116" s="28">
        <v>1</v>
      </c>
      <c r="J116" s="441">
        <f>H116/G116*I116</f>
        <v>0.43177892918825561</v>
      </c>
      <c r="K116" s="28">
        <f>0.122*4</f>
        <v>0.48799999999999999</v>
      </c>
      <c r="L116" s="435">
        <f t="shared" si="37"/>
        <v>0.21070811744386872</v>
      </c>
      <c r="M116" s="266">
        <f>L116*N116</f>
        <v>42.141623488773746</v>
      </c>
      <c r="N116" s="433">
        <v>200</v>
      </c>
      <c r="O116" s="435">
        <f>J116/I116*K116</f>
        <v>0.21070811744386872</v>
      </c>
    </row>
    <row r="117" spans="1:15" ht="15">
      <c r="A117" s="13" t="s">
        <v>344</v>
      </c>
      <c r="B117" s="56" t="s">
        <v>345</v>
      </c>
      <c r="C117" s="13" t="s">
        <v>24</v>
      </c>
      <c r="D117" s="13">
        <v>219</v>
      </c>
      <c r="E117" s="13"/>
      <c r="F117" s="4" t="s">
        <v>139</v>
      </c>
      <c r="G117" s="28">
        <v>40</v>
      </c>
      <c r="H117" s="440">
        <v>10</v>
      </c>
      <c r="I117" s="28">
        <v>2</v>
      </c>
      <c r="J117" s="441">
        <f>H117/G117*I117</f>
        <v>0.50</v>
      </c>
      <c r="K117" s="28">
        <v>1</v>
      </c>
      <c r="L117" s="435">
        <f t="shared" si="37"/>
        <v>0.50</v>
      </c>
      <c r="M117" s="266">
        <f>L117*N117</f>
        <v>100</v>
      </c>
      <c r="N117" s="433">
        <v>200</v>
      </c>
      <c r="O117" s="435">
        <f>J117/I117*K117</f>
        <v>0.25</v>
      </c>
    </row>
    <row r="118" spans="1:15" ht="15">
      <c r="A118" s="39"/>
      <c r="B118" s="649" t="s">
        <v>133</v>
      </c>
      <c r="C118" s="649"/>
      <c r="D118" s="649"/>
      <c r="E118" s="649"/>
      <c r="F118" s="649"/>
      <c r="G118" s="649"/>
      <c r="H118" s="649"/>
      <c r="I118" s="649"/>
      <c r="J118" s="649"/>
      <c r="K118" s="649"/>
      <c r="L118" s="267"/>
      <c r="M118" s="262">
        <f>SUM(M119:M166)</f>
        <v>23019.65474555445</v>
      </c>
      <c r="N118" s="263"/>
      <c r="O118" s="264">
        <f>SUM(O119:O166)</f>
        <v>75.623145224110715</v>
      </c>
    </row>
    <row r="119" spans="1:15" ht="15">
      <c r="A119" s="13" t="s">
        <v>221</v>
      </c>
      <c r="B119" s="56" t="s">
        <v>715</v>
      </c>
      <c r="C119" s="13" t="s">
        <v>24</v>
      </c>
      <c r="D119" s="13">
        <v>112</v>
      </c>
      <c r="E119" s="13"/>
      <c r="F119" s="13" t="s">
        <v>11</v>
      </c>
      <c r="G119" s="432">
        <v>6</v>
      </c>
      <c r="H119" s="440">
        <v>10</v>
      </c>
      <c r="I119" s="28">
        <v>2</v>
      </c>
      <c r="J119" s="441">
        <f t="shared" si="38" ref="J119:J166">H119/G119*I119</f>
        <v>3.3333333333333335</v>
      </c>
      <c r="K119" s="28">
        <v>1</v>
      </c>
      <c r="L119" s="267">
        <f t="shared" si="39" ref="L119:L166">J119*K119</f>
        <v>3.3333333333333335</v>
      </c>
      <c r="M119" s="433">
        <f t="shared" si="40" ref="M119:M166">L119*N119</f>
        <v>666.66666666666674</v>
      </c>
      <c r="N119" s="434">
        <v>200</v>
      </c>
      <c r="O119" s="435">
        <f t="shared" si="41" ref="O119:O166">J119/I119*K119</f>
        <v>1.6666666666666667</v>
      </c>
    </row>
    <row r="120" spans="1:15" ht="30">
      <c r="A120" s="13" t="s">
        <v>225</v>
      </c>
      <c r="B120" s="27" t="s">
        <v>230</v>
      </c>
      <c r="C120" s="13" t="s">
        <v>226</v>
      </c>
      <c r="D120" s="13">
        <v>302</v>
      </c>
      <c r="E120" s="13"/>
      <c r="F120" s="13" t="s">
        <v>227</v>
      </c>
      <c r="G120" s="28">
        <f>600/2.5</f>
        <v>240</v>
      </c>
      <c r="H120" s="440">
        <v>10</v>
      </c>
      <c r="I120" s="28">
        <v>2</v>
      </c>
      <c r="J120" s="441">
        <f t="shared" si="38"/>
        <v>0.083333333333333329</v>
      </c>
      <c r="K120" s="28">
        <v>83</v>
      </c>
      <c r="L120" s="435">
        <f t="shared" si="39"/>
        <v>6.9166666666666661</v>
      </c>
      <c r="M120" s="433">
        <f t="shared" si="40"/>
        <v>1383.3333333333333</v>
      </c>
      <c r="N120" s="433">
        <v>200</v>
      </c>
      <c r="O120" s="435">
        <f t="shared" si="41"/>
        <v>3.458333333333333</v>
      </c>
    </row>
    <row r="121" spans="1:15" ht="30">
      <c r="A121" s="13" t="s">
        <v>228</v>
      </c>
      <c r="B121" s="27" t="s">
        <v>1282</v>
      </c>
      <c r="C121" s="13" t="s">
        <v>24</v>
      </c>
      <c r="D121" s="13">
        <v>110</v>
      </c>
      <c r="E121" s="13"/>
      <c r="F121" s="13" t="s">
        <v>63</v>
      </c>
      <c r="G121" s="28">
        <f>10*40</f>
        <v>400</v>
      </c>
      <c r="H121" s="440">
        <v>10</v>
      </c>
      <c r="I121" s="28">
        <v>2</v>
      </c>
      <c r="J121" s="441">
        <f t="shared" si="38"/>
        <v>0.05</v>
      </c>
      <c r="K121" s="28">
        <v>83</v>
      </c>
      <c r="L121" s="435">
        <f t="shared" si="39"/>
        <v>4.1500000000000004</v>
      </c>
      <c r="M121" s="433">
        <f t="shared" si="40"/>
        <v>630.80000000000007</v>
      </c>
      <c r="N121" s="433">
        <v>152</v>
      </c>
      <c r="O121" s="435">
        <f t="shared" si="41"/>
        <v>2.0750000000000002</v>
      </c>
    </row>
    <row r="122" spans="1:15" ht="15">
      <c r="A122" s="13" t="s">
        <v>232</v>
      </c>
      <c r="B122" s="27" t="s">
        <v>61</v>
      </c>
      <c r="C122" s="13" t="s">
        <v>62</v>
      </c>
      <c r="D122" s="13">
        <v>112</v>
      </c>
      <c r="E122" s="13"/>
      <c r="F122" s="13" t="s">
        <v>63</v>
      </c>
      <c r="G122" s="28">
        <v>200</v>
      </c>
      <c r="H122" s="440">
        <v>10</v>
      </c>
      <c r="I122" s="28">
        <v>2</v>
      </c>
      <c r="J122" s="441">
        <f t="shared" si="38"/>
        <v>0.10000000000000001</v>
      </c>
      <c r="K122" s="28">
        <v>83</v>
      </c>
      <c r="L122" s="267">
        <f t="shared" si="39"/>
        <v>8.3000000000000007</v>
      </c>
      <c r="M122" s="433">
        <f t="shared" si="40"/>
        <v>1261.6000000000001</v>
      </c>
      <c r="N122" s="434">
        <v>152</v>
      </c>
      <c r="O122" s="435">
        <f t="shared" si="41"/>
        <v>4.1500000000000004</v>
      </c>
    </row>
    <row r="123" spans="1:15" ht="15">
      <c r="A123" s="13" t="s">
        <v>536</v>
      </c>
      <c r="B123" s="27" t="s">
        <v>537</v>
      </c>
      <c r="C123" s="13" t="s">
        <v>538</v>
      </c>
      <c r="D123" s="13">
        <v>115</v>
      </c>
      <c r="E123" s="13"/>
      <c r="F123" s="13" t="s">
        <v>63</v>
      </c>
      <c r="G123" s="28">
        <v>1200</v>
      </c>
      <c r="H123" s="440">
        <v>10</v>
      </c>
      <c r="I123" s="28">
        <v>1</v>
      </c>
      <c r="J123" s="441">
        <f t="shared" si="38"/>
        <v>0.0083333333333333332</v>
      </c>
      <c r="K123" s="28">
        <v>83</v>
      </c>
      <c r="L123" s="267">
        <f t="shared" si="39"/>
        <v>0.69166666666666665</v>
      </c>
      <c r="M123" s="433">
        <f t="shared" si="40"/>
        <v>138.33333333333334</v>
      </c>
      <c r="N123" s="434">
        <v>200</v>
      </c>
      <c r="O123" s="435">
        <f t="shared" si="41"/>
        <v>0.69166666666666665</v>
      </c>
    </row>
    <row r="124" spans="1:15" ht="30">
      <c r="A124" s="13" t="s">
        <v>233</v>
      </c>
      <c r="B124" s="27" t="s">
        <v>66</v>
      </c>
      <c r="C124" s="13" t="s">
        <v>48</v>
      </c>
      <c r="D124" s="13">
        <v>112</v>
      </c>
      <c r="E124" s="13"/>
      <c r="F124" s="13" t="s">
        <v>67</v>
      </c>
      <c r="G124" s="28">
        <v>80</v>
      </c>
      <c r="H124" s="440">
        <v>10</v>
      </c>
      <c r="I124" s="28">
        <v>2</v>
      </c>
      <c r="J124" s="441">
        <f t="shared" si="38"/>
        <v>0.25</v>
      </c>
      <c r="K124" s="28">
        <v>4</v>
      </c>
      <c r="L124" s="267">
        <f t="shared" si="39"/>
        <v>1</v>
      </c>
      <c r="M124" s="433">
        <f t="shared" si="40"/>
        <v>200</v>
      </c>
      <c r="N124" s="434">
        <v>200</v>
      </c>
      <c r="O124" s="435">
        <f t="shared" si="41"/>
        <v>0.50</v>
      </c>
    </row>
    <row r="125" spans="1:15" ht="15">
      <c r="A125" s="637" t="s">
        <v>234</v>
      </c>
      <c r="B125" s="648" t="s">
        <v>235</v>
      </c>
      <c r="C125" s="13" t="s">
        <v>72</v>
      </c>
      <c r="D125" s="13">
        <v>115</v>
      </c>
      <c r="E125" s="13"/>
      <c r="F125" s="13" t="s">
        <v>236</v>
      </c>
      <c r="G125" s="28">
        <v>30</v>
      </c>
      <c r="H125" s="440">
        <v>10</v>
      </c>
      <c r="I125" s="28">
        <v>2</v>
      </c>
      <c r="J125" s="441">
        <f t="shared" si="38"/>
        <v>0.66666666666666663</v>
      </c>
      <c r="K125" s="28">
        <v>5</v>
      </c>
      <c r="L125" s="267">
        <f t="shared" si="39"/>
        <v>3.333333333333333</v>
      </c>
      <c r="M125" s="433">
        <f t="shared" si="40"/>
        <v>666.66666666666663</v>
      </c>
      <c r="N125" s="434">
        <v>200</v>
      </c>
      <c r="O125" s="435">
        <f t="shared" si="41"/>
        <v>1.6666666666666665</v>
      </c>
    </row>
    <row r="126" spans="1:15" ht="15">
      <c r="A126" s="637"/>
      <c r="B126" s="648"/>
      <c r="C126" s="13" t="s">
        <v>48</v>
      </c>
      <c r="D126" s="13">
        <v>115</v>
      </c>
      <c r="E126" s="13" t="s">
        <v>73</v>
      </c>
      <c r="F126" s="13" t="s">
        <v>10</v>
      </c>
      <c r="G126" s="28">
        <v>40</v>
      </c>
      <c r="H126" s="440">
        <v>10</v>
      </c>
      <c r="I126" s="28">
        <v>1</v>
      </c>
      <c r="J126" s="441">
        <f t="shared" si="38"/>
        <v>0.25</v>
      </c>
      <c r="K126" s="442">
        <f>(1151+524+2557+766+1544)*2/1000</f>
        <v>13.084</v>
      </c>
      <c r="L126" s="267">
        <f t="shared" si="39"/>
        <v>3.2709999999999999</v>
      </c>
      <c r="M126" s="433">
        <f t="shared" si="40"/>
        <v>654.19999999999993</v>
      </c>
      <c r="N126" s="434">
        <v>200</v>
      </c>
      <c r="O126" s="435">
        <f t="shared" si="41"/>
        <v>3.2709999999999999</v>
      </c>
    </row>
    <row r="127" spans="1:15" ht="15">
      <c r="A127" s="13" t="s">
        <v>237</v>
      </c>
      <c r="B127" s="56" t="s">
        <v>238</v>
      </c>
      <c r="C127" s="13" t="s">
        <v>69</v>
      </c>
      <c r="D127" s="13">
        <v>110</v>
      </c>
      <c r="E127" s="13"/>
      <c r="F127" s="13" t="s">
        <v>34</v>
      </c>
      <c r="G127" s="28">
        <v>10</v>
      </c>
      <c r="H127" s="440">
        <v>10</v>
      </c>
      <c r="I127" s="28">
        <v>2</v>
      </c>
      <c r="J127" s="441">
        <f t="shared" si="38"/>
        <v>2</v>
      </c>
      <c r="K127" s="28">
        <v>1</v>
      </c>
      <c r="L127" s="267">
        <f t="shared" si="39"/>
        <v>2</v>
      </c>
      <c r="M127" s="433">
        <f t="shared" si="40"/>
        <v>400</v>
      </c>
      <c r="N127" s="434">
        <v>200</v>
      </c>
      <c r="O127" s="435">
        <f t="shared" si="41"/>
        <v>1</v>
      </c>
    </row>
    <row r="128" spans="1:15" ht="30">
      <c r="A128" s="13" t="s">
        <v>896</v>
      </c>
      <c r="B128" s="56" t="s">
        <v>894</v>
      </c>
      <c r="C128" s="13" t="s">
        <v>138</v>
      </c>
      <c r="D128" s="13">
        <v>110</v>
      </c>
      <c r="E128" s="13"/>
      <c r="F128" s="13" t="s">
        <v>12</v>
      </c>
      <c r="G128" s="28">
        <v>12</v>
      </c>
      <c r="H128" s="440">
        <v>10</v>
      </c>
      <c r="I128" s="28">
        <v>2</v>
      </c>
      <c r="J128" s="441">
        <f t="shared" si="38"/>
        <v>1.6666666666666667</v>
      </c>
      <c r="K128" s="28">
        <v>1</v>
      </c>
      <c r="L128" s="267">
        <f t="shared" si="39"/>
        <v>1.6666666666666667</v>
      </c>
      <c r="M128" s="433">
        <f t="shared" si="40"/>
        <v>333.33333333333337</v>
      </c>
      <c r="N128" s="434">
        <v>200</v>
      </c>
      <c r="O128" s="435">
        <f t="shared" si="41"/>
        <v>0.83333333333333337</v>
      </c>
    </row>
    <row r="129" spans="1:15" ht="30">
      <c r="A129" s="13" t="s">
        <v>243</v>
      </c>
      <c r="B129" s="56" t="s">
        <v>244</v>
      </c>
      <c r="C129" s="13" t="s">
        <v>25</v>
      </c>
      <c r="D129" s="13">
        <v>110</v>
      </c>
      <c r="E129" s="13" t="s">
        <v>53</v>
      </c>
      <c r="F129" s="13" t="s">
        <v>10</v>
      </c>
      <c r="G129" s="28">
        <v>40</v>
      </c>
      <c r="H129" s="440">
        <v>10</v>
      </c>
      <c r="I129" s="28">
        <v>1</v>
      </c>
      <c r="J129" s="441">
        <f t="shared" si="38"/>
        <v>0.25</v>
      </c>
      <c r="K129" s="28">
        <f>4205*2/1000</f>
        <v>8.41</v>
      </c>
      <c r="L129" s="267">
        <f t="shared" si="39"/>
        <v>2.1025</v>
      </c>
      <c r="M129" s="433">
        <f t="shared" si="40"/>
        <v>420.50</v>
      </c>
      <c r="N129" s="434">
        <v>200</v>
      </c>
      <c r="O129" s="435">
        <f t="shared" si="41"/>
        <v>2.1025</v>
      </c>
    </row>
    <row r="130" spans="1:15" ht="15">
      <c r="A130" s="13" t="s">
        <v>237</v>
      </c>
      <c r="B130" s="56" t="s">
        <v>71</v>
      </c>
      <c r="C130" s="13" t="s">
        <v>68</v>
      </c>
      <c r="D130" s="13">
        <v>110</v>
      </c>
      <c r="E130" s="13"/>
      <c r="F130" s="13" t="s">
        <v>34</v>
      </c>
      <c r="G130" s="28">
        <v>20</v>
      </c>
      <c r="H130" s="440">
        <v>10</v>
      </c>
      <c r="I130" s="28">
        <v>2</v>
      </c>
      <c r="J130" s="441">
        <f t="shared" si="38"/>
        <v>1</v>
      </c>
      <c r="K130" s="28">
        <v>1</v>
      </c>
      <c r="L130" s="267">
        <f t="shared" si="39"/>
        <v>1</v>
      </c>
      <c r="M130" s="433">
        <f t="shared" si="40"/>
        <v>200</v>
      </c>
      <c r="N130" s="434">
        <v>200</v>
      </c>
      <c r="O130" s="435">
        <f t="shared" si="41"/>
        <v>0.50</v>
      </c>
    </row>
    <row r="131" spans="1:15" ht="30">
      <c r="A131" s="13" t="s">
        <v>897</v>
      </c>
      <c r="B131" s="56" t="s">
        <v>895</v>
      </c>
      <c r="C131" s="13" t="s">
        <v>138</v>
      </c>
      <c r="D131" s="13">
        <v>110</v>
      </c>
      <c r="E131" s="13"/>
      <c r="F131" s="13" t="s">
        <v>12</v>
      </c>
      <c r="G131" s="28">
        <v>12</v>
      </c>
      <c r="H131" s="440">
        <v>10</v>
      </c>
      <c r="I131" s="28">
        <v>2</v>
      </c>
      <c r="J131" s="441">
        <f t="shared" si="38"/>
        <v>1.6666666666666667</v>
      </c>
      <c r="K131" s="28">
        <v>1</v>
      </c>
      <c r="L131" s="267">
        <f t="shared" si="39"/>
        <v>1.6666666666666667</v>
      </c>
      <c r="M131" s="433">
        <f t="shared" si="40"/>
        <v>333.33333333333337</v>
      </c>
      <c r="N131" s="434">
        <v>200</v>
      </c>
      <c r="O131" s="435">
        <f t="shared" si="41"/>
        <v>0.83333333333333337</v>
      </c>
    </row>
    <row r="132" spans="1:15" ht="30">
      <c r="A132" s="13" t="s">
        <v>249</v>
      </c>
      <c r="B132" s="56" t="s">
        <v>248</v>
      </c>
      <c r="C132" s="13" t="s">
        <v>25</v>
      </c>
      <c r="D132" s="13">
        <v>110</v>
      </c>
      <c r="E132" s="13" t="s">
        <v>53</v>
      </c>
      <c r="F132" s="13" t="s">
        <v>10</v>
      </c>
      <c r="G132" s="28">
        <v>40</v>
      </c>
      <c r="H132" s="440">
        <v>10</v>
      </c>
      <c r="I132" s="28">
        <v>1</v>
      </c>
      <c r="J132" s="441">
        <f t="shared" si="38"/>
        <v>0.25</v>
      </c>
      <c r="K132" s="28">
        <f>4205*2/1000</f>
        <v>8.41</v>
      </c>
      <c r="L132" s="267">
        <f t="shared" si="39"/>
        <v>2.1025</v>
      </c>
      <c r="M132" s="433">
        <f t="shared" si="40"/>
        <v>420.50</v>
      </c>
      <c r="N132" s="434">
        <v>200</v>
      </c>
      <c r="O132" s="435">
        <f t="shared" si="41"/>
        <v>2.1025</v>
      </c>
    </row>
    <row r="133" spans="1:15" ht="15">
      <c r="A133" s="13" t="s">
        <v>237</v>
      </c>
      <c r="B133" s="56" t="s">
        <v>71</v>
      </c>
      <c r="C133" s="13" t="s">
        <v>68</v>
      </c>
      <c r="D133" s="13">
        <v>110</v>
      </c>
      <c r="E133" s="13"/>
      <c r="F133" s="13" t="s">
        <v>34</v>
      </c>
      <c r="G133" s="28">
        <v>20</v>
      </c>
      <c r="H133" s="440">
        <v>10</v>
      </c>
      <c r="I133" s="28">
        <v>2</v>
      </c>
      <c r="J133" s="441">
        <f t="shared" si="38"/>
        <v>1</v>
      </c>
      <c r="K133" s="28">
        <v>1</v>
      </c>
      <c r="L133" s="267">
        <f t="shared" si="39"/>
        <v>1</v>
      </c>
      <c r="M133" s="433">
        <f t="shared" si="40"/>
        <v>200</v>
      </c>
      <c r="N133" s="434">
        <v>200</v>
      </c>
      <c r="O133" s="435">
        <f t="shared" si="41"/>
        <v>0.50</v>
      </c>
    </row>
    <row r="134" spans="1:15" ht="30">
      <c r="A134" s="13" t="s">
        <v>239</v>
      </c>
      <c r="B134" s="56" t="s">
        <v>240</v>
      </c>
      <c r="C134" s="13" t="s">
        <v>25</v>
      </c>
      <c r="D134" s="13">
        <v>113</v>
      </c>
      <c r="E134" s="13"/>
      <c r="F134" s="13" t="s">
        <v>63</v>
      </c>
      <c r="G134" s="432">
        <v>112</v>
      </c>
      <c r="H134" s="440">
        <v>10</v>
      </c>
      <c r="I134" s="28">
        <v>1</v>
      </c>
      <c r="J134" s="441">
        <f t="shared" si="38"/>
        <v>0.089285714285714288</v>
      </c>
      <c r="K134" s="28">
        <v>83</v>
      </c>
      <c r="L134" s="267">
        <f t="shared" si="39"/>
        <v>7.4107142857142856</v>
      </c>
      <c r="M134" s="433">
        <f t="shared" si="40"/>
        <v>1926.7857142857142</v>
      </c>
      <c r="N134" s="434">
        <v>260</v>
      </c>
      <c r="O134" s="435">
        <f t="shared" si="41"/>
        <v>7.4107142857142856</v>
      </c>
    </row>
    <row r="135" spans="1:15" ht="30">
      <c r="A135" s="13" t="s">
        <v>317</v>
      </c>
      <c r="B135" s="56" t="s">
        <v>242</v>
      </c>
      <c r="C135" s="13" t="s">
        <v>25</v>
      </c>
      <c r="D135" s="13">
        <v>113</v>
      </c>
      <c r="E135" s="13" t="s">
        <v>70</v>
      </c>
      <c r="F135" s="13" t="s">
        <v>10</v>
      </c>
      <c r="G135" s="28">
        <v>40</v>
      </c>
      <c r="H135" s="440">
        <v>10</v>
      </c>
      <c r="I135" s="28">
        <v>1</v>
      </c>
      <c r="J135" s="441">
        <f t="shared" si="38"/>
        <v>0.25</v>
      </c>
      <c r="K135" s="436">
        <f>920/1000*3.1415</f>
        <v>2.8901800000000004</v>
      </c>
      <c r="L135" s="267">
        <f t="shared" si="39"/>
        <v>0.7225450000000001</v>
      </c>
      <c r="M135" s="433">
        <f t="shared" si="40"/>
        <v>144.50900000000001</v>
      </c>
      <c r="N135" s="434">
        <v>200</v>
      </c>
      <c r="O135" s="435">
        <f t="shared" si="41"/>
        <v>0.7225450000000001</v>
      </c>
    </row>
    <row r="136" spans="1:15" ht="30">
      <c r="A136" s="13" t="s">
        <v>245</v>
      </c>
      <c r="B136" s="56" t="s">
        <v>246</v>
      </c>
      <c r="C136" s="13" t="s">
        <v>25</v>
      </c>
      <c r="D136" s="13">
        <v>113</v>
      </c>
      <c r="E136" s="13"/>
      <c r="F136" s="13" t="s">
        <v>63</v>
      </c>
      <c r="G136" s="432">
        <v>112</v>
      </c>
      <c r="H136" s="440">
        <v>10</v>
      </c>
      <c r="I136" s="28">
        <v>1</v>
      </c>
      <c r="J136" s="441">
        <f t="shared" si="38"/>
        <v>0.089285714285714288</v>
      </c>
      <c r="K136" s="28">
        <v>83</v>
      </c>
      <c r="L136" s="267">
        <f t="shared" si="39"/>
        <v>7.4107142857142856</v>
      </c>
      <c r="M136" s="433">
        <f t="shared" si="40"/>
        <v>1926.7857142857142</v>
      </c>
      <c r="N136" s="434">
        <v>260</v>
      </c>
      <c r="O136" s="435">
        <f t="shared" si="41"/>
        <v>7.4107142857142856</v>
      </c>
    </row>
    <row r="137" spans="1:15" ht="15">
      <c r="A137" s="13" t="s">
        <v>741</v>
      </c>
      <c r="B137" s="56" t="s">
        <v>1281</v>
      </c>
      <c r="C137" s="13" t="s">
        <v>33</v>
      </c>
      <c r="D137" s="13">
        <v>115</v>
      </c>
      <c r="E137" s="13"/>
      <c r="F137" s="13"/>
      <c r="G137" s="28">
        <v>5</v>
      </c>
      <c r="H137" s="440">
        <v>10</v>
      </c>
      <c r="I137" s="28">
        <v>1</v>
      </c>
      <c r="J137" s="441">
        <f t="shared" si="38"/>
        <v>2</v>
      </c>
      <c r="K137" s="28">
        <v>1</v>
      </c>
      <c r="L137" s="267">
        <f t="shared" si="39"/>
        <v>2</v>
      </c>
      <c r="M137" s="433">
        <f t="shared" si="40"/>
        <v>400</v>
      </c>
      <c r="N137" s="434">
        <v>200</v>
      </c>
      <c r="O137" s="435">
        <f t="shared" si="41"/>
        <v>2</v>
      </c>
    </row>
    <row r="138" spans="1:15" ht="15">
      <c r="A138" s="645" t="s">
        <v>254</v>
      </c>
      <c r="B138" s="639" t="s">
        <v>884</v>
      </c>
      <c r="C138" s="13" t="s">
        <v>76</v>
      </c>
      <c r="D138" s="13">
        <v>115</v>
      </c>
      <c r="E138" s="13"/>
      <c r="F138" s="13" t="s">
        <v>78</v>
      </c>
      <c r="G138" s="28">
        <v>20</v>
      </c>
      <c r="H138" s="440">
        <v>10</v>
      </c>
      <c r="I138" s="28">
        <v>2</v>
      </c>
      <c r="J138" s="441">
        <f t="shared" si="38"/>
        <v>1</v>
      </c>
      <c r="K138" s="28">
        <v>2</v>
      </c>
      <c r="L138" s="267">
        <f t="shared" si="39"/>
        <v>2</v>
      </c>
      <c r="M138" s="433">
        <f t="shared" si="40"/>
        <v>400</v>
      </c>
      <c r="N138" s="434">
        <v>200</v>
      </c>
      <c r="O138" s="435">
        <f t="shared" si="41"/>
        <v>1</v>
      </c>
    </row>
    <row r="139" spans="1:15" ht="15">
      <c r="A139" s="647"/>
      <c r="B139" s="641"/>
      <c r="C139" s="13" t="s">
        <v>77</v>
      </c>
      <c r="D139" s="13">
        <v>115</v>
      </c>
      <c r="E139" s="13" t="s">
        <v>79</v>
      </c>
      <c r="F139" s="13" t="s">
        <v>10</v>
      </c>
      <c r="G139" s="28">
        <v>40</v>
      </c>
      <c r="H139" s="440">
        <v>10</v>
      </c>
      <c r="I139" s="28">
        <v>1</v>
      </c>
      <c r="J139" s="441">
        <f t="shared" si="38"/>
        <v>0.25</v>
      </c>
      <c r="K139" s="442">
        <f>(116*2*6+130*4)/1000</f>
        <v>1.9119999999999999</v>
      </c>
      <c r="L139" s="267">
        <f t="shared" si="39"/>
        <v>0.47799999999999998</v>
      </c>
      <c r="M139" s="433">
        <f t="shared" si="40"/>
        <v>95.60</v>
      </c>
      <c r="N139" s="434">
        <v>200</v>
      </c>
      <c r="O139" s="435">
        <f t="shared" si="41"/>
        <v>0.47799999999999998</v>
      </c>
    </row>
    <row r="140" spans="1:15" ht="15">
      <c r="A140" s="637" t="s">
        <v>257</v>
      </c>
      <c r="B140" s="638" t="s">
        <v>258</v>
      </c>
      <c r="C140" s="13" t="s">
        <v>259</v>
      </c>
      <c r="D140" s="13">
        <v>107</v>
      </c>
      <c r="E140" s="13" t="s">
        <v>260</v>
      </c>
      <c r="F140" s="13" t="s">
        <v>261</v>
      </c>
      <c r="G140" s="442">
        <f>8*2</f>
        <v>16</v>
      </c>
      <c r="H140" s="468">
        <v>10</v>
      </c>
      <c r="I140" s="432">
        <v>2</v>
      </c>
      <c r="J140" s="468">
        <f t="shared" si="38"/>
        <v>1.25</v>
      </c>
      <c r="K140" s="442">
        <v>1</v>
      </c>
      <c r="L140" s="267">
        <f t="shared" si="39"/>
        <v>1.25</v>
      </c>
      <c r="M140" s="266">
        <f t="shared" si="40"/>
        <v>250</v>
      </c>
      <c r="N140" s="433">
        <v>200</v>
      </c>
      <c r="O140" s="267">
        <f t="shared" si="41"/>
        <v>0.625</v>
      </c>
    </row>
    <row r="141" spans="1:15" ht="15">
      <c r="A141" s="637"/>
      <c r="B141" s="638"/>
      <c r="C141" s="13" t="s">
        <v>262</v>
      </c>
      <c r="D141" s="13">
        <v>107</v>
      </c>
      <c r="E141" s="13" t="s">
        <v>260</v>
      </c>
      <c r="F141" s="13" t="s">
        <v>261</v>
      </c>
      <c r="G141" s="442">
        <v>32</v>
      </c>
      <c r="H141" s="472">
        <v>10</v>
      </c>
      <c r="I141" s="432">
        <v>2</v>
      </c>
      <c r="J141" s="472">
        <f t="shared" si="38"/>
        <v>0.625</v>
      </c>
      <c r="K141" s="442">
        <v>2</v>
      </c>
      <c r="L141" s="435">
        <f t="shared" si="39"/>
        <v>1.25</v>
      </c>
      <c r="M141" s="266">
        <f t="shared" si="40"/>
        <v>250</v>
      </c>
      <c r="N141" s="433">
        <v>200</v>
      </c>
      <c r="O141" s="435">
        <f t="shared" si="41"/>
        <v>0.625</v>
      </c>
    </row>
    <row r="142" spans="1:15" ht="15">
      <c r="A142" s="637"/>
      <c r="B142" s="638"/>
      <c r="C142" s="13" t="s">
        <v>263</v>
      </c>
      <c r="D142" s="13">
        <v>107</v>
      </c>
      <c r="E142" s="13" t="s">
        <v>260</v>
      </c>
      <c r="F142" s="13" t="s">
        <v>261</v>
      </c>
      <c r="G142" s="442">
        <v>90</v>
      </c>
      <c r="H142" s="431">
        <v>10</v>
      </c>
      <c r="I142" s="28">
        <v>2</v>
      </c>
      <c r="J142" s="473">
        <f t="shared" si="38"/>
        <v>0.22222222222222221</v>
      </c>
      <c r="K142" s="442">
        <v>2</v>
      </c>
      <c r="L142" s="435">
        <f t="shared" si="39"/>
        <v>0.44444444444444442</v>
      </c>
      <c r="M142" s="266">
        <f t="shared" si="40"/>
        <v>88.888888888888886</v>
      </c>
      <c r="N142" s="433">
        <v>200</v>
      </c>
      <c r="O142" s="435">
        <f t="shared" si="41"/>
        <v>0.22222222222222221</v>
      </c>
    </row>
    <row r="143" spans="1:15" ht="15">
      <c r="A143" s="637" t="s">
        <v>265</v>
      </c>
      <c r="B143" s="638" t="s">
        <v>266</v>
      </c>
      <c r="C143" s="13" t="s">
        <v>76</v>
      </c>
      <c r="D143" s="13">
        <v>116</v>
      </c>
      <c r="E143" s="13"/>
      <c r="F143" s="13" t="s">
        <v>82</v>
      </c>
      <c r="G143" s="28">
        <v>6</v>
      </c>
      <c r="H143" s="440">
        <v>10</v>
      </c>
      <c r="I143" s="28">
        <v>2</v>
      </c>
      <c r="J143" s="441">
        <f t="shared" si="38"/>
        <v>3.3333333333333335</v>
      </c>
      <c r="K143" s="28">
        <v>1</v>
      </c>
      <c r="L143" s="267">
        <f t="shared" si="39"/>
        <v>3.3333333333333335</v>
      </c>
      <c r="M143" s="433">
        <f t="shared" si="40"/>
        <v>666.66666666666674</v>
      </c>
      <c r="N143" s="434">
        <v>200</v>
      </c>
      <c r="O143" s="435">
        <f t="shared" si="41"/>
        <v>1.6666666666666667</v>
      </c>
    </row>
    <row r="144" spans="1:15" ht="15">
      <c r="A144" s="637"/>
      <c r="B144" s="638"/>
      <c r="C144" s="13" t="s">
        <v>77</v>
      </c>
      <c r="D144" s="13">
        <v>116</v>
      </c>
      <c r="E144" s="13" t="s">
        <v>264</v>
      </c>
      <c r="F144" s="13" t="s">
        <v>10</v>
      </c>
      <c r="G144" s="28">
        <v>40</v>
      </c>
      <c r="H144" s="440">
        <v>10</v>
      </c>
      <c r="I144" s="28">
        <v>1</v>
      </c>
      <c r="J144" s="441">
        <f t="shared" si="38"/>
        <v>0.25</v>
      </c>
      <c r="K144" s="442">
        <f>(133*3.1415*2+273*3.1415)*2/1000</f>
        <v>3.3865370000000001</v>
      </c>
      <c r="L144" s="267">
        <f t="shared" si="39"/>
        <v>0.84663425000000003</v>
      </c>
      <c r="M144" s="433">
        <f t="shared" si="40"/>
        <v>169.32685000000001</v>
      </c>
      <c r="N144" s="434">
        <v>200</v>
      </c>
      <c r="O144" s="435">
        <f t="shared" si="41"/>
        <v>0.84663425000000003</v>
      </c>
    </row>
    <row r="145" spans="1:15" ht="30">
      <c r="A145" s="13" t="s">
        <v>267</v>
      </c>
      <c r="B145" s="27" t="s">
        <v>519</v>
      </c>
      <c r="C145" s="13" t="s">
        <v>77</v>
      </c>
      <c r="D145" s="13">
        <v>116</v>
      </c>
      <c r="E145" s="13"/>
      <c r="F145" s="13" t="s">
        <v>67</v>
      </c>
      <c r="G145" s="28">
        <v>10</v>
      </c>
      <c r="H145" s="440">
        <v>10</v>
      </c>
      <c r="I145" s="28">
        <v>2</v>
      </c>
      <c r="J145" s="441">
        <f t="shared" si="38"/>
        <v>2</v>
      </c>
      <c r="K145" s="28">
        <v>1</v>
      </c>
      <c r="L145" s="267">
        <f t="shared" si="39"/>
        <v>2</v>
      </c>
      <c r="M145" s="433">
        <f t="shared" si="40"/>
        <v>400</v>
      </c>
      <c r="N145" s="434">
        <v>200</v>
      </c>
      <c r="O145" s="435">
        <f t="shared" si="41"/>
        <v>1</v>
      </c>
    </row>
    <row r="146" spans="1:15" ht="15">
      <c r="A146" s="13" t="s">
        <v>268</v>
      </c>
      <c r="B146" s="27" t="s">
        <v>334</v>
      </c>
      <c r="C146" s="13" t="s">
        <v>83</v>
      </c>
      <c r="D146" s="13">
        <v>116</v>
      </c>
      <c r="E146" s="13"/>
      <c r="F146" s="4" t="s">
        <v>84</v>
      </c>
      <c r="G146" s="16">
        <v>10</v>
      </c>
      <c r="H146" s="440">
        <v>10</v>
      </c>
      <c r="I146" s="28">
        <v>2</v>
      </c>
      <c r="J146" s="441">
        <f t="shared" si="38"/>
        <v>2</v>
      </c>
      <c r="K146" s="28">
        <v>1</v>
      </c>
      <c r="L146" s="267">
        <f t="shared" si="39"/>
        <v>2</v>
      </c>
      <c r="M146" s="433">
        <f t="shared" si="40"/>
        <v>400</v>
      </c>
      <c r="N146" s="434">
        <v>200</v>
      </c>
      <c r="O146" s="435">
        <f t="shared" si="41"/>
        <v>1</v>
      </c>
    </row>
    <row r="147" spans="1:15" ht="15">
      <c r="A147" s="13" t="s">
        <v>335</v>
      </c>
      <c r="B147" s="27" t="s">
        <v>336</v>
      </c>
      <c r="C147" s="13" t="s">
        <v>83</v>
      </c>
      <c r="D147" s="13">
        <v>116</v>
      </c>
      <c r="E147" s="13"/>
      <c r="F147" s="4" t="s">
        <v>84</v>
      </c>
      <c r="G147" s="16">
        <v>5</v>
      </c>
      <c r="H147" s="440">
        <v>10</v>
      </c>
      <c r="I147" s="28">
        <v>2</v>
      </c>
      <c r="J147" s="441">
        <f t="shared" si="38"/>
        <v>4</v>
      </c>
      <c r="K147" s="28">
        <v>1</v>
      </c>
      <c r="L147" s="267">
        <f t="shared" si="39"/>
        <v>4</v>
      </c>
      <c r="M147" s="433">
        <f t="shared" si="40"/>
        <v>800</v>
      </c>
      <c r="N147" s="434">
        <v>200</v>
      </c>
      <c r="O147" s="435">
        <f t="shared" si="41"/>
        <v>2</v>
      </c>
    </row>
    <row r="148" spans="1:15" ht="15">
      <c r="A148" s="13" t="s">
        <v>526</v>
      </c>
      <c r="B148" s="56" t="s">
        <v>524</v>
      </c>
      <c r="C148" s="13" t="s">
        <v>523</v>
      </c>
      <c r="D148" s="13">
        <v>224</v>
      </c>
      <c r="E148" s="13"/>
      <c r="F148" s="4" t="s">
        <v>525</v>
      </c>
      <c r="G148" s="28">
        <v>600</v>
      </c>
      <c r="H148" s="431">
        <v>10</v>
      </c>
      <c r="I148" s="28">
        <v>1</v>
      </c>
      <c r="J148" s="441">
        <f t="shared" si="38"/>
        <v>0.016666666666666666</v>
      </c>
      <c r="K148" s="28">
        <v>4</v>
      </c>
      <c r="L148" s="267">
        <f t="shared" si="39"/>
        <v>0.066666666666666666</v>
      </c>
      <c r="M148" s="433">
        <f t="shared" si="40"/>
        <v>11.733333333333333</v>
      </c>
      <c r="N148" s="434">
        <v>176</v>
      </c>
      <c r="O148" s="435">
        <f t="shared" si="41"/>
        <v>0.066666666666666666</v>
      </c>
    </row>
    <row r="149" spans="1:15" ht="15">
      <c r="A149" s="13" t="s">
        <v>269</v>
      </c>
      <c r="B149" s="56" t="s">
        <v>270</v>
      </c>
      <c r="C149" s="13" t="s">
        <v>523</v>
      </c>
      <c r="D149" s="13">
        <v>224</v>
      </c>
      <c r="E149" s="13"/>
      <c r="F149" s="4" t="s">
        <v>88</v>
      </c>
      <c r="G149" s="28">
        <v>300</v>
      </c>
      <c r="H149" s="431">
        <v>10</v>
      </c>
      <c r="I149" s="28">
        <v>1</v>
      </c>
      <c r="J149" s="441">
        <f t="shared" si="38"/>
        <v>0.033333333333333333</v>
      </c>
      <c r="K149" s="28">
        <v>2</v>
      </c>
      <c r="L149" s="267">
        <f t="shared" si="39"/>
        <v>0.066666666666666666</v>
      </c>
      <c r="M149" s="433">
        <f t="shared" si="40"/>
        <v>11.733333333333333</v>
      </c>
      <c r="N149" s="434">
        <v>176</v>
      </c>
      <c r="O149" s="435">
        <f t="shared" si="41"/>
        <v>0.066666666666666666</v>
      </c>
    </row>
    <row r="150" spans="1:15" ht="15">
      <c r="A150" s="13" t="s">
        <v>918</v>
      </c>
      <c r="B150" s="56" t="s">
        <v>898</v>
      </c>
      <c r="C150" s="13" t="s">
        <v>523</v>
      </c>
      <c r="D150" s="13">
        <v>224</v>
      </c>
      <c r="E150" s="13"/>
      <c r="F150" s="4" t="s">
        <v>88</v>
      </c>
      <c r="G150" s="28">
        <v>600</v>
      </c>
      <c r="H150" s="431">
        <v>10</v>
      </c>
      <c r="I150" s="28">
        <v>1</v>
      </c>
      <c r="J150" s="441">
        <f t="shared" si="38"/>
        <v>0.016666666666666666</v>
      </c>
      <c r="K150" s="28">
        <v>1</v>
      </c>
      <c r="L150" s="267">
        <f t="shared" si="39"/>
        <v>0.016666666666666666</v>
      </c>
      <c r="M150" s="433">
        <f t="shared" si="40"/>
        <v>2.9333333333333331</v>
      </c>
      <c r="N150" s="434">
        <v>176</v>
      </c>
      <c r="O150" s="435">
        <f t="shared" si="41"/>
        <v>0.016666666666666666</v>
      </c>
    </row>
    <row r="151" spans="1:15" ht="30">
      <c r="A151" s="13" t="s">
        <v>271</v>
      </c>
      <c r="B151" s="56" t="s">
        <v>85</v>
      </c>
      <c r="C151" s="13" t="s">
        <v>83</v>
      </c>
      <c r="D151" s="13">
        <v>116</v>
      </c>
      <c r="E151" s="13"/>
      <c r="F151" s="13" t="s">
        <v>12</v>
      </c>
      <c r="G151" s="28">
        <v>2</v>
      </c>
      <c r="H151" s="440">
        <v>10</v>
      </c>
      <c r="I151" s="28">
        <v>2</v>
      </c>
      <c r="J151" s="441">
        <f t="shared" si="38"/>
        <v>10</v>
      </c>
      <c r="K151" s="28">
        <v>1</v>
      </c>
      <c r="L151" s="267">
        <f t="shared" si="39"/>
        <v>10</v>
      </c>
      <c r="M151" s="433">
        <f t="shared" si="40"/>
        <v>2000</v>
      </c>
      <c r="N151" s="434">
        <v>200</v>
      </c>
      <c r="O151" s="435">
        <f t="shared" si="41"/>
        <v>5</v>
      </c>
    </row>
    <row r="152" spans="1:15" ht="15">
      <c r="A152" s="13" t="s">
        <v>272</v>
      </c>
      <c r="B152" s="27" t="s">
        <v>337</v>
      </c>
      <c r="C152" s="13" t="s">
        <v>83</v>
      </c>
      <c r="D152" s="13">
        <v>116</v>
      </c>
      <c r="E152" s="13"/>
      <c r="F152" s="4" t="s">
        <v>89</v>
      </c>
      <c r="G152" s="28">
        <v>10</v>
      </c>
      <c r="H152" s="440">
        <v>10</v>
      </c>
      <c r="I152" s="28">
        <v>2</v>
      </c>
      <c r="J152" s="441">
        <f t="shared" si="38"/>
        <v>2</v>
      </c>
      <c r="K152" s="28">
        <v>1</v>
      </c>
      <c r="L152" s="267">
        <f t="shared" si="39"/>
        <v>2</v>
      </c>
      <c r="M152" s="433">
        <f t="shared" si="40"/>
        <v>400</v>
      </c>
      <c r="N152" s="434">
        <v>200</v>
      </c>
      <c r="O152" s="435">
        <f t="shared" si="41"/>
        <v>1</v>
      </c>
    </row>
    <row r="153" spans="1:15" ht="30">
      <c r="A153" s="13" t="s">
        <v>339</v>
      </c>
      <c r="B153" s="27" t="s">
        <v>338</v>
      </c>
      <c r="C153" s="13" t="s">
        <v>83</v>
      </c>
      <c r="D153" s="13">
        <v>116</v>
      </c>
      <c r="E153" s="13"/>
      <c r="F153" s="4" t="s">
        <v>89</v>
      </c>
      <c r="G153" s="28">
        <v>5.30</v>
      </c>
      <c r="H153" s="440">
        <v>10</v>
      </c>
      <c r="I153" s="28">
        <v>2</v>
      </c>
      <c r="J153" s="441">
        <f t="shared" si="38"/>
        <v>3.7735849056603774</v>
      </c>
      <c r="K153" s="28">
        <v>1</v>
      </c>
      <c r="L153" s="267">
        <f t="shared" si="39"/>
        <v>3.7735849056603774</v>
      </c>
      <c r="M153" s="433">
        <f t="shared" si="40"/>
        <v>754.71698113207549</v>
      </c>
      <c r="N153" s="434">
        <v>200</v>
      </c>
      <c r="O153" s="435">
        <f t="shared" si="41"/>
        <v>1.8867924528301887</v>
      </c>
    </row>
    <row r="154" spans="1:15" ht="30">
      <c r="A154" s="13" t="s">
        <v>273</v>
      </c>
      <c r="B154" s="27" t="s">
        <v>125</v>
      </c>
      <c r="C154" s="13" t="s">
        <v>54</v>
      </c>
      <c r="D154" s="13">
        <v>116</v>
      </c>
      <c r="E154" s="13"/>
      <c r="F154" s="4" t="s">
        <v>88</v>
      </c>
      <c r="G154" s="28">
        <v>14</v>
      </c>
      <c r="H154" s="440">
        <v>10</v>
      </c>
      <c r="I154" s="28">
        <v>2</v>
      </c>
      <c r="J154" s="441">
        <f t="shared" si="38"/>
        <v>1.4285714285714286</v>
      </c>
      <c r="K154" s="28">
        <v>2</v>
      </c>
      <c r="L154" s="267">
        <f t="shared" si="39"/>
        <v>2.8571428571428572</v>
      </c>
      <c r="M154" s="433">
        <f t="shared" si="40"/>
        <v>571.42857142857144</v>
      </c>
      <c r="N154" s="434">
        <v>200</v>
      </c>
      <c r="O154" s="435">
        <f t="shared" si="41"/>
        <v>1.4285714285714286</v>
      </c>
    </row>
    <row r="155" spans="1:15" ht="30">
      <c r="A155" s="523" t="s">
        <v>1668</v>
      </c>
      <c r="B155" s="522" t="s">
        <v>1670</v>
      </c>
      <c r="C155" s="523" t="s">
        <v>33</v>
      </c>
      <c r="D155" s="523">
        <v>116</v>
      </c>
      <c r="E155" s="523"/>
      <c r="F155" s="523" t="s">
        <v>1666</v>
      </c>
      <c r="G155" s="527">
        <v>10.32</v>
      </c>
      <c r="H155" s="530">
        <v>10</v>
      </c>
      <c r="I155" s="527">
        <v>2</v>
      </c>
      <c r="J155" s="531">
        <f t="shared" si="38"/>
        <v>1.9379844961240309</v>
      </c>
      <c r="K155" s="527">
        <v>1</v>
      </c>
      <c r="L155" s="267">
        <f t="shared" si="39"/>
        <v>1.9379844961240309</v>
      </c>
      <c r="M155" s="433">
        <f t="shared" si="40"/>
        <v>387.59689922480618</v>
      </c>
      <c r="N155" s="434">
        <v>200</v>
      </c>
      <c r="O155" s="435">
        <f t="shared" si="41"/>
        <v>0.96899224806201545</v>
      </c>
    </row>
    <row r="156" spans="1:15" ht="30">
      <c r="A156" s="523" t="s">
        <v>1669</v>
      </c>
      <c r="B156" s="522" t="s">
        <v>1671</v>
      </c>
      <c r="C156" s="523" t="s">
        <v>33</v>
      </c>
      <c r="D156" s="523">
        <v>116</v>
      </c>
      <c r="E156" s="523"/>
      <c r="F156" s="523" t="s">
        <v>10</v>
      </c>
      <c r="G156" s="527">
        <v>40</v>
      </c>
      <c r="H156" s="530">
        <v>10</v>
      </c>
      <c r="I156" s="527">
        <v>1</v>
      </c>
      <c r="J156" s="531">
        <f t="shared" si="38"/>
        <v>0.25</v>
      </c>
      <c r="K156" s="525">
        <f>4303/1000</f>
        <v>4.3029999999999999</v>
      </c>
      <c r="L156" s="267">
        <f t="shared" si="39"/>
        <v>1.07575</v>
      </c>
      <c r="M156" s="433">
        <f t="shared" si="40"/>
        <v>215.15</v>
      </c>
      <c r="N156" s="434">
        <v>200</v>
      </c>
      <c r="O156" s="435">
        <f t="shared" si="41"/>
        <v>1.07575</v>
      </c>
    </row>
    <row r="157" spans="1:15" ht="15">
      <c r="A157" s="13" t="s">
        <v>274</v>
      </c>
      <c r="B157" s="27" t="s">
        <v>275</v>
      </c>
      <c r="C157" s="13" t="s">
        <v>83</v>
      </c>
      <c r="D157" s="13">
        <v>116</v>
      </c>
      <c r="E157" s="13"/>
      <c r="F157" s="4" t="s">
        <v>276</v>
      </c>
      <c r="G157" s="28">
        <v>20</v>
      </c>
      <c r="H157" s="440">
        <v>10</v>
      </c>
      <c r="I157" s="28">
        <v>2</v>
      </c>
      <c r="J157" s="441">
        <f t="shared" si="38"/>
        <v>1</v>
      </c>
      <c r="K157" s="28">
        <v>1</v>
      </c>
      <c r="L157" s="267">
        <f t="shared" si="39"/>
        <v>1</v>
      </c>
      <c r="M157" s="433">
        <f t="shared" si="40"/>
        <v>200</v>
      </c>
      <c r="N157" s="434">
        <v>200</v>
      </c>
      <c r="O157" s="435">
        <f t="shared" si="41"/>
        <v>0.50</v>
      </c>
    </row>
    <row r="158" spans="1:15" ht="15">
      <c r="A158" s="13" t="s">
        <v>277</v>
      </c>
      <c r="B158" s="27" t="s">
        <v>278</v>
      </c>
      <c r="C158" s="13" t="s">
        <v>83</v>
      </c>
      <c r="D158" s="13">
        <v>116</v>
      </c>
      <c r="E158" s="13"/>
      <c r="F158" s="4" t="s">
        <v>90</v>
      </c>
      <c r="G158" s="28">
        <v>15</v>
      </c>
      <c r="H158" s="440">
        <v>10</v>
      </c>
      <c r="I158" s="28">
        <v>2</v>
      </c>
      <c r="J158" s="441">
        <f t="shared" si="38"/>
        <v>1.3333333333333333</v>
      </c>
      <c r="K158" s="28">
        <v>1</v>
      </c>
      <c r="L158" s="267">
        <f t="shared" si="39"/>
        <v>1.3333333333333333</v>
      </c>
      <c r="M158" s="433">
        <f t="shared" si="40"/>
        <v>266.66666666666663</v>
      </c>
      <c r="N158" s="434">
        <v>200</v>
      </c>
      <c r="O158" s="435">
        <f t="shared" si="41"/>
        <v>0.66666666666666663</v>
      </c>
    </row>
    <row r="159" spans="1:15" ht="15">
      <c r="A159" s="13" t="s">
        <v>279</v>
      </c>
      <c r="B159" s="27" t="s">
        <v>280</v>
      </c>
      <c r="C159" s="13" t="s">
        <v>29</v>
      </c>
      <c r="D159" s="13">
        <v>120</v>
      </c>
      <c r="E159" s="13"/>
      <c r="F159" s="13" t="s">
        <v>12</v>
      </c>
      <c r="G159" s="28">
        <v>10</v>
      </c>
      <c r="H159" s="440">
        <v>10</v>
      </c>
      <c r="I159" s="28">
        <v>1</v>
      </c>
      <c r="J159" s="441">
        <f t="shared" si="38"/>
        <v>1</v>
      </c>
      <c r="K159" s="28">
        <v>1</v>
      </c>
      <c r="L159" s="435">
        <f t="shared" si="39"/>
        <v>1</v>
      </c>
      <c r="M159" s="266">
        <f t="shared" si="40"/>
        <v>176</v>
      </c>
      <c r="N159" s="433">
        <v>176</v>
      </c>
      <c r="O159" s="435">
        <f t="shared" si="41"/>
        <v>1</v>
      </c>
    </row>
    <row r="160" spans="1:15" ht="15">
      <c r="A160" s="13" t="s">
        <v>281</v>
      </c>
      <c r="B160" s="56" t="s">
        <v>30</v>
      </c>
      <c r="C160" s="13" t="s">
        <v>29</v>
      </c>
      <c r="D160" s="13">
        <v>120</v>
      </c>
      <c r="E160" s="13"/>
      <c r="F160" s="13" t="s">
        <v>12</v>
      </c>
      <c r="G160" s="436">
        <v>3.50</v>
      </c>
      <c r="H160" s="440">
        <v>10</v>
      </c>
      <c r="I160" s="28">
        <v>1</v>
      </c>
      <c r="J160" s="441">
        <f t="shared" si="38"/>
        <v>2.8571428571428572</v>
      </c>
      <c r="K160" s="28">
        <v>1</v>
      </c>
      <c r="L160" s="267">
        <f t="shared" si="39"/>
        <v>2.8571428571428572</v>
      </c>
      <c r="M160" s="433">
        <f t="shared" si="40"/>
        <v>502.85714285714289</v>
      </c>
      <c r="N160" s="434">
        <v>176</v>
      </c>
      <c r="O160" s="435">
        <f t="shared" si="41"/>
        <v>2.8571428571428572</v>
      </c>
    </row>
    <row r="161" spans="1:15" ht="30">
      <c r="A161" s="13" t="s">
        <v>282</v>
      </c>
      <c r="B161" s="56" t="s">
        <v>283</v>
      </c>
      <c r="C161" s="13" t="s">
        <v>29</v>
      </c>
      <c r="D161" s="13">
        <v>120</v>
      </c>
      <c r="E161" s="13"/>
      <c r="F161" s="13" t="s">
        <v>12</v>
      </c>
      <c r="G161" s="436">
        <v>4.2300000000000004</v>
      </c>
      <c r="H161" s="440">
        <v>10</v>
      </c>
      <c r="I161" s="28">
        <v>1</v>
      </c>
      <c r="J161" s="441">
        <f t="shared" si="38"/>
        <v>2.3640661938534278</v>
      </c>
      <c r="K161" s="28">
        <v>1</v>
      </c>
      <c r="L161" s="267">
        <f t="shared" si="39"/>
        <v>2.3640661938534278</v>
      </c>
      <c r="M161" s="433">
        <f t="shared" si="40"/>
        <v>416.07565011820327</v>
      </c>
      <c r="N161" s="434">
        <v>176</v>
      </c>
      <c r="O161" s="435">
        <f t="shared" si="41"/>
        <v>2.3640661938534278</v>
      </c>
    </row>
    <row r="162" spans="1:15" ht="15">
      <c r="A162" s="13" t="s">
        <v>902</v>
      </c>
      <c r="B162" s="56" t="s">
        <v>1012</v>
      </c>
      <c r="C162" s="13" t="s">
        <v>523</v>
      </c>
      <c r="D162" s="13">
        <v>224</v>
      </c>
      <c r="E162" s="13"/>
      <c r="F162" s="4" t="s">
        <v>900</v>
      </c>
      <c r="G162" s="28">
        <v>600</v>
      </c>
      <c r="H162" s="431">
        <v>10</v>
      </c>
      <c r="I162" s="28">
        <v>1</v>
      </c>
      <c r="J162" s="441">
        <f t="shared" si="38"/>
        <v>0.016666666666666666</v>
      </c>
      <c r="K162" s="28">
        <v>1</v>
      </c>
      <c r="L162" s="267">
        <f t="shared" si="39"/>
        <v>0.016666666666666666</v>
      </c>
      <c r="M162" s="433">
        <f t="shared" si="40"/>
        <v>2.9333333333333331</v>
      </c>
      <c r="N162" s="434">
        <v>176</v>
      </c>
      <c r="O162" s="435">
        <f t="shared" si="41"/>
        <v>0.016666666666666666</v>
      </c>
    </row>
    <row r="163" spans="1:15" ht="15">
      <c r="A163" s="13" t="s">
        <v>285</v>
      </c>
      <c r="B163" s="56" t="s">
        <v>901</v>
      </c>
      <c r="C163" s="13" t="s">
        <v>83</v>
      </c>
      <c r="D163" s="13">
        <v>116</v>
      </c>
      <c r="E163" s="13"/>
      <c r="F163" s="13" t="s">
        <v>12</v>
      </c>
      <c r="G163" s="28">
        <v>8</v>
      </c>
      <c r="H163" s="440">
        <v>10</v>
      </c>
      <c r="I163" s="28">
        <v>2</v>
      </c>
      <c r="J163" s="441">
        <f t="shared" si="38"/>
        <v>2.50</v>
      </c>
      <c r="K163" s="28">
        <v>1</v>
      </c>
      <c r="L163" s="267">
        <f t="shared" si="39"/>
        <v>2.50</v>
      </c>
      <c r="M163" s="433">
        <f t="shared" si="40"/>
        <v>500</v>
      </c>
      <c r="N163" s="434">
        <v>200</v>
      </c>
      <c r="O163" s="435">
        <f t="shared" si="41"/>
        <v>1.25</v>
      </c>
    </row>
    <row r="164" spans="1:15" ht="15">
      <c r="A164" s="645" t="s">
        <v>997</v>
      </c>
      <c r="B164" s="639" t="s">
        <v>998</v>
      </c>
      <c r="C164" s="13" t="s">
        <v>76</v>
      </c>
      <c r="D164" s="13">
        <v>116</v>
      </c>
      <c r="E164" s="13"/>
      <c r="F164" s="13" t="s">
        <v>78</v>
      </c>
      <c r="G164" s="28">
        <v>40</v>
      </c>
      <c r="H164" s="440">
        <v>10</v>
      </c>
      <c r="I164" s="28">
        <v>2</v>
      </c>
      <c r="J164" s="441">
        <f t="shared" si="38"/>
        <v>0.50</v>
      </c>
      <c r="K164" s="28">
        <v>4</v>
      </c>
      <c r="L164" s="267">
        <f t="shared" si="39"/>
        <v>2</v>
      </c>
      <c r="M164" s="433">
        <f t="shared" si="40"/>
        <v>400</v>
      </c>
      <c r="N164" s="434">
        <v>200</v>
      </c>
      <c r="O164" s="435">
        <f t="shared" si="41"/>
        <v>1</v>
      </c>
    </row>
    <row r="165" spans="1:15" ht="15">
      <c r="A165" s="647"/>
      <c r="B165" s="641"/>
      <c r="C165" s="13" t="s">
        <v>77</v>
      </c>
      <c r="D165" s="13">
        <v>116</v>
      </c>
      <c r="E165" s="13" t="s">
        <v>999</v>
      </c>
      <c r="F165" s="13" t="s">
        <v>10</v>
      </c>
      <c r="G165" s="28">
        <v>40</v>
      </c>
      <c r="H165" s="440">
        <v>10</v>
      </c>
      <c r="I165" s="28">
        <v>1</v>
      </c>
      <c r="J165" s="441">
        <f t="shared" si="38"/>
        <v>0.25</v>
      </c>
      <c r="K165" s="442">
        <f>(1100*2*2)/1000</f>
        <v>4.4000000000000004</v>
      </c>
      <c r="L165" s="267">
        <f t="shared" si="39"/>
        <v>1.1000000000000001</v>
      </c>
      <c r="M165" s="433">
        <f t="shared" si="40"/>
        <v>220.00000000000003</v>
      </c>
      <c r="N165" s="434">
        <v>200</v>
      </c>
      <c r="O165" s="435">
        <f t="shared" si="41"/>
        <v>1.1000000000000001</v>
      </c>
    </row>
    <row r="166" spans="1:15" ht="15">
      <c r="A166" s="13" t="s">
        <v>286</v>
      </c>
      <c r="B166" s="27" t="s">
        <v>288</v>
      </c>
      <c r="C166" s="13" t="s">
        <v>287</v>
      </c>
      <c r="D166" s="13">
        <v>116</v>
      </c>
      <c r="E166" s="13"/>
      <c r="F166" s="13" t="s">
        <v>67</v>
      </c>
      <c r="G166" s="28">
        <v>40</v>
      </c>
      <c r="H166" s="440">
        <v>10</v>
      </c>
      <c r="I166" s="28">
        <v>1</v>
      </c>
      <c r="J166" s="441">
        <f t="shared" si="38"/>
        <v>0.25</v>
      </c>
      <c r="K166" s="28">
        <v>4</v>
      </c>
      <c r="L166" s="267">
        <f t="shared" si="39"/>
        <v>1</v>
      </c>
      <c r="M166" s="433">
        <f t="shared" si="40"/>
        <v>152</v>
      </c>
      <c r="N166" s="434">
        <v>152</v>
      </c>
      <c r="O166" s="435">
        <f t="shared" si="41"/>
        <v>1</v>
      </c>
    </row>
    <row r="167" spans="1:15" ht="15">
      <c r="A167" s="39"/>
      <c r="B167" s="649" t="s">
        <v>134</v>
      </c>
      <c r="C167" s="649"/>
      <c r="D167" s="649"/>
      <c r="E167" s="649"/>
      <c r="F167" s="649"/>
      <c r="G167" s="649"/>
      <c r="H167" s="649"/>
      <c r="I167" s="649"/>
      <c r="J167" s="649"/>
      <c r="K167" s="649"/>
      <c r="L167" s="267"/>
      <c r="M167" s="262">
        <f>SUM(M168:M189)</f>
        <v>10252.303771281615</v>
      </c>
      <c r="N167" s="263"/>
      <c r="O167" s="264">
        <f>SUM(O168:O189)</f>
        <v>41.436848113584524</v>
      </c>
    </row>
    <row r="168" spans="1:16" ht="30">
      <c r="A168" s="13" t="s">
        <v>297</v>
      </c>
      <c r="B168" s="56" t="s">
        <v>298</v>
      </c>
      <c r="C168" s="13" t="s">
        <v>33</v>
      </c>
      <c r="D168" s="13">
        <v>116</v>
      </c>
      <c r="E168" s="13"/>
      <c r="F168" s="13" t="s">
        <v>96</v>
      </c>
      <c r="G168" s="432">
        <v>10</v>
      </c>
      <c r="H168" s="440">
        <v>10</v>
      </c>
      <c r="I168" s="28">
        <v>2</v>
      </c>
      <c r="J168" s="441">
        <f t="shared" si="42" ref="J168:J189">H168/G168*I168</f>
        <v>2</v>
      </c>
      <c r="K168" s="28">
        <v>1</v>
      </c>
      <c r="L168" s="267">
        <f t="shared" si="43" ref="L168:L189">J168*K168</f>
        <v>2</v>
      </c>
      <c r="M168" s="433">
        <f t="shared" si="44" ref="M168:M189">L168*N168</f>
        <v>400</v>
      </c>
      <c r="N168" s="434">
        <v>200</v>
      </c>
      <c r="O168" s="435">
        <f t="shared" si="45" ref="O168:O189">J168/I168*K168</f>
        <v>1</v>
      </c>
      <c r="P168" s="22"/>
    </row>
    <row r="169" spans="1:16" ht="30">
      <c r="A169" s="523" t="s">
        <v>1663</v>
      </c>
      <c r="B169" s="522" t="s">
        <v>1665</v>
      </c>
      <c r="C169" s="523" t="s">
        <v>33</v>
      </c>
      <c r="D169" s="523">
        <v>116</v>
      </c>
      <c r="E169" s="523"/>
      <c r="F169" s="523" t="s">
        <v>1666</v>
      </c>
      <c r="G169" s="527">
        <v>10.199999999999999</v>
      </c>
      <c r="H169" s="530">
        <v>10</v>
      </c>
      <c r="I169" s="527">
        <v>2</v>
      </c>
      <c r="J169" s="531">
        <f t="shared" si="42"/>
        <v>1.9607843137254903</v>
      </c>
      <c r="K169" s="527">
        <v>1</v>
      </c>
      <c r="L169" s="267">
        <f t="shared" si="43"/>
        <v>1.9607843137254903</v>
      </c>
      <c r="M169" s="433">
        <f t="shared" si="44"/>
        <v>392.15686274509807</v>
      </c>
      <c r="N169" s="434">
        <v>200</v>
      </c>
      <c r="O169" s="435">
        <f t="shared" si="45"/>
        <v>0.98039215686274517</v>
      </c>
      <c r="P169" s="22"/>
    </row>
    <row r="170" spans="1:16" ht="30">
      <c r="A170" s="523" t="s">
        <v>1664</v>
      </c>
      <c r="B170" s="522" t="s">
        <v>1667</v>
      </c>
      <c r="C170" s="523" t="s">
        <v>33</v>
      </c>
      <c r="D170" s="523">
        <v>116</v>
      </c>
      <c r="E170" s="523"/>
      <c r="F170" s="523" t="s">
        <v>10</v>
      </c>
      <c r="G170" s="527">
        <v>40</v>
      </c>
      <c r="H170" s="530">
        <v>10</v>
      </c>
      <c r="I170" s="527">
        <v>1</v>
      </c>
      <c r="J170" s="531">
        <f t="shared" si="42"/>
        <v>0.25</v>
      </c>
      <c r="K170" s="525">
        <f>4213/1000</f>
        <v>4.2130000000000001</v>
      </c>
      <c r="L170" s="267">
        <f t="shared" si="43"/>
        <v>1.05325</v>
      </c>
      <c r="M170" s="433">
        <f t="shared" si="44"/>
        <v>210.65</v>
      </c>
      <c r="N170" s="434">
        <v>200</v>
      </c>
      <c r="O170" s="435">
        <f t="shared" si="45"/>
        <v>1.05325</v>
      </c>
      <c r="P170" s="22"/>
    </row>
    <row r="171" spans="1:16" ht="30">
      <c r="A171" s="13" t="s">
        <v>299</v>
      </c>
      <c r="B171" s="56" t="s">
        <v>300</v>
      </c>
      <c r="C171" s="13" t="s">
        <v>33</v>
      </c>
      <c r="D171" s="13">
        <v>119</v>
      </c>
      <c r="E171" s="13"/>
      <c r="F171" s="13" t="s">
        <v>96</v>
      </c>
      <c r="G171" s="442">
        <v>16.10</v>
      </c>
      <c r="H171" s="440">
        <v>10</v>
      </c>
      <c r="I171" s="28">
        <v>2</v>
      </c>
      <c r="J171" s="441">
        <f t="shared" si="42"/>
        <v>1.2422360248447204</v>
      </c>
      <c r="K171" s="28">
        <v>1</v>
      </c>
      <c r="L171" s="267">
        <f t="shared" si="43"/>
        <v>1.2422360248447204</v>
      </c>
      <c r="M171" s="433">
        <f t="shared" si="44"/>
        <v>248.44720496894408</v>
      </c>
      <c r="N171" s="434">
        <v>200</v>
      </c>
      <c r="O171" s="435">
        <f t="shared" si="45"/>
        <v>0.6211180124223602</v>
      </c>
      <c r="P171" s="22"/>
    </row>
    <row r="172" spans="1:16" ht="30">
      <c r="A172" s="13" t="s">
        <v>301</v>
      </c>
      <c r="B172" s="27" t="s">
        <v>97</v>
      </c>
      <c r="C172" s="13" t="s">
        <v>83</v>
      </c>
      <c r="D172" s="13">
        <v>119</v>
      </c>
      <c r="E172" s="13"/>
      <c r="F172" s="13" t="s">
        <v>12</v>
      </c>
      <c r="G172" s="442">
        <v>3.1030000000000002</v>
      </c>
      <c r="H172" s="440">
        <v>10</v>
      </c>
      <c r="I172" s="28">
        <v>2</v>
      </c>
      <c r="J172" s="441">
        <f t="shared" si="42"/>
        <v>6.4453754431195609</v>
      </c>
      <c r="K172" s="28">
        <v>1</v>
      </c>
      <c r="L172" s="267">
        <f t="shared" si="43"/>
        <v>6.4453754431195609</v>
      </c>
      <c r="M172" s="433">
        <f t="shared" si="44"/>
        <v>1289.0750886239123</v>
      </c>
      <c r="N172" s="434">
        <v>200</v>
      </c>
      <c r="O172" s="435">
        <f t="shared" si="45"/>
        <v>3.2226877215597804</v>
      </c>
      <c r="P172" s="22"/>
    </row>
    <row r="173" spans="1:15" ht="15">
      <c r="A173" s="57" t="s">
        <v>530</v>
      </c>
      <c r="B173" s="269" t="s">
        <v>531</v>
      </c>
      <c r="C173" s="13" t="s">
        <v>33</v>
      </c>
      <c r="D173" s="13">
        <v>226</v>
      </c>
      <c r="E173" s="13"/>
      <c r="F173" s="13" t="s">
        <v>12</v>
      </c>
      <c r="G173" s="28">
        <v>10</v>
      </c>
      <c r="H173" s="440">
        <v>10</v>
      </c>
      <c r="I173" s="28">
        <v>1</v>
      </c>
      <c r="J173" s="441">
        <f t="shared" si="42"/>
        <v>1</v>
      </c>
      <c r="K173" s="442">
        <v>1</v>
      </c>
      <c r="L173" s="267">
        <f t="shared" si="43"/>
        <v>1</v>
      </c>
      <c r="M173" s="266">
        <f t="shared" si="44"/>
        <v>200</v>
      </c>
      <c r="N173" s="433">
        <v>200</v>
      </c>
      <c r="O173" s="435">
        <f t="shared" si="45"/>
        <v>1</v>
      </c>
    </row>
    <row r="174" spans="1:16" ht="15">
      <c r="A174" s="13" t="s">
        <v>290</v>
      </c>
      <c r="B174" s="27" t="s">
        <v>31</v>
      </c>
      <c r="C174" s="13" t="s">
        <v>14</v>
      </c>
      <c r="D174" s="13">
        <v>226</v>
      </c>
      <c r="E174" s="13"/>
      <c r="F174" s="13" t="s">
        <v>58</v>
      </c>
      <c r="G174" s="28">
        <v>61</v>
      </c>
      <c r="H174" s="440">
        <v>10</v>
      </c>
      <c r="I174" s="28">
        <v>1</v>
      </c>
      <c r="J174" s="441">
        <f t="shared" si="42"/>
        <v>0.16393442622950818</v>
      </c>
      <c r="K174" s="28">
        <v>13.20</v>
      </c>
      <c r="L174" s="267">
        <f t="shared" si="43"/>
        <v>2.1639344262295079</v>
      </c>
      <c r="M174" s="433">
        <f t="shared" si="44"/>
        <v>432.7868852459016</v>
      </c>
      <c r="N174" s="434">
        <v>200</v>
      </c>
      <c r="O174" s="435">
        <f t="shared" si="45"/>
        <v>2.1639344262295079</v>
      </c>
      <c r="P174" s="22"/>
    </row>
    <row r="175" spans="1:16" ht="15">
      <c r="A175" s="13" t="s">
        <v>302</v>
      </c>
      <c r="B175" s="27" t="s">
        <v>903</v>
      </c>
      <c r="C175" s="13" t="s">
        <v>523</v>
      </c>
      <c r="D175" s="13">
        <v>224</v>
      </c>
      <c r="E175" s="13"/>
      <c r="F175" s="13" t="s">
        <v>400</v>
      </c>
      <c r="G175" s="442">
        <v>30</v>
      </c>
      <c r="H175" s="440">
        <v>10</v>
      </c>
      <c r="I175" s="28">
        <v>2</v>
      </c>
      <c r="J175" s="441">
        <f t="shared" si="42"/>
        <v>0.66666666666666663</v>
      </c>
      <c r="K175" s="28">
        <v>1</v>
      </c>
      <c r="L175" s="267">
        <f t="shared" si="43"/>
        <v>0.66666666666666663</v>
      </c>
      <c r="M175" s="433">
        <f t="shared" si="44"/>
        <v>117.33333333333333</v>
      </c>
      <c r="N175" s="434">
        <v>176</v>
      </c>
      <c r="O175" s="435">
        <f t="shared" si="45"/>
        <v>0.33333333333333331</v>
      </c>
      <c r="P175" s="22"/>
    </row>
    <row r="176" spans="1:16" ht="15">
      <c r="A176" s="13" t="s">
        <v>292</v>
      </c>
      <c r="B176" s="27" t="s">
        <v>21</v>
      </c>
      <c r="C176" s="13" t="s">
        <v>33</v>
      </c>
      <c r="D176" s="13">
        <v>219</v>
      </c>
      <c r="E176" s="13"/>
      <c r="F176" s="13" t="s">
        <v>12</v>
      </c>
      <c r="G176" s="569">
        <f>1.857*2</f>
        <v>3.714</v>
      </c>
      <c r="H176" s="440">
        <v>10</v>
      </c>
      <c r="I176" s="28">
        <v>2</v>
      </c>
      <c r="J176" s="441">
        <f t="shared" si="42"/>
        <v>5.3850296176628971</v>
      </c>
      <c r="K176" s="28">
        <v>1</v>
      </c>
      <c r="L176" s="267">
        <f t="shared" si="43"/>
        <v>5.3850296176628971</v>
      </c>
      <c r="M176" s="433">
        <f t="shared" si="44"/>
        <v>893.91491653204093</v>
      </c>
      <c r="N176" s="434">
        <v>166</v>
      </c>
      <c r="O176" s="435">
        <f t="shared" si="45"/>
        <v>2.6925148088314486</v>
      </c>
      <c r="P176" s="22"/>
    </row>
    <row r="177" spans="1:16" ht="30">
      <c r="A177" s="13" t="s">
        <v>406</v>
      </c>
      <c r="B177" s="27" t="s">
        <v>407</v>
      </c>
      <c r="C177" s="13" t="s">
        <v>14</v>
      </c>
      <c r="D177" s="13">
        <v>226</v>
      </c>
      <c r="E177" s="13"/>
      <c r="F177" s="13" t="s">
        <v>12</v>
      </c>
      <c r="G177" s="442">
        <v>61</v>
      </c>
      <c r="H177" s="440">
        <v>10</v>
      </c>
      <c r="I177" s="28">
        <v>1</v>
      </c>
      <c r="J177" s="441">
        <f t="shared" si="42"/>
        <v>0.16393442622950818</v>
      </c>
      <c r="K177" s="28">
        <v>2.15</v>
      </c>
      <c r="L177" s="435">
        <f t="shared" si="43"/>
        <v>0.35245901639344257</v>
      </c>
      <c r="M177" s="266">
        <f t="shared" si="44"/>
        <v>70.491803278688508</v>
      </c>
      <c r="N177" s="433">
        <v>200</v>
      </c>
      <c r="O177" s="435">
        <f t="shared" si="45"/>
        <v>0.35245901639344257</v>
      </c>
      <c r="P177" s="22"/>
    </row>
    <row r="178" spans="1:16" ht="15">
      <c r="A178" s="13" t="s">
        <v>291</v>
      </c>
      <c r="B178" s="27" t="s">
        <v>101</v>
      </c>
      <c r="C178" s="13" t="s">
        <v>33</v>
      </c>
      <c r="D178" s="13">
        <v>219</v>
      </c>
      <c r="E178" s="13"/>
      <c r="F178" s="13" t="s">
        <v>12</v>
      </c>
      <c r="G178" s="442">
        <v>4.4000000000000004</v>
      </c>
      <c r="H178" s="440">
        <v>10</v>
      </c>
      <c r="I178" s="28">
        <v>2</v>
      </c>
      <c r="J178" s="441">
        <f t="shared" si="42"/>
        <v>4.545454545454545</v>
      </c>
      <c r="K178" s="28">
        <v>1</v>
      </c>
      <c r="L178" s="267">
        <f t="shared" si="43"/>
        <v>4.545454545454545</v>
      </c>
      <c r="M178" s="433">
        <f t="shared" si="44"/>
        <v>909.09090909090901</v>
      </c>
      <c r="N178" s="434">
        <v>200</v>
      </c>
      <c r="O178" s="435">
        <f t="shared" si="45"/>
        <v>2.2727272727272725</v>
      </c>
      <c r="P178" s="22"/>
    </row>
    <row r="179" spans="1:16" ht="15">
      <c r="A179" s="13" t="s">
        <v>303</v>
      </c>
      <c r="B179" s="27" t="s">
        <v>304</v>
      </c>
      <c r="C179" s="13" t="s">
        <v>226</v>
      </c>
      <c r="D179" s="13">
        <v>302</v>
      </c>
      <c r="E179" s="13"/>
      <c r="F179" s="13" t="s">
        <v>103</v>
      </c>
      <c r="G179" s="432">
        <v>76</v>
      </c>
      <c r="H179" s="440">
        <v>10</v>
      </c>
      <c r="I179" s="28">
        <v>1</v>
      </c>
      <c r="J179" s="441">
        <f t="shared" si="42"/>
        <v>0.13157894736842105</v>
      </c>
      <c r="K179" s="28">
        <v>83</v>
      </c>
      <c r="L179" s="267">
        <f t="shared" si="43"/>
        <v>10.921052631578947</v>
      </c>
      <c r="M179" s="433">
        <f t="shared" si="44"/>
        <v>1922.1052631578946</v>
      </c>
      <c r="N179" s="434">
        <v>176</v>
      </c>
      <c r="O179" s="435">
        <f t="shared" si="45"/>
        <v>10.921052631578947</v>
      </c>
      <c r="P179" s="22"/>
    </row>
    <row r="180" spans="1:16" ht="15">
      <c r="A180" s="13" t="s">
        <v>293</v>
      </c>
      <c r="B180" s="27" t="s">
        <v>102</v>
      </c>
      <c r="C180" s="13" t="s">
        <v>33</v>
      </c>
      <c r="D180" s="13">
        <v>219</v>
      </c>
      <c r="E180" s="13"/>
      <c r="F180" s="13" t="s">
        <v>103</v>
      </c>
      <c r="G180" s="28">
        <f>10*60/1</f>
        <v>600</v>
      </c>
      <c r="H180" s="440">
        <v>10</v>
      </c>
      <c r="I180" s="28">
        <v>1</v>
      </c>
      <c r="J180" s="441">
        <f t="shared" si="42"/>
        <v>0.016666666666666666</v>
      </c>
      <c r="K180" s="28">
        <v>83</v>
      </c>
      <c r="L180" s="267">
        <f t="shared" si="43"/>
        <v>1.3833333333333333</v>
      </c>
      <c r="M180" s="433">
        <f t="shared" si="44"/>
        <v>210.26666666666665</v>
      </c>
      <c r="N180" s="434">
        <v>152</v>
      </c>
      <c r="O180" s="435">
        <f t="shared" si="45"/>
        <v>1.3833333333333333</v>
      </c>
      <c r="P180" s="22"/>
    </row>
    <row r="181" spans="1:16" ht="15">
      <c r="A181" s="13" t="s">
        <v>305</v>
      </c>
      <c r="B181" s="27" t="s">
        <v>343</v>
      </c>
      <c r="C181" s="13" t="s">
        <v>14</v>
      </c>
      <c r="D181" s="13">
        <v>226</v>
      </c>
      <c r="E181" s="13"/>
      <c r="F181" s="13" t="s">
        <v>58</v>
      </c>
      <c r="G181" s="28">
        <v>55.20</v>
      </c>
      <c r="H181" s="440">
        <v>10</v>
      </c>
      <c r="I181" s="28">
        <v>1</v>
      </c>
      <c r="J181" s="441">
        <f t="shared" si="42"/>
        <v>0.18115942028985507</v>
      </c>
      <c r="K181" s="28">
        <v>1.85</v>
      </c>
      <c r="L181" s="435">
        <f t="shared" si="43"/>
        <v>0.33514492753623187</v>
      </c>
      <c r="M181" s="266">
        <f t="shared" si="44"/>
        <v>67.028985507246375</v>
      </c>
      <c r="N181" s="433">
        <v>200</v>
      </c>
      <c r="O181" s="435">
        <f t="shared" si="45"/>
        <v>0.33514492753623187</v>
      </c>
      <c r="P181" s="22"/>
    </row>
    <row r="182" spans="1:16" ht="30">
      <c r="A182" s="13" t="s">
        <v>306</v>
      </c>
      <c r="B182" s="27" t="s">
        <v>307</v>
      </c>
      <c r="C182" s="13" t="s">
        <v>14</v>
      </c>
      <c r="D182" s="13">
        <v>226</v>
      </c>
      <c r="E182" s="13"/>
      <c r="F182" s="13" t="s">
        <v>12</v>
      </c>
      <c r="G182" s="28">
        <v>10</v>
      </c>
      <c r="H182" s="440">
        <v>10</v>
      </c>
      <c r="I182" s="28">
        <v>1</v>
      </c>
      <c r="J182" s="441">
        <f t="shared" si="42"/>
        <v>1</v>
      </c>
      <c r="K182" s="28">
        <v>1</v>
      </c>
      <c r="L182" s="435">
        <f t="shared" si="43"/>
        <v>1</v>
      </c>
      <c r="M182" s="266">
        <f t="shared" si="44"/>
        <v>200</v>
      </c>
      <c r="N182" s="433">
        <v>200</v>
      </c>
      <c r="O182" s="435">
        <f t="shared" si="45"/>
        <v>1</v>
      </c>
      <c r="P182" s="22"/>
    </row>
    <row r="183" spans="1:16" ht="15">
      <c r="A183" s="13" t="s">
        <v>296</v>
      </c>
      <c r="B183" s="56" t="s">
        <v>105</v>
      </c>
      <c r="C183" s="13" t="s">
        <v>33</v>
      </c>
      <c r="D183" s="13">
        <v>219</v>
      </c>
      <c r="E183" s="13"/>
      <c r="F183" s="13" t="s">
        <v>96</v>
      </c>
      <c r="G183" s="28">
        <v>9.90</v>
      </c>
      <c r="H183" s="440">
        <v>10</v>
      </c>
      <c r="I183" s="28">
        <v>2</v>
      </c>
      <c r="J183" s="441">
        <f t="shared" si="42"/>
        <v>2.0202020202020203</v>
      </c>
      <c r="K183" s="28">
        <v>1</v>
      </c>
      <c r="L183" s="267">
        <f t="shared" si="43"/>
        <v>2.0202020202020203</v>
      </c>
      <c r="M183" s="433">
        <f t="shared" si="44"/>
        <v>404.04040404040404</v>
      </c>
      <c r="N183" s="434">
        <v>200</v>
      </c>
      <c r="O183" s="435">
        <f t="shared" si="45"/>
        <v>1.0101010101010102</v>
      </c>
      <c r="P183" s="22"/>
    </row>
    <row r="184" spans="1:16" ht="15">
      <c r="A184" s="523" t="s">
        <v>1695</v>
      </c>
      <c r="B184" s="522" t="s">
        <v>1696</v>
      </c>
      <c r="C184" s="523" t="s">
        <v>33</v>
      </c>
      <c r="D184" s="523">
        <v>226</v>
      </c>
      <c r="E184" s="523"/>
      <c r="F184" s="523" t="s">
        <v>12</v>
      </c>
      <c r="G184" s="527">
        <v>20</v>
      </c>
      <c r="H184" s="530">
        <v>10</v>
      </c>
      <c r="I184" s="527">
        <v>1</v>
      </c>
      <c r="J184" s="531">
        <f t="shared" si="42"/>
        <v>0.50</v>
      </c>
      <c r="K184" s="527">
        <v>1</v>
      </c>
      <c r="L184" s="267">
        <f t="shared" si="43"/>
        <v>0.50</v>
      </c>
      <c r="M184" s="433">
        <f t="shared" si="44"/>
        <v>100</v>
      </c>
      <c r="N184" s="434">
        <v>200</v>
      </c>
      <c r="O184" s="435">
        <f t="shared" si="45"/>
        <v>0.50</v>
      </c>
      <c r="P184" s="22"/>
    </row>
    <row r="185" spans="1:16" ht="15">
      <c r="A185" s="13" t="s">
        <v>308</v>
      </c>
      <c r="B185" s="27" t="s">
        <v>309</v>
      </c>
      <c r="C185" s="13" t="s">
        <v>14</v>
      </c>
      <c r="D185" s="13">
        <v>226</v>
      </c>
      <c r="E185" s="13"/>
      <c r="F185" s="13" t="s">
        <v>58</v>
      </c>
      <c r="G185" s="442">
        <v>13.50</v>
      </c>
      <c r="H185" s="440">
        <v>10</v>
      </c>
      <c r="I185" s="28">
        <v>1</v>
      </c>
      <c r="J185" s="441">
        <f t="shared" si="42"/>
        <v>0.7407407407407407</v>
      </c>
      <c r="K185" s="28">
        <v>3.58</v>
      </c>
      <c r="L185" s="435">
        <f t="shared" si="43"/>
        <v>2.6518518518518519</v>
      </c>
      <c r="M185" s="266">
        <f t="shared" si="44"/>
        <v>403.08148148148149</v>
      </c>
      <c r="N185" s="433">
        <v>152</v>
      </c>
      <c r="O185" s="435">
        <f t="shared" si="45"/>
        <v>2.6518518518518519</v>
      </c>
      <c r="P185" s="22"/>
    </row>
    <row r="186" spans="1:16" ht="15">
      <c r="A186" s="13" t="s">
        <v>294</v>
      </c>
      <c r="B186" s="27" t="s">
        <v>521</v>
      </c>
      <c r="C186" s="13" t="s">
        <v>14</v>
      </c>
      <c r="D186" s="13">
        <v>226</v>
      </c>
      <c r="E186" s="13"/>
      <c r="F186" s="13" t="s">
        <v>58</v>
      </c>
      <c r="G186" s="28">
        <v>23.16</v>
      </c>
      <c r="H186" s="440">
        <v>10</v>
      </c>
      <c r="I186" s="28">
        <v>1</v>
      </c>
      <c r="J186" s="441">
        <f t="shared" si="42"/>
        <v>0.43177892918825561</v>
      </c>
      <c r="K186" s="28">
        <v>12.40</v>
      </c>
      <c r="L186" s="267">
        <f t="shared" si="43"/>
        <v>5.3540587219343694</v>
      </c>
      <c r="M186" s="433">
        <f t="shared" si="44"/>
        <v>1070.8117443868739</v>
      </c>
      <c r="N186" s="434">
        <v>200</v>
      </c>
      <c r="O186" s="435">
        <f t="shared" si="45"/>
        <v>5.3540587219343694</v>
      </c>
      <c r="P186" s="22"/>
    </row>
    <row r="187" spans="1:16" ht="15">
      <c r="A187" s="13" t="s">
        <v>1639</v>
      </c>
      <c r="B187" s="27" t="s">
        <v>1640</v>
      </c>
      <c r="C187" s="13" t="s">
        <v>33</v>
      </c>
      <c r="D187" s="13" t="s">
        <v>1333</v>
      </c>
      <c r="E187" s="13"/>
      <c r="F187" s="13" t="s">
        <v>12</v>
      </c>
      <c r="G187" s="442">
        <v>30</v>
      </c>
      <c r="H187" s="440">
        <v>10</v>
      </c>
      <c r="I187" s="28">
        <v>2</v>
      </c>
      <c r="J187" s="441">
        <f t="shared" si="42"/>
        <v>0.66666666666666663</v>
      </c>
      <c r="K187" s="28">
        <v>1</v>
      </c>
      <c r="L187" s="267">
        <f t="shared" si="43"/>
        <v>0.66666666666666663</v>
      </c>
      <c r="M187" s="433">
        <f t="shared" si="44"/>
        <v>101.33333333333333</v>
      </c>
      <c r="N187" s="434">
        <v>152</v>
      </c>
      <c r="O187" s="435">
        <f t="shared" si="45"/>
        <v>0.33333333333333331</v>
      </c>
      <c r="P187" s="21"/>
    </row>
    <row r="188" spans="1:16" ht="15">
      <c r="A188" s="13" t="s">
        <v>295</v>
      </c>
      <c r="B188" s="27" t="s">
        <v>104</v>
      </c>
      <c r="C188" s="13" t="s">
        <v>33</v>
      </c>
      <c r="D188" s="13" t="s">
        <v>1333</v>
      </c>
      <c r="E188" s="13"/>
      <c r="F188" s="13" t="s">
        <v>12</v>
      </c>
      <c r="G188" s="436">
        <v>5.6962025316455698</v>
      </c>
      <c r="H188" s="440">
        <v>10</v>
      </c>
      <c r="I188" s="28">
        <v>2</v>
      </c>
      <c r="J188" s="441">
        <f t="shared" si="42"/>
        <v>3.5111111111111111</v>
      </c>
      <c r="K188" s="28">
        <v>1</v>
      </c>
      <c r="L188" s="267">
        <f t="shared" si="43"/>
        <v>3.5111111111111111</v>
      </c>
      <c r="M188" s="433">
        <f t="shared" si="44"/>
        <v>533.68888888888887</v>
      </c>
      <c r="N188" s="434">
        <v>152</v>
      </c>
      <c r="O188" s="435">
        <f t="shared" si="45"/>
        <v>1.7555555555555555</v>
      </c>
      <c r="P188" s="21"/>
    </row>
    <row r="189" spans="1:16" ht="15">
      <c r="A189" s="13" t="s">
        <v>1641</v>
      </c>
      <c r="B189" s="27" t="s">
        <v>1642</v>
      </c>
      <c r="C189" s="13" t="s">
        <v>33</v>
      </c>
      <c r="D189" s="13" t="s">
        <v>1333</v>
      </c>
      <c r="E189" s="13"/>
      <c r="F189" s="13" t="s">
        <v>139</v>
      </c>
      <c r="G189" s="442">
        <v>20</v>
      </c>
      <c r="H189" s="440">
        <v>10</v>
      </c>
      <c r="I189" s="28">
        <v>1</v>
      </c>
      <c r="J189" s="441">
        <f t="shared" si="42"/>
        <v>0.50</v>
      </c>
      <c r="K189" s="28">
        <v>1</v>
      </c>
      <c r="L189" s="267">
        <f t="shared" si="43"/>
        <v>0.50</v>
      </c>
      <c r="M189" s="433">
        <f t="shared" si="44"/>
        <v>76</v>
      </c>
      <c r="N189" s="434">
        <v>152</v>
      </c>
      <c r="O189" s="435">
        <f t="shared" si="45"/>
        <v>0.50</v>
      </c>
      <c r="P189" s="21"/>
    </row>
    <row r="190" spans="1:15" s="22" customFormat="1" ht="15">
      <c r="A190" s="443"/>
      <c r="B190" s="495" t="s">
        <v>15</v>
      </c>
      <c r="C190" s="443"/>
      <c r="D190" s="443"/>
      <c r="E190" s="443"/>
      <c r="F190" s="444"/>
      <c r="G190" s="443"/>
      <c r="H190" s="445"/>
      <c r="I190" s="443"/>
      <c r="J190" s="446"/>
      <c r="K190" s="443"/>
      <c r="L190" s="447">
        <f>SUM(L6:L188)</f>
        <v>301.30899414349932</v>
      </c>
      <c r="M190" s="455">
        <f>M17+M69+M94+M107+M118+M167+M114+M5</f>
        <v>59151.213468903705</v>
      </c>
      <c r="N190" s="110"/>
      <c r="O190" s="454">
        <f>O17+O69+O94+O107+O118+O167+O114+O5</f>
        <v>221.69322309627634</v>
      </c>
    </row>
    <row r="191" spans="12:15" ht="15">
      <c r="L191" s="448" t="s">
        <v>16</v>
      </c>
      <c r="O191" s="448" t="s">
        <v>17</v>
      </c>
    </row>
    <row r="192" spans="6:15" ht="15">
      <c r="F192" s="107"/>
      <c r="J192" s="450"/>
      <c r="K192" s="451" t="s">
        <v>18</v>
      </c>
      <c r="L192" s="452">
        <f>L190/G2</f>
        <v>99.63921764004607</v>
      </c>
      <c r="M192" s="450" t="s">
        <v>19</v>
      </c>
      <c r="N192" s="450"/>
      <c r="O192" s="450"/>
    </row>
    <row r="193" spans="6:6" ht="15">
      <c r="F193" s="107"/>
    </row>
    <row r="194" spans="2:8" ht="15">
      <c r="B194" s="493" t="s">
        <v>858</v>
      </c>
      <c r="C194" s="449"/>
      <c r="F194" s="107"/>
      <c r="H194" s="268"/>
    </row>
    <row r="195" spans="6:6" ht="15">
      <c r="F195" s="107"/>
    </row>
    <row r="196" spans="2:3" ht="15">
      <c r="B196" s="493" t="s">
        <v>848</v>
      </c>
      <c r="C196" s="449"/>
    </row>
    <row r="198" spans="2:3" ht="15">
      <c r="B198" s="493" t="s">
        <v>849</v>
      </c>
      <c r="C198" s="449"/>
    </row>
    <row r="201" ht="15.75"/>
    <row r="202" spans="1:8" ht="15" hidden="1">
      <c r="A202" s="481" t="s">
        <v>328</v>
      </c>
      <c r="B202" s="496" t="s">
        <v>329</v>
      </c>
      <c r="C202" s="481" t="s">
        <v>330</v>
      </c>
      <c r="D202" s="481" t="s">
        <v>331</v>
      </c>
      <c r="E202" s="481" t="s">
        <v>332</v>
      </c>
      <c r="F202" s="481" t="s">
        <v>333</v>
      </c>
      <c r="G202" s="427"/>
      <c r="H202" s="268"/>
    </row>
    <row r="203" spans="1:8" ht="45" hidden="1">
      <c r="A203" s="482">
        <v>1</v>
      </c>
      <c r="B203" s="483" t="s">
        <v>1106</v>
      </c>
      <c r="C203" s="482"/>
      <c r="D203" s="482">
        <v>16.10</v>
      </c>
      <c r="E203" s="482" t="s">
        <v>954</v>
      </c>
      <c r="F203" s="484">
        <v>44508</v>
      </c>
      <c r="G203" s="427"/>
      <c r="H203" s="268"/>
    </row>
    <row r="204" spans="1:8" ht="30" hidden="1">
      <c r="A204" s="482">
        <v>2</v>
      </c>
      <c r="B204" s="483" t="s">
        <v>1131</v>
      </c>
      <c r="C204" s="482"/>
      <c r="D204" s="482"/>
      <c r="E204" s="482" t="s">
        <v>954</v>
      </c>
      <c r="F204" s="484">
        <v>44509</v>
      </c>
      <c r="G204" s="427"/>
      <c r="H204" s="268"/>
    </row>
    <row r="205" spans="1:8" ht="30" hidden="1">
      <c r="A205" s="482">
        <v>3</v>
      </c>
      <c r="B205" s="483" t="s">
        <v>1132</v>
      </c>
      <c r="C205" s="482"/>
      <c r="D205" s="482"/>
      <c r="E205" s="482" t="s">
        <v>954</v>
      </c>
      <c r="F205" s="484">
        <v>44509</v>
      </c>
      <c r="G205" s="427"/>
      <c r="H205" s="268"/>
    </row>
    <row r="206" spans="1:8" ht="30" hidden="1">
      <c r="A206" s="482">
        <v>4</v>
      </c>
      <c r="B206" s="483" t="s">
        <v>1133</v>
      </c>
      <c r="C206" s="482"/>
      <c r="D206" s="482"/>
      <c r="E206" s="482" t="s">
        <v>954</v>
      </c>
      <c r="F206" s="484">
        <v>44509</v>
      </c>
      <c r="G206" s="427"/>
      <c r="H206" s="268"/>
    </row>
    <row r="207" spans="1:8" ht="45" hidden="1">
      <c r="A207" s="482">
        <v>5</v>
      </c>
      <c r="B207" s="483" t="s">
        <v>1134</v>
      </c>
      <c r="C207" s="482"/>
      <c r="D207" s="482"/>
      <c r="E207" s="482" t="s">
        <v>954</v>
      </c>
      <c r="F207" s="484">
        <v>44509</v>
      </c>
      <c r="G207" s="427"/>
      <c r="H207" s="268"/>
    </row>
    <row r="208" spans="1:8" ht="120" hidden="1">
      <c r="A208" s="482">
        <v>6</v>
      </c>
      <c r="B208" s="483" t="s">
        <v>1135</v>
      </c>
      <c r="C208" s="482"/>
      <c r="D208" s="482"/>
      <c r="E208" s="482" t="s">
        <v>954</v>
      </c>
      <c r="F208" s="484">
        <v>44509</v>
      </c>
      <c r="G208" s="427"/>
      <c r="H208" s="268"/>
    </row>
    <row r="209" spans="1:8" ht="30" hidden="1">
      <c r="A209" s="482">
        <v>7</v>
      </c>
      <c r="B209" s="483" t="s">
        <v>1201</v>
      </c>
      <c r="C209" s="482" t="s">
        <v>1204</v>
      </c>
      <c r="D209" s="482" t="s">
        <v>1205</v>
      </c>
      <c r="E209" s="482" t="s">
        <v>954</v>
      </c>
      <c r="F209" s="484">
        <v>44519</v>
      </c>
      <c r="G209" s="427"/>
      <c r="H209" s="268"/>
    </row>
    <row r="210" spans="1:8" ht="30" hidden="1">
      <c r="A210" s="482">
        <v>8</v>
      </c>
      <c r="B210" s="483" t="s">
        <v>1249</v>
      </c>
      <c r="C210" s="482"/>
      <c r="D210" s="482"/>
      <c r="E210" s="482" t="s">
        <v>1250</v>
      </c>
      <c r="F210" s="484">
        <v>44551</v>
      </c>
      <c r="G210" s="427"/>
      <c r="H210" s="268"/>
    </row>
    <row r="211" spans="1:8" ht="120" hidden="1">
      <c r="A211" s="482">
        <v>9</v>
      </c>
      <c r="B211" s="483" t="s">
        <v>1135</v>
      </c>
      <c r="C211" s="482"/>
      <c r="D211" s="482"/>
      <c r="E211" s="482" t="s">
        <v>1250</v>
      </c>
      <c r="F211" s="484">
        <v>44551</v>
      </c>
      <c r="G211" s="427"/>
      <c r="H211" s="268"/>
    </row>
    <row r="212" spans="1:8" ht="75" hidden="1">
      <c r="A212" s="482">
        <v>10</v>
      </c>
      <c r="B212" s="483" t="s">
        <v>1283</v>
      </c>
      <c r="C212" s="482">
        <v>600</v>
      </c>
      <c r="D212" s="482">
        <v>400</v>
      </c>
      <c r="E212" s="482" t="s">
        <v>954</v>
      </c>
      <c r="F212" s="484">
        <v>44602</v>
      </c>
      <c r="G212" s="427"/>
      <c r="H212" s="268"/>
    </row>
    <row r="213" spans="1:8" ht="30" hidden="1">
      <c r="A213" s="482">
        <v>11</v>
      </c>
      <c r="B213" s="483" t="s">
        <v>1284</v>
      </c>
      <c r="C213" s="485"/>
      <c r="D213" s="485"/>
      <c r="E213" s="482" t="s">
        <v>954</v>
      </c>
      <c r="F213" s="484">
        <v>44602</v>
      </c>
      <c r="G213" s="427"/>
      <c r="H213" s="268"/>
    </row>
    <row r="214" spans="1:6" ht="30" hidden="1">
      <c r="A214" s="482">
        <v>12</v>
      </c>
      <c r="B214" s="483" t="s">
        <v>1592</v>
      </c>
      <c r="C214" s="485"/>
      <c r="D214" s="485"/>
      <c r="E214" s="482" t="s">
        <v>1334</v>
      </c>
      <c r="F214" s="484">
        <v>44656</v>
      </c>
    </row>
    <row r="215" spans="1:6" ht="30" hidden="1">
      <c r="A215" s="482">
        <v>13</v>
      </c>
      <c r="B215" s="483" t="s">
        <v>1591</v>
      </c>
      <c r="C215" s="485"/>
      <c r="D215" s="485"/>
      <c r="E215" s="482" t="s">
        <v>1334</v>
      </c>
      <c r="F215" s="484">
        <v>44656</v>
      </c>
    </row>
    <row r="216" spans="1:6" ht="30" hidden="1">
      <c r="A216" s="482">
        <v>14</v>
      </c>
      <c r="B216" s="483" t="s">
        <v>1590</v>
      </c>
      <c r="C216" s="485"/>
      <c r="D216" s="485"/>
      <c r="E216" s="482" t="s">
        <v>1334</v>
      </c>
      <c r="F216" s="484">
        <v>44656</v>
      </c>
    </row>
    <row r="217" spans="1:6" ht="30" hidden="1">
      <c r="A217" s="482">
        <v>15</v>
      </c>
      <c r="B217" s="483" t="s">
        <v>1456</v>
      </c>
      <c r="C217" s="485"/>
      <c r="D217" s="485"/>
      <c r="E217" s="482" t="s">
        <v>1334</v>
      </c>
      <c r="F217" s="484">
        <v>44656</v>
      </c>
    </row>
    <row r="218" spans="1:6" ht="30" hidden="1">
      <c r="A218" s="482">
        <v>16</v>
      </c>
      <c r="B218" s="483" t="s">
        <v>1589</v>
      </c>
      <c r="C218" s="485"/>
      <c r="D218" s="485"/>
      <c r="E218" s="482" t="s">
        <v>1334</v>
      </c>
      <c r="F218" s="484">
        <v>44656</v>
      </c>
    </row>
    <row r="219" spans="1:6" ht="30" hidden="1">
      <c r="A219" s="482">
        <v>17</v>
      </c>
      <c r="B219" s="483" t="s">
        <v>1588</v>
      </c>
      <c r="C219" s="485"/>
      <c r="D219" s="485"/>
      <c r="E219" s="482" t="s">
        <v>1334</v>
      </c>
      <c r="F219" s="484">
        <v>44656</v>
      </c>
    </row>
    <row r="220" spans="1:6" ht="30" hidden="1">
      <c r="A220" s="482">
        <v>18</v>
      </c>
      <c r="B220" s="483" t="s">
        <v>1587</v>
      </c>
      <c r="C220" s="485"/>
      <c r="D220" s="485"/>
      <c r="E220" s="482" t="s">
        <v>1334</v>
      </c>
      <c r="F220" s="484">
        <v>44656</v>
      </c>
    </row>
    <row r="221" spans="1:6" ht="30" hidden="1">
      <c r="A221" s="482">
        <v>19</v>
      </c>
      <c r="B221" s="483" t="s">
        <v>1436</v>
      </c>
      <c r="C221" s="485"/>
      <c r="D221" s="485"/>
      <c r="E221" s="482" t="s">
        <v>1334</v>
      </c>
      <c r="F221" s="484">
        <v>44656</v>
      </c>
    </row>
    <row r="222" spans="1:6" ht="30.75" hidden="1" thickBot="1">
      <c r="A222" s="482">
        <v>20</v>
      </c>
      <c r="B222" s="483" t="s">
        <v>1586</v>
      </c>
      <c r="C222" s="485"/>
      <c r="D222" s="485"/>
      <c r="E222" s="482" t="s">
        <v>1334</v>
      </c>
      <c r="F222" s="484">
        <v>44656</v>
      </c>
    </row>
    <row r="223" spans="1:15" ht="15">
      <c r="A223" s="500" t="s">
        <v>328</v>
      </c>
      <c r="B223" s="631" t="s">
        <v>1593</v>
      </c>
      <c r="C223" s="632"/>
      <c r="D223" s="633"/>
      <c r="E223" s="501" t="s">
        <v>332</v>
      </c>
      <c r="F223" s="502" t="s">
        <v>333</v>
      </c>
      <c r="G223" s="427"/>
      <c r="H223" s="268"/>
      <c r="O223" s="503"/>
    </row>
    <row r="224" spans="1:15" ht="15.75" thickBot="1">
      <c r="A224" s="504">
        <v>1</v>
      </c>
      <c r="B224" s="634" t="s">
        <v>1594</v>
      </c>
      <c r="C224" s="635"/>
      <c r="D224" s="636"/>
      <c r="E224" s="505" t="s">
        <v>1334</v>
      </c>
      <c r="F224" s="506">
        <v>44677</v>
      </c>
      <c r="G224" s="427"/>
      <c r="H224" s="268"/>
      <c r="O224" s="503"/>
    </row>
    <row r="225" spans="1:15" ht="30">
      <c r="A225" s="54" t="s">
        <v>656</v>
      </c>
      <c r="B225" s="55" t="s">
        <v>1424</v>
      </c>
      <c r="C225" s="13" t="s">
        <v>862</v>
      </c>
      <c r="D225" s="90">
        <v>224</v>
      </c>
      <c r="E225" s="13"/>
      <c r="F225" s="17"/>
      <c r="G225" s="432">
        <f>(600-20)/3</f>
        <v>193.33333333333334</v>
      </c>
      <c r="H225" s="440">
        <v>10</v>
      </c>
      <c r="I225" s="28">
        <v>2</v>
      </c>
      <c r="J225" s="441">
        <f>H225/G225*I225</f>
        <v>0.10344827586206896</v>
      </c>
      <c r="K225" s="28">
        <v>4</v>
      </c>
      <c r="L225" s="267">
        <f>J225*K225</f>
        <v>0.41379310344827586</v>
      </c>
      <c r="M225" s="433">
        <f>L225*N225</f>
        <v>82.758620689655174</v>
      </c>
      <c r="N225" s="434">
        <v>200</v>
      </c>
      <c r="O225" s="435">
        <f>J225/I225*K225</f>
        <v>0.20689655172413793</v>
      </c>
    </row>
    <row r="226" spans="1:15" ht="15" customHeight="1">
      <c r="A226" s="645" t="s">
        <v>198</v>
      </c>
      <c r="B226" s="639" t="s">
        <v>992</v>
      </c>
      <c r="C226" s="13" t="s">
        <v>28</v>
      </c>
      <c r="D226" s="17">
        <v>112</v>
      </c>
      <c r="E226" s="13"/>
      <c r="F226" s="4" t="s">
        <v>868</v>
      </c>
      <c r="G226" s="28">
        <v>12</v>
      </c>
      <c r="H226" s="437">
        <v>10</v>
      </c>
      <c r="I226" s="28">
        <v>2</v>
      </c>
      <c r="J226" s="438">
        <f>H226/G226*I226</f>
        <v>1.6666666666666667</v>
      </c>
      <c r="K226" s="28">
        <v>1</v>
      </c>
      <c r="L226" s="267">
        <f>J226*K226</f>
        <v>1.6666666666666667</v>
      </c>
      <c r="M226" s="433">
        <f>L226*N226</f>
        <v>333.33333333333337</v>
      </c>
      <c r="N226" s="434">
        <v>200</v>
      </c>
      <c r="O226" s="435">
        <f>J226/I226*K226</f>
        <v>0.83333333333333337</v>
      </c>
    </row>
    <row r="227" spans="1:15" ht="15.75" thickBot="1">
      <c r="A227" s="647"/>
      <c r="B227" s="641"/>
      <c r="C227" s="13" t="s">
        <v>49</v>
      </c>
      <c r="D227" s="13">
        <v>112</v>
      </c>
      <c r="E227" s="13" t="s">
        <v>869</v>
      </c>
      <c r="F227" s="13" t="s">
        <v>10</v>
      </c>
      <c r="G227" s="28">
        <v>40</v>
      </c>
      <c r="H227" s="437">
        <v>10</v>
      </c>
      <c r="I227" s="28">
        <v>1</v>
      </c>
      <c r="J227" s="438">
        <f>H227/G227*I227</f>
        <v>0.25</v>
      </c>
      <c r="K227" s="436">
        <f>(850*2*2+550*2+450*2+200*2+50*2*2*2+50*2*2)/1000</f>
        <v>6.40</v>
      </c>
      <c r="L227" s="267">
        <f>J227*K227</f>
        <v>1.60</v>
      </c>
      <c r="M227" s="433">
        <f>L227*N227</f>
        <v>320</v>
      </c>
      <c r="N227" s="434">
        <v>200</v>
      </c>
      <c r="O227" s="435">
        <f>J227/I227*K227</f>
        <v>1.60</v>
      </c>
    </row>
    <row r="228" spans="1:15" ht="15">
      <c r="A228" s="500" t="s">
        <v>328</v>
      </c>
      <c r="B228" s="631" t="s">
        <v>1593</v>
      </c>
      <c r="C228" s="632"/>
      <c r="D228" s="633"/>
      <c r="E228" s="501" t="s">
        <v>332</v>
      </c>
      <c r="F228" s="502" t="s">
        <v>333</v>
      </c>
      <c r="G228" s="427"/>
      <c r="H228" s="268"/>
      <c r="O228" s="503"/>
    </row>
    <row r="229" spans="1:15" ht="15.75" thickBot="1">
      <c r="A229" s="504">
        <v>2</v>
      </c>
      <c r="B229" s="634" t="s">
        <v>1605</v>
      </c>
      <c r="C229" s="635"/>
      <c r="D229" s="636"/>
      <c r="E229" s="505" t="s">
        <v>1334</v>
      </c>
      <c r="F229" s="506">
        <v>44677</v>
      </c>
      <c r="G229" s="427"/>
      <c r="H229" s="268"/>
      <c r="O229" s="503"/>
    </row>
    <row r="230" spans="1:16" ht="15.75" thickBot="1">
      <c r="A230" s="13" t="s">
        <v>1639</v>
      </c>
      <c r="B230" s="27" t="s">
        <v>1640</v>
      </c>
      <c r="C230" s="13" t="s">
        <v>33</v>
      </c>
      <c r="D230" s="13" t="s">
        <v>1333</v>
      </c>
      <c r="E230" s="13"/>
      <c r="F230" s="13" t="s">
        <v>12</v>
      </c>
      <c r="G230" s="442">
        <v>30</v>
      </c>
      <c r="H230" s="440">
        <v>10</v>
      </c>
      <c r="I230" s="28">
        <v>2</v>
      </c>
      <c r="J230" s="441">
        <f t="shared" si="46" ref="J230">H230/G230*I230</f>
        <v>0.66666666666666663</v>
      </c>
      <c r="K230" s="28">
        <v>1</v>
      </c>
      <c r="L230" s="267">
        <f t="shared" si="47" ref="L230">J230*K230</f>
        <v>0.66666666666666663</v>
      </c>
      <c r="M230" s="433">
        <f t="shared" si="48" ref="M230">L230*N230</f>
        <v>101.33333333333333</v>
      </c>
      <c r="N230" s="434">
        <v>152</v>
      </c>
      <c r="O230" s="435">
        <f t="shared" si="49" ref="O230">J230/I230*K230</f>
        <v>0.33333333333333331</v>
      </c>
      <c r="P230" s="21"/>
    </row>
    <row r="231" spans="1:15" ht="15">
      <c r="A231" s="500" t="s">
        <v>328</v>
      </c>
      <c r="B231" s="631" t="s">
        <v>1593</v>
      </c>
      <c r="C231" s="632"/>
      <c r="D231" s="633"/>
      <c r="E231" s="501" t="s">
        <v>332</v>
      </c>
      <c r="F231" s="502" t="s">
        <v>333</v>
      </c>
      <c r="G231" s="427"/>
      <c r="H231" s="268"/>
      <c r="O231" s="503"/>
    </row>
    <row r="232" spans="1:15" ht="15.75" thickBot="1">
      <c r="A232" s="504">
        <v>3</v>
      </c>
      <c r="B232" s="634" t="s">
        <v>1605</v>
      </c>
      <c r="C232" s="635"/>
      <c r="D232" s="636"/>
      <c r="E232" s="505" t="s">
        <v>1334</v>
      </c>
      <c r="F232" s="506">
        <v>44719</v>
      </c>
      <c r="G232" s="427"/>
      <c r="H232" s="268"/>
      <c r="O232" s="503"/>
    </row>
    <row r="233" spans="1:16" ht="15.75" thickBot="1">
      <c r="A233" s="13" t="s">
        <v>1641</v>
      </c>
      <c r="B233" s="27" t="s">
        <v>1642</v>
      </c>
      <c r="C233" s="13" t="s">
        <v>33</v>
      </c>
      <c r="D233" s="13" t="s">
        <v>1333</v>
      </c>
      <c r="E233" s="13"/>
      <c r="F233" s="13" t="s">
        <v>139</v>
      </c>
      <c r="G233" s="442">
        <v>20</v>
      </c>
      <c r="H233" s="440">
        <v>10</v>
      </c>
      <c r="I233" s="28">
        <v>1</v>
      </c>
      <c r="J233" s="441">
        <f t="shared" si="50" ref="J233">H233/G233*I233</f>
        <v>0.50</v>
      </c>
      <c r="K233" s="28">
        <v>1</v>
      </c>
      <c r="L233" s="267">
        <f t="shared" si="51" ref="L233">J233*K233</f>
        <v>0.50</v>
      </c>
      <c r="M233" s="433">
        <f t="shared" si="52" ref="M233">L233*N233</f>
        <v>76</v>
      </c>
      <c r="N233" s="434">
        <v>152</v>
      </c>
      <c r="O233" s="435">
        <f t="shared" si="53" ref="O233">J233/I233*K233</f>
        <v>0.50</v>
      </c>
      <c r="P233" s="21"/>
    </row>
    <row r="234" spans="1:15" ht="15">
      <c r="A234" s="500" t="s">
        <v>328</v>
      </c>
      <c r="B234" s="631" t="s">
        <v>1593</v>
      </c>
      <c r="C234" s="632"/>
      <c r="D234" s="633"/>
      <c r="E234" s="501" t="s">
        <v>332</v>
      </c>
      <c r="F234" s="502" t="s">
        <v>333</v>
      </c>
      <c r="G234" s="427"/>
      <c r="H234" s="268"/>
      <c r="O234" s="503"/>
    </row>
    <row r="235" spans="1:15" ht="15.75" thickBot="1">
      <c r="A235" s="504">
        <v>4</v>
      </c>
      <c r="B235" s="634" t="s">
        <v>1605</v>
      </c>
      <c r="C235" s="635"/>
      <c r="D235" s="636"/>
      <c r="E235" s="505" t="s">
        <v>1660</v>
      </c>
      <c r="F235" s="506">
        <v>44753</v>
      </c>
      <c r="G235" s="427"/>
      <c r="H235" s="268"/>
      <c r="O235" s="503"/>
    </row>
    <row r="236" spans="1:15" s="0" customFormat="1" ht="15">
      <c r="A236" s="644" t="s">
        <v>651</v>
      </c>
      <c r="B236" s="641" t="s">
        <v>1051</v>
      </c>
      <c r="C236" s="90" t="s">
        <v>1052</v>
      </c>
      <c r="D236" s="90">
        <v>106</v>
      </c>
      <c r="E236" s="90"/>
      <c r="F236" s="90" t="s">
        <v>1053</v>
      </c>
      <c r="G236" s="442">
        <v>20</v>
      </c>
      <c r="H236" s="437">
        <v>10</v>
      </c>
      <c r="I236" s="28">
        <v>2</v>
      </c>
      <c r="J236" s="438">
        <f t="shared" si="54" ref="J236:J238">H236/G236*I236</f>
        <v>1</v>
      </c>
      <c r="K236" s="442">
        <v>1</v>
      </c>
      <c r="L236" s="267">
        <f t="shared" si="55" ref="L236:L238">J236*K236</f>
        <v>1</v>
      </c>
      <c r="M236" s="433">
        <f>L236*N236</f>
        <v>200</v>
      </c>
      <c r="N236" s="478">
        <v>200</v>
      </c>
      <c r="O236" s="267">
        <f t="shared" si="56" ref="O236:O238">J236/I236*K236</f>
        <v>0.50</v>
      </c>
    </row>
    <row r="237" spans="1:15" ht="15">
      <c r="A237" s="650"/>
      <c r="B237" s="638"/>
      <c r="C237" s="13" t="s">
        <v>1003</v>
      </c>
      <c r="D237" s="13">
        <v>106</v>
      </c>
      <c r="E237" s="13"/>
      <c r="F237" s="13" t="s">
        <v>10</v>
      </c>
      <c r="G237" s="442">
        <v>40</v>
      </c>
      <c r="H237" s="437">
        <v>10</v>
      </c>
      <c r="I237" s="28">
        <v>1</v>
      </c>
      <c r="J237" s="468">
        <f t="shared" si="54"/>
        <v>0.25</v>
      </c>
      <c r="K237" s="442">
        <f>(720)/1000</f>
        <v>0.72</v>
      </c>
      <c r="L237" s="267">
        <f t="shared" si="55"/>
        <v>0.18</v>
      </c>
      <c r="M237" s="266">
        <f t="shared" si="57" ref="M237">L237*N237</f>
        <v>36</v>
      </c>
      <c r="N237" s="433">
        <v>200</v>
      </c>
      <c r="O237" s="267">
        <f t="shared" si="56"/>
        <v>0.18</v>
      </c>
    </row>
    <row r="238" spans="1:15" s="0" customFormat="1" ht="15">
      <c r="A238" s="650"/>
      <c r="B238" s="638"/>
      <c r="C238" s="13" t="s">
        <v>1659</v>
      </c>
      <c r="D238" s="13">
        <v>106</v>
      </c>
      <c r="E238" s="13" t="s">
        <v>44</v>
      </c>
      <c r="F238" s="13" t="s">
        <v>10</v>
      </c>
      <c r="G238" s="442">
        <v>27</v>
      </c>
      <c r="H238" s="437">
        <v>10</v>
      </c>
      <c r="I238" s="28">
        <v>1</v>
      </c>
      <c r="J238" s="438">
        <f t="shared" si="54"/>
        <v>0.37037037037037035</v>
      </c>
      <c r="K238" s="442">
        <f>(720)*2/1000+0.2</f>
        <v>1.64</v>
      </c>
      <c r="L238" s="267">
        <f t="shared" si="55"/>
        <v>0.60740740740740728</v>
      </c>
      <c r="M238" s="266">
        <f>L238*N238</f>
        <v>121.48148148148145</v>
      </c>
      <c r="N238" s="433">
        <v>200</v>
      </c>
      <c r="O238" s="267">
        <f t="shared" si="56"/>
        <v>0.60740740740740728</v>
      </c>
    </row>
    <row r="239" ht="15.75" thickBot="1"/>
    <row r="240" spans="1:7" ht="15">
      <c r="A240" s="500" t="s">
        <v>328</v>
      </c>
      <c r="B240" s="631" t="s">
        <v>1593</v>
      </c>
      <c r="C240" s="632"/>
      <c r="D240" s="633"/>
      <c r="E240" s="501" t="s">
        <v>332</v>
      </c>
      <c r="F240" s="502" t="s">
        <v>333</v>
      </c>
      <c r="G240" s="68"/>
    </row>
    <row r="241" spans="1:7" ht="15.75" thickBot="1">
      <c r="A241" s="504">
        <v>5</v>
      </c>
      <c r="B241" s="634" t="s">
        <v>1605</v>
      </c>
      <c r="C241" s="635"/>
      <c r="D241" s="636"/>
      <c r="E241" s="505" t="s">
        <v>1682</v>
      </c>
      <c r="F241" s="506">
        <v>44987</v>
      </c>
      <c r="G241" s="68"/>
    </row>
    <row r="242" spans="1:15" ht="30">
      <c r="A242" s="529" t="s">
        <v>1662</v>
      </c>
      <c r="B242" s="522" t="s">
        <v>1661</v>
      </c>
      <c r="C242" s="523" t="s">
        <v>9</v>
      </c>
      <c r="D242" s="523">
        <v>109</v>
      </c>
      <c r="E242" s="523"/>
      <c r="F242" s="524" t="s">
        <v>10</v>
      </c>
      <c r="G242" s="525">
        <v>33</v>
      </c>
      <c r="H242" s="526">
        <v>10</v>
      </c>
      <c r="I242" s="527">
        <v>1</v>
      </c>
      <c r="J242" s="528">
        <f t="shared" si="58" ref="J242:J246">H242/G242*I242</f>
        <v>0.30303030303030304</v>
      </c>
      <c r="K242" s="525">
        <f>(350*2)/1000</f>
        <v>0.70</v>
      </c>
      <c r="L242" s="267">
        <f t="shared" si="59" ref="L242:L246">J242*K242</f>
        <v>0.21212121212121213</v>
      </c>
      <c r="M242" s="266">
        <f t="shared" si="60" ref="M242:M246">L242*N242</f>
        <v>32.242424242424242</v>
      </c>
      <c r="N242" s="433">
        <v>152</v>
      </c>
      <c r="O242" s="267">
        <f t="shared" si="61" ref="O242:O246">J242/I242*K242</f>
        <v>0.21212121212121213</v>
      </c>
    </row>
    <row r="243" spans="1:15" ht="30">
      <c r="A243" s="523" t="s">
        <v>1668</v>
      </c>
      <c r="B243" s="522" t="s">
        <v>1670</v>
      </c>
      <c r="C243" s="523" t="s">
        <v>33</v>
      </c>
      <c r="D243" s="523">
        <v>116</v>
      </c>
      <c r="E243" s="523"/>
      <c r="F243" s="523" t="s">
        <v>1666</v>
      </c>
      <c r="G243" s="527">
        <v>10.32</v>
      </c>
      <c r="H243" s="530">
        <v>10</v>
      </c>
      <c r="I243" s="527">
        <v>2</v>
      </c>
      <c r="J243" s="531">
        <f t="shared" si="58"/>
        <v>1.9379844961240309</v>
      </c>
      <c r="K243" s="527">
        <v>1</v>
      </c>
      <c r="L243" s="267">
        <f t="shared" si="59"/>
        <v>1.9379844961240309</v>
      </c>
      <c r="M243" s="433">
        <f t="shared" si="60"/>
        <v>387.59689922480618</v>
      </c>
      <c r="N243" s="434">
        <v>200</v>
      </c>
      <c r="O243" s="435">
        <f t="shared" si="61"/>
        <v>0.96899224806201545</v>
      </c>
    </row>
    <row r="244" spans="1:15" ht="30">
      <c r="A244" s="523" t="s">
        <v>1669</v>
      </c>
      <c r="B244" s="522" t="s">
        <v>1671</v>
      </c>
      <c r="C244" s="523" t="s">
        <v>33</v>
      </c>
      <c r="D244" s="523">
        <v>116</v>
      </c>
      <c r="E244" s="523"/>
      <c r="F244" s="523" t="s">
        <v>10</v>
      </c>
      <c r="G244" s="527">
        <v>40</v>
      </c>
      <c r="H244" s="530">
        <v>10</v>
      </c>
      <c r="I244" s="527">
        <v>1</v>
      </c>
      <c r="J244" s="531">
        <f t="shared" si="58"/>
        <v>0.25</v>
      </c>
      <c r="K244" s="525">
        <f>4303/1000</f>
        <v>4.3029999999999999</v>
      </c>
      <c r="L244" s="267">
        <f t="shared" si="59"/>
        <v>1.07575</v>
      </c>
      <c r="M244" s="433">
        <f t="shared" si="60"/>
        <v>215.15</v>
      </c>
      <c r="N244" s="434">
        <v>200</v>
      </c>
      <c r="O244" s="435">
        <f t="shared" si="61"/>
        <v>1.07575</v>
      </c>
    </row>
    <row r="245" spans="1:15" ht="30">
      <c r="A245" s="523" t="s">
        <v>1663</v>
      </c>
      <c r="B245" s="522" t="s">
        <v>1665</v>
      </c>
      <c r="C245" s="523" t="s">
        <v>33</v>
      </c>
      <c r="D245" s="523">
        <v>116</v>
      </c>
      <c r="E245" s="523"/>
      <c r="F245" s="523" t="s">
        <v>1666</v>
      </c>
      <c r="G245" s="527">
        <v>10.199999999999999</v>
      </c>
      <c r="H245" s="530">
        <v>10</v>
      </c>
      <c r="I245" s="527">
        <v>2</v>
      </c>
      <c r="J245" s="531">
        <f t="shared" si="58"/>
        <v>1.9607843137254903</v>
      </c>
      <c r="K245" s="527">
        <v>1</v>
      </c>
      <c r="L245" s="267">
        <f t="shared" si="59"/>
        <v>1.9607843137254903</v>
      </c>
      <c r="M245" s="433">
        <f t="shared" si="60"/>
        <v>392.15686274509807</v>
      </c>
      <c r="N245" s="434">
        <v>200</v>
      </c>
      <c r="O245" s="435">
        <f t="shared" si="61"/>
        <v>0.98039215686274517</v>
      </c>
    </row>
    <row r="246" spans="1:15" ht="30">
      <c r="A246" s="523" t="s">
        <v>1664</v>
      </c>
      <c r="B246" s="522" t="s">
        <v>1667</v>
      </c>
      <c r="C246" s="523" t="s">
        <v>33</v>
      </c>
      <c r="D246" s="523">
        <v>116</v>
      </c>
      <c r="E246" s="523"/>
      <c r="F246" s="523" t="s">
        <v>10</v>
      </c>
      <c r="G246" s="527">
        <v>40</v>
      </c>
      <c r="H246" s="530">
        <v>10</v>
      </c>
      <c r="I246" s="527">
        <v>1</v>
      </c>
      <c r="J246" s="531">
        <f t="shared" si="58"/>
        <v>0.25</v>
      </c>
      <c r="K246" s="525">
        <f>4213/1000</f>
        <v>4.2130000000000001</v>
      </c>
      <c r="L246" s="267">
        <f t="shared" si="59"/>
        <v>1.05325</v>
      </c>
      <c r="M246" s="433">
        <f t="shared" si="60"/>
        <v>210.65</v>
      </c>
      <c r="N246" s="434">
        <v>200</v>
      </c>
      <c r="O246" s="435">
        <f t="shared" si="61"/>
        <v>1.05325</v>
      </c>
    </row>
    <row r="247" ht="15.75" thickBot="1"/>
    <row r="248" spans="1:6" ht="15">
      <c r="A248" s="500" t="s">
        <v>328</v>
      </c>
      <c r="B248" s="631" t="s">
        <v>1593</v>
      </c>
      <c r="C248" s="632"/>
      <c r="D248" s="633"/>
      <c r="E248" s="501" t="s">
        <v>332</v>
      </c>
      <c r="F248" s="502" t="s">
        <v>333</v>
      </c>
    </row>
    <row r="249" spans="1:6" ht="15.75" thickBot="1">
      <c r="A249" s="504">
        <v>6</v>
      </c>
      <c r="B249" s="634" t="s">
        <v>1605</v>
      </c>
      <c r="C249" s="635"/>
      <c r="D249" s="636"/>
      <c r="E249" s="505" t="s">
        <v>1682</v>
      </c>
      <c r="F249" s="506">
        <v>45055</v>
      </c>
    </row>
    <row r="250" spans="1:15" ht="15">
      <c r="A250" s="523" t="s">
        <v>1695</v>
      </c>
      <c r="B250" s="522" t="s">
        <v>1696</v>
      </c>
      <c r="C250" s="523" t="s">
        <v>33</v>
      </c>
      <c r="D250" s="523">
        <v>226</v>
      </c>
      <c r="E250" s="523"/>
      <c r="F250" s="523" t="s">
        <v>12</v>
      </c>
      <c r="G250" s="527">
        <v>20</v>
      </c>
      <c r="H250" s="530">
        <v>10</v>
      </c>
      <c r="I250" s="527">
        <v>1</v>
      </c>
      <c r="J250" s="531">
        <f t="shared" si="62" ref="J250">H250/G250*I250</f>
        <v>0.50</v>
      </c>
      <c r="K250" s="527">
        <v>1</v>
      </c>
      <c r="L250" s="267">
        <f t="shared" si="63" ref="L250">J250*K250</f>
        <v>0.50</v>
      </c>
      <c r="M250" s="433">
        <f t="shared" si="64" ref="M250">L250*N250</f>
        <v>100</v>
      </c>
      <c r="N250" s="434">
        <v>200</v>
      </c>
      <c r="O250" s="435">
        <f t="shared" si="65" ref="O250">J250/I250*K250</f>
        <v>0.50</v>
      </c>
    </row>
    <row r="251" ht="15.75" thickBot="1"/>
    <row r="252" spans="1:6" ht="15">
      <c r="A252" s="500" t="s">
        <v>328</v>
      </c>
      <c r="B252" s="631" t="s">
        <v>1593</v>
      </c>
      <c r="C252" s="632"/>
      <c r="D252" s="633"/>
      <c r="E252" s="501" t="s">
        <v>332</v>
      </c>
      <c r="F252" s="502" t="s">
        <v>333</v>
      </c>
    </row>
    <row r="253" spans="1:6" ht="15.75" thickBot="1">
      <c r="A253" s="504">
        <v>7</v>
      </c>
      <c r="B253" s="634" t="s">
        <v>1657</v>
      </c>
      <c r="C253" s="635"/>
      <c r="D253" s="636"/>
      <c r="E253" s="505" t="s">
        <v>1697</v>
      </c>
      <c r="F253" s="506">
        <v>45142</v>
      </c>
    </row>
    <row r="254" spans="1:16" ht="15">
      <c r="A254" s="13" t="s">
        <v>292</v>
      </c>
      <c r="B254" s="27" t="s">
        <v>21</v>
      </c>
      <c r="C254" s="13" t="s">
        <v>33</v>
      </c>
      <c r="D254" s="13">
        <v>219</v>
      </c>
      <c r="E254" s="13"/>
      <c r="F254" s="13" t="s">
        <v>12</v>
      </c>
      <c r="G254" s="436">
        <v>1.857</v>
      </c>
      <c r="H254" s="440">
        <v>10</v>
      </c>
      <c r="I254" s="28">
        <v>2</v>
      </c>
      <c r="J254" s="441">
        <f t="shared" si="66" ref="J254:J255">H254/G254*I254</f>
        <v>10.770059235325794</v>
      </c>
      <c r="K254" s="28">
        <v>1</v>
      </c>
      <c r="L254" s="267">
        <f t="shared" si="67" ref="L254:L255">J254*K254</f>
        <v>10.770059235325794</v>
      </c>
      <c r="M254" s="433">
        <f t="shared" si="68" ref="M254:M255">L254*N254</f>
        <v>1787.8298330640819</v>
      </c>
      <c r="N254" s="434">
        <v>166</v>
      </c>
      <c r="O254" s="435">
        <f t="shared" si="69" ref="O254:O255">J254/I254*K254</f>
        <v>5.3850296176628971</v>
      </c>
      <c r="P254" s="22"/>
    </row>
    <row r="255" spans="1:16" ht="15">
      <c r="A255" s="13" t="s">
        <v>292</v>
      </c>
      <c r="B255" s="27" t="s">
        <v>21</v>
      </c>
      <c r="C255" s="13" t="s">
        <v>33</v>
      </c>
      <c r="D255" s="13">
        <v>219</v>
      </c>
      <c r="E255" s="13"/>
      <c r="F255" s="13" t="s">
        <v>12</v>
      </c>
      <c r="G255" s="569">
        <f t="shared" si="70" ref="G255">1.857*2</f>
        <v>3.714</v>
      </c>
      <c r="H255" s="440">
        <v>10</v>
      </c>
      <c r="I255" s="28">
        <v>2</v>
      </c>
      <c r="J255" s="441">
        <f t="shared" si="66"/>
        <v>5.3850296176628971</v>
      </c>
      <c r="K255" s="28">
        <v>1</v>
      </c>
      <c r="L255" s="267">
        <f t="shared" si="67"/>
        <v>5.3850296176628971</v>
      </c>
      <c r="M255" s="433">
        <f t="shared" si="68"/>
        <v>893.91491653204093</v>
      </c>
      <c r="N255" s="434">
        <v>166</v>
      </c>
      <c r="O255" s="435">
        <f t="shared" si="69"/>
        <v>2.6925148088314486</v>
      </c>
      <c r="P255" s="22"/>
    </row>
  </sheetData>
  <autoFilter ref="A4:P192"/>
  <mergeCells count="86">
    <mergeCell ref="A236:A238"/>
    <mergeCell ref="B236:B238"/>
    <mergeCell ref="B234:D234"/>
    <mergeCell ref="B235:D235"/>
    <mergeCell ref="A76:A79"/>
    <mergeCell ref="B76:B79"/>
    <mergeCell ref="A226:A227"/>
    <mergeCell ref="B226:B227"/>
    <mergeCell ref="A140:A142"/>
    <mergeCell ref="B140:B142"/>
    <mergeCell ref="A143:A144"/>
    <mergeCell ref="B143:B144"/>
    <mergeCell ref="A90:A91"/>
    <mergeCell ref="B90:B91"/>
    <mergeCell ref="B118:K118"/>
    <mergeCell ref="B94:K94"/>
    <mergeCell ref="E40:E41"/>
    <mergeCell ref="A40:A41"/>
    <mergeCell ref="B40:B41"/>
    <mergeCell ref="E24:E26"/>
    <mergeCell ref="E27:E29"/>
    <mergeCell ref="A30:A31"/>
    <mergeCell ref="B30:B31"/>
    <mergeCell ref="A24:A29"/>
    <mergeCell ref="B24:B29"/>
    <mergeCell ref="A34:A35"/>
    <mergeCell ref="B34:B35"/>
    <mergeCell ref="E34:E35"/>
    <mergeCell ref="E42:E44"/>
    <mergeCell ref="A73:A74"/>
    <mergeCell ref="B73:B74"/>
    <mergeCell ref="A57:A60"/>
    <mergeCell ref="B57:B60"/>
    <mergeCell ref="E51:E52"/>
    <mergeCell ref="A53:A55"/>
    <mergeCell ref="B53:B55"/>
    <mergeCell ref="E53:E55"/>
    <mergeCell ref="A45:A48"/>
    <mergeCell ref="B45:B48"/>
    <mergeCell ref="A51:A52"/>
    <mergeCell ref="B51:B52"/>
    <mergeCell ref="A42:A44"/>
    <mergeCell ref="B42:B44"/>
    <mergeCell ref="A70:A72"/>
    <mergeCell ref="B5:K5"/>
    <mergeCell ref="B17:K17"/>
    <mergeCell ref="A18:A19"/>
    <mergeCell ref="B18:B19"/>
    <mergeCell ref="A20:A23"/>
    <mergeCell ref="B20:B23"/>
    <mergeCell ref="E20:E21"/>
    <mergeCell ref="E22:E23"/>
    <mergeCell ref="B69:K69"/>
    <mergeCell ref="B80:B83"/>
    <mergeCell ref="E80:E81"/>
    <mergeCell ref="E82:E83"/>
    <mergeCell ref="B70:B72"/>
    <mergeCell ref="A164:A165"/>
    <mergeCell ref="B164:B165"/>
    <mergeCell ref="B167:K167"/>
    <mergeCell ref="E76:E77"/>
    <mergeCell ref="E78:E79"/>
    <mergeCell ref="A80:A83"/>
    <mergeCell ref="A125:A126"/>
    <mergeCell ref="B125:B126"/>
    <mergeCell ref="A138:A139"/>
    <mergeCell ref="B138:B139"/>
    <mergeCell ref="A95:A97"/>
    <mergeCell ref="B95:B97"/>
    <mergeCell ref="B107:K107"/>
    <mergeCell ref="B114:K114"/>
    <mergeCell ref="A84:A87"/>
    <mergeCell ref="B84:B87"/>
    <mergeCell ref="B252:D252"/>
    <mergeCell ref="B253:D253"/>
    <mergeCell ref="B248:D248"/>
    <mergeCell ref="B249:D249"/>
    <mergeCell ref="E85:E87"/>
    <mergeCell ref="B240:D240"/>
    <mergeCell ref="B241:D241"/>
    <mergeCell ref="B231:D231"/>
    <mergeCell ref="B223:D223"/>
    <mergeCell ref="B224:D224"/>
    <mergeCell ref="B228:D228"/>
    <mergeCell ref="B229:D229"/>
    <mergeCell ref="B232:D23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250"/>
  <sheetViews>
    <sheetView zoomScale="85" zoomScaleNormal="85" workbookViewId="0" topLeftCell="A1">
      <pane ySplit="4" topLeftCell="A241" activePane="bottomLeft" state="frozen"/>
      <selection pane="topLeft" activeCell="A1" sqref="A1"/>
      <selection pane="bottomLeft" activeCell="A247" sqref="A247:XFD248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2.571428571428573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44498</v>
      </c>
    </row>
    <row r="2" spans="2:9" ht="31.5">
      <c r="B2" s="492" t="s">
        <v>956</v>
      </c>
      <c r="F2" s="429" t="s">
        <v>22</v>
      </c>
      <c r="G2" s="268">
        <f>3344/1000</f>
        <v>3.3439999999999999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SUM(M6:M17)</f>
        <v>929.28</v>
      </c>
      <c r="N5" s="263"/>
      <c r="O5" s="264">
        <f>SUM(O6:O17)</f>
        <v>5.28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7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34</v>
      </c>
      <c r="L6" s="465">
        <f t="shared" si="1" ref="L6:L17">J6*K6</f>
        <v>0.66300000000000003</v>
      </c>
      <c r="M6" s="466">
        <f t="shared" si="2" ref="M6:M17">L6*N6</f>
        <v>116.688</v>
      </c>
      <c r="N6" s="466">
        <v>176</v>
      </c>
      <c r="O6" s="456">
        <f t="shared" si="3" ref="O6:O17">J6/I6*K6</f>
        <v>0.66300000000000003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3</v>
      </c>
      <c r="L9" s="465">
        <f t="shared" si="1"/>
        <v>0.051500000000000004</v>
      </c>
      <c r="M9" s="466">
        <f t="shared" si="2"/>
        <v>9.0640000000000001</v>
      </c>
      <c r="N9" s="466">
        <v>176</v>
      </c>
      <c r="O9" s="456">
        <f t="shared" si="3"/>
        <v>0.051500000000000004</v>
      </c>
    </row>
    <row r="10" spans="1:15" s="457" customFormat="1" ht="15">
      <c r="A10" s="459" t="s">
        <v>839</v>
      </c>
      <c r="B10" s="494" t="s">
        <v>957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88.888888888888886</v>
      </c>
      <c r="H10" s="462">
        <v>10</v>
      </c>
      <c r="I10" s="463">
        <v>1</v>
      </c>
      <c r="J10" s="464">
        <f>6.75/60</f>
        <v>0.1125</v>
      </c>
      <c r="K10" s="461">
        <v>2</v>
      </c>
      <c r="L10" s="465">
        <f t="shared" si="1"/>
        <v>0.225</v>
      </c>
      <c r="M10" s="466">
        <f t="shared" si="2"/>
        <v>39.60</v>
      </c>
      <c r="N10" s="466">
        <v>176</v>
      </c>
      <c r="O10" s="456">
        <f t="shared" si="3"/>
        <v>0.225</v>
      </c>
    </row>
    <row r="11" spans="1:15" s="457" customFormat="1" ht="15">
      <c r="A11" s="459" t="s">
        <v>840</v>
      </c>
      <c r="B11" s="494" t="s">
        <v>958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419.58041958041963</v>
      </c>
      <c r="H11" s="462">
        <v>10</v>
      </c>
      <c r="I11" s="463">
        <v>1</v>
      </c>
      <c r="J11" s="464">
        <f>1.43/60</f>
        <v>0.023833333333333331</v>
      </c>
      <c r="K11" s="461">
        <v>1</v>
      </c>
      <c r="L11" s="465">
        <f t="shared" si="1"/>
        <v>0.023833333333333331</v>
      </c>
      <c r="M11" s="466">
        <f t="shared" si="2"/>
        <v>4.1946666666666665</v>
      </c>
      <c r="N11" s="466">
        <v>176</v>
      </c>
      <c r="O11" s="456">
        <f t="shared" si="3"/>
        <v>0.023833333333333331</v>
      </c>
    </row>
    <row r="12" spans="1:15" s="457" customFormat="1" ht="15">
      <c r="A12" s="459" t="s">
        <v>841</v>
      </c>
      <c r="B12" s="494" t="s">
        <v>959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287.08133971291863</v>
      </c>
      <c r="H12" s="462">
        <v>10</v>
      </c>
      <c r="I12" s="463">
        <v>1</v>
      </c>
      <c r="J12" s="464">
        <f>2.09/60</f>
        <v>0.034833333333333334</v>
      </c>
      <c r="K12" s="461">
        <v>6</v>
      </c>
      <c r="L12" s="465">
        <f t="shared" si="1"/>
        <v>0.20900000000000002</v>
      </c>
      <c r="M12" s="466">
        <f t="shared" si="2"/>
        <v>36.784000000000006</v>
      </c>
      <c r="N12" s="466">
        <v>176</v>
      </c>
      <c r="O12" s="456">
        <f t="shared" si="3"/>
        <v>0.20900000000000002</v>
      </c>
    </row>
    <row r="13" spans="1:15" s="457" customFormat="1" ht="15">
      <c r="A13" s="459" t="s">
        <v>842</v>
      </c>
      <c r="B13" s="494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0.038833333333333338</v>
      </c>
      <c r="K13" s="461">
        <v>86</v>
      </c>
      <c r="L13" s="465">
        <f t="shared" si="1"/>
        <v>3.339666666666667</v>
      </c>
      <c r="M13" s="466">
        <f t="shared" si="2"/>
        <v>587.78133333333335</v>
      </c>
      <c r="N13" s="466">
        <v>176</v>
      </c>
      <c r="O13" s="456">
        <f t="shared" si="3"/>
        <v>3.339666666666667</v>
      </c>
    </row>
    <row r="14" spans="1:15" s="457" customFormat="1" ht="15">
      <c r="A14" s="459" t="s">
        <v>843</v>
      </c>
      <c r="B14" s="494" t="s">
        <v>932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132.45033112582783</v>
      </c>
      <c r="H14" s="462">
        <v>10</v>
      </c>
      <c r="I14" s="463">
        <v>1</v>
      </c>
      <c r="J14" s="464">
        <f>4.53/60</f>
        <v>0.075499999999999998</v>
      </c>
      <c r="K14" s="461">
        <v>2</v>
      </c>
      <c r="L14" s="465">
        <f t="shared" si="1"/>
        <v>0.151</v>
      </c>
      <c r="M14" s="466">
        <f t="shared" si="2"/>
        <v>26.576000000000001</v>
      </c>
      <c r="N14" s="466">
        <v>176</v>
      </c>
      <c r="O14" s="456">
        <f t="shared" si="3"/>
        <v>0.151</v>
      </c>
    </row>
    <row r="15" spans="1:15" s="457" customFormat="1" ht="15">
      <c r="A15" s="459" t="s">
        <v>844</v>
      </c>
      <c r="B15" s="494" t="s">
        <v>854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631.57894736842115</v>
      </c>
      <c r="H15" s="462">
        <v>10</v>
      </c>
      <c r="I15" s="463">
        <v>1</v>
      </c>
      <c r="J15" s="464">
        <f>0.95/60</f>
        <v>0.015833333333333331</v>
      </c>
      <c r="K15" s="461">
        <v>8</v>
      </c>
      <c r="L15" s="465">
        <f t="shared" si="1"/>
        <v>0.12666666666666665</v>
      </c>
      <c r="M15" s="466">
        <f t="shared" si="2"/>
        <v>22.293333333333329</v>
      </c>
      <c r="N15" s="466">
        <v>176</v>
      </c>
      <c r="O15" s="456">
        <f t="shared" si="3"/>
        <v>0.12666666666666665</v>
      </c>
    </row>
    <row r="16" spans="1:15" s="457" customFormat="1" ht="15">
      <c r="A16" s="459" t="s">
        <v>845</v>
      </c>
      <c r="B16" s="494" t="s">
        <v>855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454.5454545454545</v>
      </c>
      <c r="H16" s="462">
        <v>10</v>
      </c>
      <c r="I16" s="463">
        <v>1</v>
      </c>
      <c r="J16" s="464">
        <f>1.32/60</f>
        <v>0.022000000000000002</v>
      </c>
      <c r="K16" s="461">
        <v>8</v>
      </c>
      <c r="L16" s="465">
        <f t="shared" si="1"/>
        <v>0.17600000000000002</v>
      </c>
      <c r="M16" s="466">
        <f t="shared" si="2"/>
        <v>30.976000000000003</v>
      </c>
      <c r="N16" s="466">
        <v>176</v>
      </c>
      <c r="O16" s="456">
        <f t="shared" si="3"/>
        <v>0.17600000000000002</v>
      </c>
    </row>
    <row r="17" spans="1:15" s="457" customFormat="1" ht="15">
      <c r="A17" s="459" t="s">
        <v>846</v>
      </c>
      <c r="B17" s="494" t="s">
        <v>960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179.1044776119403</v>
      </c>
      <c r="H17" s="462">
        <v>10</v>
      </c>
      <c r="I17" s="463">
        <v>1</v>
      </c>
      <c r="J17" s="464">
        <f>3.35/60</f>
        <v>0.055833333333333332</v>
      </c>
      <c r="K17" s="461">
        <v>2</v>
      </c>
      <c r="L17" s="465">
        <f t="shared" si="1"/>
        <v>0.11166666666666666</v>
      </c>
      <c r="M17" s="466">
        <f t="shared" si="2"/>
        <v>19.653333333333332</v>
      </c>
      <c r="N17" s="466">
        <v>176</v>
      </c>
      <c r="O17" s="456">
        <f t="shared" si="3"/>
        <v>0.11166666666666666</v>
      </c>
    </row>
    <row r="18" spans="1:15" ht="15">
      <c r="A18" s="39"/>
      <c r="B18" s="649" t="s">
        <v>130</v>
      </c>
      <c r="C18" s="649"/>
      <c r="D18" s="649"/>
      <c r="E18" s="649"/>
      <c r="F18" s="649"/>
      <c r="G18" s="649"/>
      <c r="H18" s="649"/>
      <c r="I18" s="649"/>
      <c r="J18" s="649"/>
      <c r="K18" s="649"/>
      <c r="L18" s="265"/>
      <c r="M18" s="262">
        <f>SUM(M19:M72)</f>
        <v>9001.4048692365923</v>
      </c>
      <c r="N18" s="430"/>
      <c r="O18" s="264">
        <f>SUM(O19:O72)</f>
        <v>40.503824541262723</v>
      </c>
    </row>
    <row r="19" spans="1:15" s="0" customFormat="1" ht="15">
      <c r="A19" s="642" t="s">
        <v>143</v>
      </c>
      <c r="B19" s="639" t="s">
        <v>144</v>
      </c>
      <c r="C19" s="13" t="s">
        <v>961</v>
      </c>
      <c r="D19" s="13">
        <v>105</v>
      </c>
      <c r="E19" s="13"/>
      <c r="F19" s="17" t="s">
        <v>353</v>
      </c>
      <c r="G19" s="469">
        <v>14.60</v>
      </c>
      <c r="H19" s="252">
        <v>10</v>
      </c>
      <c r="I19" s="16">
        <v>1</v>
      </c>
      <c r="J19" s="253">
        <f>H19/G19*I19</f>
        <v>0.68493150684931503</v>
      </c>
      <c r="K19" s="52">
        <v>1</v>
      </c>
      <c r="L19" s="26">
        <f t="shared" si="4" ref="L19:L72">J19*K19</f>
        <v>0.68493150684931503</v>
      </c>
      <c r="M19" s="37">
        <f>L19*N19</f>
        <v>136.98630136986301</v>
      </c>
      <c r="N19" s="85">
        <v>200</v>
      </c>
      <c r="O19" s="8">
        <f>J19/I19*K19</f>
        <v>0.68493150684931503</v>
      </c>
    </row>
    <row r="20" spans="1:15" s="0" customFormat="1" ht="15">
      <c r="A20" s="644"/>
      <c r="B20" s="641"/>
      <c r="C20" s="13" t="s">
        <v>962</v>
      </c>
      <c r="D20" s="13">
        <v>105</v>
      </c>
      <c r="E20" s="13"/>
      <c r="F20" s="17" t="s">
        <v>353</v>
      </c>
      <c r="G20" s="469">
        <v>14.60</v>
      </c>
      <c r="H20" s="252">
        <v>10</v>
      </c>
      <c r="I20" s="16">
        <v>1</v>
      </c>
      <c r="J20" s="253">
        <f>H20/G20*I20</f>
        <v>0.68493150684931503</v>
      </c>
      <c r="K20" s="52">
        <v>1</v>
      </c>
      <c r="L20" s="26">
        <f t="shared" si="4"/>
        <v>0.68493150684931503</v>
      </c>
      <c r="M20" s="37">
        <f>L20*N20</f>
        <v>136.98630136986301</v>
      </c>
      <c r="N20" s="85">
        <v>200</v>
      </c>
      <c r="O20" s="8">
        <f>J20/I20*K20</f>
        <v>0.68493150684931503</v>
      </c>
    </row>
    <row r="21" spans="1:15" s="0" customFormat="1" ht="15">
      <c r="A21" s="642" t="s">
        <v>146</v>
      </c>
      <c r="B21" s="639" t="s">
        <v>411</v>
      </c>
      <c r="C21" s="13" t="s">
        <v>963</v>
      </c>
      <c r="D21" s="54">
        <v>109</v>
      </c>
      <c r="E21" s="645" t="s">
        <v>911</v>
      </c>
      <c r="F21" s="17" t="s">
        <v>10</v>
      </c>
      <c r="G21" s="16">
        <v>40</v>
      </c>
      <c r="H21" s="252">
        <v>10</v>
      </c>
      <c r="I21" s="16">
        <v>1</v>
      </c>
      <c r="J21" s="253">
        <f t="shared" si="5" ref="J21:J72">H21/G21*I21</f>
        <v>0.25</v>
      </c>
      <c r="K21" s="260">
        <f>660/1000+0.1</f>
        <v>0.76</v>
      </c>
      <c r="L21" s="26">
        <f t="shared" si="4"/>
        <v>0.19</v>
      </c>
      <c r="M21" s="43">
        <f t="shared" si="6" ref="M21:M72">L21*N21</f>
        <v>38</v>
      </c>
      <c r="N21" s="85">
        <v>200</v>
      </c>
      <c r="O21" s="8">
        <f t="shared" si="7" ref="O21:O72">J21/I21*K21</f>
        <v>0.19</v>
      </c>
    </row>
    <row r="22" spans="1:15" s="0" customFormat="1" ht="15">
      <c r="A22" s="643"/>
      <c r="B22" s="640"/>
      <c r="C22" s="13" t="s">
        <v>964</v>
      </c>
      <c r="D22" s="90">
        <v>109</v>
      </c>
      <c r="E22" s="647"/>
      <c r="F22" s="17" t="s">
        <v>10</v>
      </c>
      <c r="G22" s="16">
        <v>27</v>
      </c>
      <c r="H22" s="252">
        <v>10</v>
      </c>
      <c r="I22" s="16">
        <v>1</v>
      </c>
      <c r="J22" s="253">
        <f t="shared" si="5"/>
        <v>0.37037037037037035</v>
      </c>
      <c r="K22" s="260">
        <f>660/1000+0.1</f>
        <v>0.76</v>
      </c>
      <c r="L22" s="26">
        <f t="shared" si="4"/>
        <v>0.28148148148148144</v>
      </c>
      <c r="M22" s="43">
        <f t="shared" si="6"/>
        <v>56.296296296296291</v>
      </c>
      <c r="N22" s="85">
        <v>200</v>
      </c>
      <c r="O22" s="8">
        <f t="shared" si="7"/>
        <v>0.28148148148148144</v>
      </c>
    </row>
    <row r="23" spans="1:15" s="0" customFormat="1" ht="15">
      <c r="A23" s="643"/>
      <c r="B23" s="640"/>
      <c r="C23" s="13" t="s">
        <v>965</v>
      </c>
      <c r="D23" s="54">
        <v>109</v>
      </c>
      <c r="E23" s="645" t="s">
        <v>911</v>
      </c>
      <c r="F23" s="17" t="s">
        <v>10</v>
      </c>
      <c r="G23" s="16">
        <v>40</v>
      </c>
      <c r="H23" s="252">
        <v>10</v>
      </c>
      <c r="I23" s="16">
        <v>1</v>
      </c>
      <c r="J23" s="253">
        <f t="shared" si="5"/>
        <v>0.25</v>
      </c>
      <c r="K23" s="260">
        <f>1480/1000+0.1</f>
        <v>1.58</v>
      </c>
      <c r="L23" s="26">
        <f t="shared" si="4"/>
        <v>0.395</v>
      </c>
      <c r="M23" s="43">
        <f t="shared" si="6"/>
        <v>79</v>
      </c>
      <c r="N23" s="85">
        <v>200</v>
      </c>
      <c r="O23" s="8">
        <f t="shared" si="7"/>
        <v>0.395</v>
      </c>
    </row>
    <row r="24" spans="1:15" s="0" customFormat="1" ht="15">
      <c r="A24" s="644"/>
      <c r="B24" s="641"/>
      <c r="C24" s="13" t="s">
        <v>966</v>
      </c>
      <c r="D24" s="90">
        <v>109</v>
      </c>
      <c r="E24" s="647"/>
      <c r="F24" s="17" t="s">
        <v>10</v>
      </c>
      <c r="G24" s="16">
        <v>27</v>
      </c>
      <c r="H24" s="252">
        <v>10</v>
      </c>
      <c r="I24" s="16">
        <v>1</v>
      </c>
      <c r="J24" s="253">
        <f t="shared" si="5"/>
        <v>0.37037037037037035</v>
      </c>
      <c r="K24" s="260">
        <f>1480/1000+0.2</f>
        <v>1.68</v>
      </c>
      <c r="L24" s="26">
        <f t="shared" si="4"/>
        <v>0.62222222222222212</v>
      </c>
      <c r="M24" s="43">
        <f t="shared" si="6"/>
        <v>124.44444444444443</v>
      </c>
      <c r="N24" s="85">
        <v>200</v>
      </c>
      <c r="O24" s="8">
        <f t="shared" si="7"/>
        <v>0.62222222222222212</v>
      </c>
    </row>
    <row r="25" spans="1:15" s="0" customFormat="1" ht="15">
      <c r="A25" s="642" t="s">
        <v>148</v>
      </c>
      <c r="B25" s="639" t="s">
        <v>412</v>
      </c>
      <c r="C25" s="13" t="s">
        <v>967</v>
      </c>
      <c r="D25" s="13">
        <v>107</v>
      </c>
      <c r="E25" s="637" t="s">
        <v>43</v>
      </c>
      <c r="F25" s="17" t="s">
        <v>10</v>
      </c>
      <c r="G25" s="16">
        <v>40</v>
      </c>
      <c r="H25" s="252">
        <v>10</v>
      </c>
      <c r="I25" s="16">
        <v>1</v>
      </c>
      <c r="J25" s="253">
        <f t="shared" si="5"/>
        <v>0.25</v>
      </c>
      <c r="K25" s="30">
        <f>660/1000+0.1</f>
        <v>0.76</v>
      </c>
      <c r="L25" s="26">
        <f t="shared" si="4"/>
        <v>0.19</v>
      </c>
      <c r="M25" s="37">
        <f t="shared" si="6"/>
        <v>38</v>
      </c>
      <c r="N25" s="85">
        <v>200</v>
      </c>
      <c r="O25" s="8">
        <f t="shared" si="7"/>
        <v>0.19</v>
      </c>
    </row>
    <row r="26" spans="1:15" s="0" customFormat="1" ht="15">
      <c r="A26" s="643"/>
      <c r="B26" s="640"/>
      <c r="C26" s="13" t="s">
        <v>968</v>
      </c>
      <c r="D26" s="13">
        <v>107</v>
      </c>
      <c r="E26" s="637"/>
      <c r="F26" s="17" t="s">
        <v>10</v>
      </c>
      <c r="G26" s="16">
        <v>25</v>
      </c>
      <c r="H26" s="252">
        <v>10</v>
      </c>
      <c r="I26" s="16">
        <v>1</v>
      </c>
      <c r="J26" s="253">
        <f t="shared" si="5"/>
        <v>0.40</v>
      </c>
      <c r="K26" s="30">
        <f>660/1000</f>
        <v>0.66</v>
      </c>
      <c r="L26" s="26">
        <f t="shared" si="8" ref="L26">J26*K26</f>
        <v>0.26400000000000001</v>
      </c>
      <c r="M26" s="37">
        <f t="shared" si="9" ref="M26">L26*N26</f>
        <v>46.463999999999999</v>
      </c>
      <c r="N26" s="85">
        <v>176</v>
      </c>
      <c r="O26" s="8">
        <f t="shared" si="7"/>
        <v>0.26400000000000001</v>
      </c>
    </row>
    <row r="27" spans="1:15" s="0" customFormat="1" ht="15">
      <c r="A27" s="643"/>
      <c r="B27" s="640"/>
      <c r="C27" s="13" t="s">
        <v>969</v>
      </c>
      <c r="D27" s="13">
        <v>107</v>
      </c>
      <c r="E27" s="637"/>
      <c r="F27" s="17" t="s">
        <v>10</v>
      </c>
      <c r="G27" s="16">
        <v>28.50</v>
      </c>
      <c r="H27" s="252">
        <v>10</v>
      </c>
      <c r="I27" s="16">
        <v>1</v>
      </c>
      <c r="J27" s="253">
        <f t="shared" si="5"/>
        <v>0.35087719298245612</v>
      </c>
      <c r="K27" s="30">
        <f>660/1000+0.1</f>
        <v>0.76</v>
      </c>
      <c r="L27" s="26">
        <f t="shared" si="4"/>
        <v>0.26666666666666666</v>
      </c>
      <c r="M27" s="37">
        <f t="shared" si="6"/>
        <v>53.333333333333336</v>
      </c>
      <c r="N27" s="85">
        <v>200</v>
      </c>
      <c r="O27" s="8">
        <f t="shared" si="7"/>
        <v>0.26666666666666666</v>
      </c>
    </row>
    <row r="28" spans="1:15" s="0" customFormat="1" ht="15">
      <c r="A28" s="643"/>
      <c r="B28" s="640"/>
      <c r="C28" s="13" t="s">
        <v>413</v>
      </c>
      <c r="D28" s="13">
        <v>107</v>
      </c>
      <c r="E28" s="637" t="s">
        <v>43</v>
      </c>
      <c r="F28" s="17" t="s">
        <v>10</v>
      </c>
      <c r="G28" s="16">
        <v>40</v>
      </c>
      <c r="H28" s="252">
        <v>10</v>
      </c>
      <c r="I28" s="16">
        <v>1</v>
      </c>
      <c r="J28" s="253">
        <f t="shared" si="5"/>
        <v>0.25</v>
      </c>
      <c r="K28" s="30">
        <f>1480/1000+0.1</f>
        <v>1.58</v>
      </c>
      <c r="L28" s="26">
        <f t="shared" si="4"/>
        <v>0.395</v>
      </c>
      <c r="M28" s="37">
        <f t="shared" si="6"/>
        <v>79</v>
      </c>
      <c r="N28" s="85">
        <v>200</v>
      </c>
      <c r="O28" s="8">
        <f t="shared" si="7"/>
        <v>0.395</v>
      </c>
    </row>
    <row r="29" spans="1:15" s="0" customFormat="1" ht="15">
      <c r="A29" s="643"/>
      <c r="B29" s="640"/>
      <c r="C29" s="13" t="s">
        <v>414</v>
      </c>
      <c r="D29" s="13">
        <v>107</v>
      </c>
      <c r="E29" s="637"/>
      <c r="F29" s="17" t="s">
        <v>10</v>
      </c>
      <c r="G29" s="16">
        <v>25</v>
      </c>
      <c r="H29" s="252">
        <v>10</v>
      </c>
      <c r="I29" s="16">
        <v>1</v>
      </c>
      <c r="J29" s="253">
        <f t="shared" si="5"/>
        <v>0.40</v>
      </c>
      <c r="K29" s="30">
        <f>1480/1000</f>
        <v>1.48</v>
      </c>
      <c r="L29" s="26">
        <f t="shared" si="10" ref="L29">J29*K29</f>
        <v>0.59199999999999997</v>
      </c>
      <c r="M29" s="37">
        <f t="shared" si="11" ref="M29">L29*N29</f>
        <v>104.19199999999999</v>
      </c>
      <c r="N29" s="85">
        <v>176</v>
      </c>
      <c r="O29" s="8">
        <f t="shared" si="7"/>
        <v>0.59199999999999997</v>
      </c>
    </row>
    <row r="30" spans="1:15" s="0" customFormat="1" ht="15">
      <c r="A30" s="644"/>
      <c r="B30" s="641"/>
      <c r="C30" s="13" t="s">
        <v>415</v>
      </c>
      <c r="D30" s="13">
        <v>107</v>
      </c>
      <c r="E30" s="637"/>
      <c r="F30" s="17" t="s">
        <v>10</v>
      </c>
      <c r="G30" s="16">
        <v>28.50</v>
      </c>
      <c r="H30" s="252">
        <v>10</v>
      </c>
      <c r="I30" s="16">
        <v>1</v>
      </c>
      <c r="J30" s="253">
        <f t="shared" si="5"/>
        <v>0.35087719298245612</v>
      </c>
      <c r="K30" s="30">
        <f>1480/1000+0.1</f>
        <v>1.58</v>
      </c>
      <c r="L30" s="26">
        <f t="shared" si="12" ref="L30:L39">J30*K30</f>
        <v>0.55438596491228065</v>
      </c>
      <c r="M30" s="37">
        <f t="shared" si="6"/>
        <v>110.87719298245614</v>
      </c>
      <c r="N30" s="85">
        <v>200</v>
      </c>
      <c r="O30" s="8">
        <f t="shared" si="7"/>
        <v>0.55438596491228065</v>
      </c>
    </row>
    <row r="31" spans="1:15" s="0" customFormat="1" ht="15">
      <c r="A31" s="642" t="s">
        <v>421</v>
      </c>
      <c r="B31" s="639" t="s">
        <v>149</v>
      </c>
      <c r="C31" s="13" t="s">
        <v>961</v>
      </c>
      <c r="D31" s="13">
        <v>105</v>
      </c>
      <c r="E31" s="13"/>
      <c r="F31" s="17" t="s">
        <v>353</v>
      </c>
      <c r="G31" s="469">
        <f>14.6/0.65</f>
        <v>22.46153846153846</v>
      </c>
      <c r="H31" s="252">
        <v>10</v>
      </c>
      <c r="I31" s="16">
        <v>1</v>
      </c>
      <c r="J31" s="253">
        <f>H31/G31*I31</f>
        <v>0.44520547945205485</v>
      </c>
      <c r="K31" s="52">
        <v>1</v>
      </c>
      <c r="L31" s="26">
        <f t="shared" si="12"/>
        <v>0.44520547945205485</v>
      </c>
      <c r="M31" s="37">
        <f>L31*N31</f>
        <v>89.041095890410972</v>
      </c>
      <c r="N31" s="85">
        <v>200</v>
      </c>
      <c r="O31" s="8">
        <f>J31/I31*K31</f>
        <v>0.44520547945205485</v>
      </c>
    </row>
    <row r="32" spans="1:15" s="0" customFormat="1" ht="15">
      <c r="A32" s="644"/>
      <c r="B32" s="641"/>
      <c r="C32" s="13" t="s">
        <v>962</v>
      </c>
      <c r="D32" s="13">
        <v>105</v>
      </c>
      <c r="E32" s="13"/>
      <c r="F32" s="17" t="s">
        <v>353</v>
      </c>
      <c r="G32" s="469">
        <f>14.6/0.65</f>
        <v>22.46153846153846</v>
      </c>
      <c r="H32" s="252">
        <v>10</v>
      </c>
      <c r="I32" s="16">
        <v>1</v>
      </c>
      <c r="J32" s="253">
        <f>H32/G32*I32</f>
        <v>0.44520547945205485</v>
      </c>
      <c r="K32" s="52">
        <v>1</v>
      </c>
      <c r="L32" s="26">
        <f t="shared" si="12"/>
        <v>0.44520547945205485</v>
      </c>
      <c r="M32" s="37">
        <f>L32*N32</f>
        <v>89.041095890410972</v>
      </c>
      <c r="N32" s="85">
        <v>200</v>
      </c>
      <c r="O32" s="8">
        <f>J32/I32*K32</f>
        <v>0.44520547945205485</v>
      </c>
    </row>
    <row r="33" spans="1:15" s="0" customFormat="1" ht="30">
      <c r="A33" s="529" t="s">
        <v>1662</v>
      </c>
      <c r="B33" s="522" t="s">
        <v>1661</v>
      </c>
      <c r="C33" s="523" t="s">
        <v>9</v>
      </c>
      <c r="D33" s="523">
        <v>109</v>
      </c>
      <c r="E33" s="523"/>
      <c r="F33" s="524" t="s">
        <v>10</v>
      </c>
      <c r="G33" s="525">
        <v>33</v>
      </c>
      <c r="H33" s="526">
        <v>10</v>
      </c>
      <c r="I33" s="527">
        <v>1</v>
      </c>
      <c r="J33" s="528">
        <f t="shared" si="13" ref="J33">H33/G33*I33</f>
        <v>0.30303030303030304</v>
      </c>
      <c r="K33" s="525">
        <f>(350*2)/1000</f>
        <v>0.70</v>
      </c>
      <c r="L33" s="267">
        <f t="shared" si="12"/>
        <v>0.21212121212121213</v>
      </c>
      <c r="M33" s="266">
        <f t="shared" si="14" ref="M33">L33*N33</f>
        <v>32.242424242424242</v>
      </c>
      <c r="N33" s="433">
        <v>152</v>
      </c>
      <c r="O33" s="267">
        <f t="shared" si="15" ref="O33">J33/I33*K33</f>
        <v>0.21212121212121213</v>
      </c>
    </row>
    <row r="34" spans="1:15" s="0" customFormat="1" ht="15">
      <c r="A34" s="57" t="s">
        <v>422</v>
      </c>
      <c r="B34" s="56" t="s">
        <v>423</v>
      </c>
      <c r="C34" s="13" t="s">
        <v>24</v>
      </c>
      <c r="D34" s="13">
        <v>108</v>
      </c>
      <c r="E34" s="13"/>
      <c r="F34" s="25" t="s">
        <v>45</v>
      </c>
      <c r="G34" s="16">
        <v>10</v>
      </c>
      <c r="H34" s="252">
        <v>10</v>
      </c>
      <c r="I34" s="16">
        <v>2</v>
      </c>
      <c r="J34" s="253">
        <f t="shared" si="16" ref="J34:J39">H34/G34*I34</f>
        <v>2</v>
      </c>
      <c r="K34" s="16">
        <v>1</v>
      </c>
      <c r="L34" s="26">
        <f t="shared" si="12"/>
        <v>2</v>
      </c>
      <c r="M34" s="43">
        <f t="shared" si="17" ref="M34:M39">L34*N34</f>
        <v>400</v>
      </c>
      <c r="N34" s="85">
        <v>200</v>
      </c>
      <c r="O34" s="8">
        <f t="shared" si="18" ref="O34:O39">J34/I34*K34</f>
        <v>1</v>
      </c>
    </row>
    <row r="35" spans="1:15" s="0" customFormat="1" ht="15">
      <c r="A35" s="642" t="s">
        <v>150</v>
      </c>
      <c r="B35" s="639" t="s">
        <v>424</v>
      </c>
      <c r="C35" s="13" t="s">
        <v>970</v>
      </c>
      <c r="D35" s="54">
        <v>109</v>
      </c>
      <c r="E35" s="645" t="s">
        <v>911</v>
      </c>
      <c r="F35" s="17" t="s">
        <v>10</v>
      </c>
      <c r="G35" s="16">
        <v>40</v>
      </c>
      <c r="H35" s="252">
        <v>10</v>
      </c>
      <c r="I35" s="16">
        <v>1</v>
      </c>
      <c r="J35" s="253">
        <f t="shared" si="16"/>
        <v>0.25</v>
      </c>
      <c r="K35" s="260">
        <f>824*3.1415/1000</f>
        <v>2.5885959999999999</v>
      </c>
      <c r="L35" s="26">
        <f t="shared" si="12"/>
        <v>0.64714899999999997</v>
      </c>
      <c r="M35" s="43">
        <f t="shared" si="17"/>
        <v>129.4298</v>
      </c>
      <c r="N35" s="85">
        <v>200</v>
      </c>
      <c r="O35" s="8">
        <f t="shared" si="18"/>
        <v>0.64714899999999997</v>
      </c>
    </row>
    <row r="36" spans="1:15" s="0" customFormat="1" ht="15">
      <c r="A36" s="644"/>
      <c r="B36" s="641"/>
      <c r="C36" s="13" t="s">
        <v>151</v>
      </c>
      <c r="D36" s="90">
        <v>109</v>
      </c>
      <c r="E36" s="647"/>
      <c r="F36" s="17" t="s">
        <v>10</v>
      </c>
      <c r="G36" s="16">
        <v>27</v>
      </c>
      <c r="H36" s="252">
        <v>10</v>
      </c>
      <c r="I36" s="16">
        <v>1</v>
      </c>
      <c r="J36" s="253">
        <f t="shared" si="16"/>
        <v>0.37037037037037035</v>
      </c>
      <c r="K36" s="30">
        <f>(824*3.1415)/1000</f>
        <v>2.5885959999999999</v>
      </c>
      <c r="L36" s="26">
        <f t="shared" si="12"/>
        <v>0.95873925925925918</v>
      </c>
      <c r="M36" s="43">
        <f t="shared" si="17"/>
        <v>191.74785185185183</v>
      </c>
      <c r="N36" s="85">
        <v>200</v>
      </c>
      <c r="O36" s="8">
        <f t="shared" si="18"/>
        <v>0.95873925925925918</v>
      </c>
    </row>
    <row r="37" spans="1:15" s="0" customFormat="1" ht="15">
      <c r="A37" s="650" t="s">
        <v>425</v>
      </c>
      <c r="B37" s="638" t="s">
        <v>426</v>
      </c>
      <c r="C37" s="13" t="s">
        <v>970</v>
      </c>
      <c r="D37" s="13">
        <v>107</v>
      </c>
      <c r="E37" s="637" t="s">
        <v>43</v>
      </c>
      <c r="F37" s="17" t="s">
        <v>10</v>
      </c>
      <c r="G37" s="16">
        <v>40</v>
      </c>
      <c r="H37" s="252">
        <v>10</v>
      </c>
      <c r="I37" s="16">
        <v>1</v>
      </c>
      <c r="J37" s="471">
        <f t="shared" si="16"/>
        <v>0.25</v>
      </c>
      <c r="K37" s="30">
        <f>(824*3.1415)/1000</f>
        <v>2.5885959999999999</v>
      </c>
      <c r="L37" s="26">
        <f t="shared" si="12"/>
        <v>0.64714899999999997</v>
      </c>
      <c r="M37" s="43">
        <f t="shared" si="17"/>
        <v>129.4298</v>
      </c>
      <c r="N37" s="85">
        <v>200</v>
      </c>
      <c r="O37" s="8">
        <f t="shared" si="18"/>
        <v>0.64714899999999997</v>
      </c>
    </row>
    <row r="38" spans="1:15" s="0" customFormat="1" ht="15">
      <c r="A38" s="650"/>
      <c r="B38" s="638"/>
      <c r="C38" s="13" t="s">
        <v>971</v>
      </c>
      <c r="D38" s="13">
        <v>107</v>
      </c>
      <c r="E38" s="637"/>
      <c r="F38" s="17" t="s">
        <v>10</v>
      </c>
      <c r="G38" s="16">
        <v>25</v>
      </c>
      <c r="H38" s="252">
        <v>10</v>
      </c>
      <c r="I38" s="16">
        <v>1</v>
      </c>
      <c r="J38" s="471">
        <f t="shared" si="16"/>
        <v>0.40</v>
      </c>
      <c r="K38" s="30">
        <f>(824*3.1415)/1000</f>
        <v>2.5885959999999999</v>
      </c>
      <c r="L38" s="26">
        <f t="shared" si="12"/>
        <v>1.0354384000000001</v>
      </c>
      <c r="M38" s="43">
        <f t="shared" si="17"/>
        <v>182.23715840000003</v>
      </c>
      <c r="N38" s="85">
        <v>176</v>
      </c>
      <c r="O38" s="8">
        <f t="shared" si="18"/>
        <v>1.0354384000000001</v>
      </c>
    </row>
    <row r="39" spans="1:15" s="0" customFormat="1" ht="15">
      <c r="A39" s="650"/>
      <c r="B39" s="638"/>
      <c r="C39" s="13" t="s">
        <v>972</v>
      </c>
      <c r="D39" s="13">
        <v>107</v>
      </c>
      <c r="E39" s="637"/>
      <c r="F39" s="17" t="s">
        <v>10</v>
      </c>
      <c r="G39" s="16">
        <v>28.50</v>
      </c>
      <c r="H39" s="252">
        <v>10</v>
      </c>
      <c r="I39" s="16">
        <v>1</v>
      </c>
      <c r="J39" s="471">
        <f t="shared" si="16"/>
        <v>0.35087719298245612</v>
      </c>
      <c r="K39" s="30">
        <f>(824*3.1415)/1000</f>
        <v>2.5885959999999999</v>
      </c>
      <c r="L39" s="26">
        <f t="shared" si="12"/>
        <v>0.90827929824561393</v>
      </c>
      <c r="M39" s="43">
        <f t="shared" si="17"/>
        <v>181.65585964912279</v>
      </c>
      <c r="N39" s="85">
        <v>200</v>
      </c>
      <c r="O39" s="8">
        <f t="shared" si="18"/>
        <v>0.90827929824561393</v>
      </c>
    </row>
    <row r="40" spans="1:15" ht="15">
      <c r="A40" s="57" t="s">
        <v>152</v>
      </c>
      <c r="B40" s="56" t="s">
        <v>153</v>
      </c>
      <c r="C40" s="13" t="s">
        <v>154</v>
      </c>
      <c r="D40" s="13">
        <v>124</v>
      </c>
      <c r="E40" s="13"/>
      <c r="F40" s="13" t="s">
        <v>354</v>
      </c>
      <c r="G40" s="442">
        <v>10</v>
      </c>
      <c r="H40" s="440">
        <v>10</v>
      </c>
      <c r="I40" s="28">
        <v>1</v>
      </c>
      <c r="J40" s="441">
        <f t="shared" si="5"/>
        <v>1</v>
      </c>
      <c r="K40" s="432">
        <v>1</v>
      </c>
      <c r="L40" s="267">
        <f t="shared" si="4"/>
        <v>1</v>
      </c>
      <c r="M40" s="433">
        <f t="shared" si="6"/>
        <v>200</v>
      </c>
      <c r="N40" s="434">
        <v>200</v>
      </c>
      <c r="O40" s="435">
        <f t="shared" si="7"/>
        <v>1</v>
      </c>
    </row>
    <row r="41" spans="1:15" ht="30">
      <c r="A41" s="57" t="s">
        <v>155</v>
      </c>
      <c r="B41" s="56" t="s">
        <v>156</v>
      </c>
      <c r="C41" s="13" t="s">
        <v>157</v>
      </c>
      <c r="D41" s="13" t="s">
        <v>1329</v>
      </c>
      <c r="E41" s="13"/>
      <c r="F41" s="13" t="s">
        <v>354</v>
      </c>
      <c r="G41" s="442">
        <v>4.3099999999999996</v>
      </c>
      <c r="H41" s="440">
        <v>10</v>
      </c>
      <c r="I41" s="28">
        <v>1</v>
      </c>
      <c r="J41" s="441">
        <f t="shared" si="5"/>
        <v>2.3201856148491879</v>
      </c>
      <c r="K41" s="432">
        <v>1</v>
      </c>
      <c r="L41" s="267">
        <f t="shared" si="4"/>
        <v>2.3201856148491879</v>
      </c>
      <c r="M41" s="433">
        <f t="shared" si="6"/>
        <v>464.03712296983758</v>
      </c>
      <c r="N41" s="434">
        <v>200</v>
      </c>
      <c r="O41" s="435">
        <f t="shared" si="7"/>
        <v>2.3201856148491879</v>
      </c>
    </row>
    <row r="42" spans="1:15" ht="30">
      <c r="A42" s="57" t="s">
        <v>158</v>
      </c>
      <c r="B42" s="56" t="s">
        <v>159</v>
      </c>
      <c r="C42" s="13" t="s">
        <v>160</v>
      </c>
      <c r="D42" s="13" t="s">
        <v>1331</v>
      </c>
      <c r="E42" s="13" t="s">
        <v>161</v>
      </c>
      <c r="F42" s="13" t="s">
        <v>10</v>
      </c>
      <c r="G42" s="439">
        <v>15.40</v>
      </c>
      <c r="H42" s="440">
        <v>10</v>
      </c>
      <c r="I42" s="28">
        <v>1</v>
      </c>
      <c r="J42" s="441">
        <f t="shared" si="5"/>
        <v>0.64935064935064934</v>
      </c>
      <c r="K42" s="436">
        <f>(61/1000)*3.1415*4</f>
        <v>0.76652600000000004</v>
      </c>
      <c r="L42" s="435">
        <f t="shared" si="4"/>
        <v>0.49774415584415588</v>
      </c>
      <c r="M42" s="266">
        <f t="shared" si="6"/>
        <v>99.548831168831171</v>
      </c>
      <c r="N42" s="433">
        <v>200</v>
      </c>
      <c r="O42" s="435">
        <f t="shared" si="7"/>
        <v>0.49774415584415588</v>
      </c>
    </row>
    <row r="43" spans="1:15" ht="15">
      <c r="A43" s="57" t="s">
        <v>427</v>
      </c>
      <c r="B43" s="56" t="s">
        <v>428</v>
      </c>
      <c r="C43" s="13" t="s">
        <v>24</v>
      </c>
      <c r="D43" s="13">
        <v>110</v>
      </c>
      <c r="E43" s="13"/>
      <c r="F43" s="4" t="s">
        <v>38</v>
      </c>
      <c r="G43" s="442">
        <v>10</v>
      </c>
      <c r="H43" s="440">
        <v>10</v>
      </c>
      <c r="I43" s="28">
        <v>2</v>
      </c>
      <c r="J43" s="441">
        <f t="shared" si="5"/>
        <v>2</v>
      </c>
      <c r="K43" s="28">
        <v>1</v>
      </c>
      <c r="L43" s="267">
        <f t="shared" si="4"/>
        <v>2</v>
      </c>
      <c r="M43" s="433">
        <f t="shared" si="6"/>
        <v>400</v>
      </c>
      <c r="N43" s="434">
        <v>200</v>
      </c>
      <c r="O43" s="435">
        <f t="shared" si="7"/>
        <v>1</v>
      </c>
    </row>
    <row r="44" spans="1:15" ht="15">
      <c r="A44" s="637" t="s">
        <v>162</v>
      </c>
      <c r="B44" s="638" t="s">
        <v>429</v>
      </c>
      <c r="C44" s="13" t="s">
        <v>160</v>
      </c>
      <c r="D44" s="13">
        <v>109</v>
      </c>
      <c r="E44" s="637" t="s">
        <v>911</v>
      </c>
      <c r="F44" s="13" t="s">
        <v>10</v>
      </c>
      <c r="G44" s="28">
        <v>40</v>
      </c>
      <c r="H44" s="440">
        <v>10</v>
      </c>
      <c r="I44" s="28">
        <v>1</v>
      </c>
      <c r="J44" s="441">
        <f t="shared" si="5"/>
        <v>0.25</v>
      </c>
      <c r="K44" s="436">
        <f>824/1000*3.1415</f>
        <v>2.5885959999999999</v>
      </c>
      <c r="L44" s="267">
        <f t="shared" si="4"/>
        <v>0.64714899999999997</v>
      </c>
      <c r="M44" s="433">
        <f t="shared" si="6"/>
        <v>129.4298</v>
      </c>
      <c r="N44" s="434">
        <v>200</v>
      </c>
      <c r="O44" s="435">
        <f t="shared" si="7"/>
        <v>0.64714899999999997</v>
      </c>
    </row>
    <row r="45" spans="1:15" ht="15">
      <c r="A45" s="637"/>
      <c r="B45" s="638"/>
      <c r="C45" s="13" t="s">
        <v>9</v>
      </c>
      <c r="D45" s="13">
        <v>109</v>
      </c>
      <c r="E45" s="637"/>
      <c r="F45" s="13" t="s">
        <v>10</v>
      </c>
      <c r="G45" s="28">
        <v>27</v>
      </c>
      <c r="H45" s="440">
        <v>10</v>
      </c>
      <c r="I45" s="28">
        <v>1</v>
      </c>
      <c r="J45" s="441">
        <f t="shared" si="5"/>
        <v>0.37037037037037035</v>
      </c>
      <c r="K45" s="436">
        <f>824/1000*3.1415</f>
        <v>2.5885959999999999</v>
      </c>
      <c r="L45" s="267">
        <f t="shared" si="4"/>
        <v>0.95873925925925918</v>
      </c>
      <c r="M45" s="433">
        <f t="shared" si="6"/>
        <v>191.74785185185183</v>
      </c>
      <c r="N45" s="434">
        <v>200</v>
      </c>
      <c r="O45" s="435">
        <f t="shared" si="7"/>
        <v>0.95873925925925918</v>
      </c>
    </row>
    <row r="46" spans="1:15" ht="15">
      <c r="A46" s="642" t="s">
        <v>430</v>
      </c>
      <c r="B46" s="639" t="s">
        <v>431</v>
      </c>
      <c r="C46" s="13" t="s">
        <v>160</v>
      </c>
      <c r="D46" s="13">
        <v>107</v>
      </c>
      <c r="E46" s="645" t="s">
        <v>43</v>
      </c>
      <c r="F46" s="13" t="s">
        <v>10</v>
      </c>
      <c r="G46" s="28">
        <v>40</v>
      </c>
      <c r="H46" s="440">
        <v>10</v>
      </c>
      <c r="I46" s="28">
        <v>1</v>
      </c>
      <c r="J46" s="441">
        <f t="shared" si="5"/>
        <v>0.25</v>
      </c>
      <c r="K46" s="436">
        <f>824/1000*3.1415</f>
        <v>2.5885959999999999</v>
      </c>
      <c r="L46" s="267">
        <f t="shared" si="4"/>
        <v>0.64714899999999997</v>
      </c>
      <c r="M46" s="433">
        <f t="shared" si="6"/>
        <v>129.4298</v>
      </c>
      <c r="N46" s="434">
        <v>200</v>
      </c>
      <c r="O46" s="435">
        <f t="shared" si="7"/>
        <v>0.64714899999999997</v>
      </c>
    </row>
    <row r="47" spans="1:15" ht="15">
      <c r="A47" s="643"/>
      <c r="B47" s="640"/>
      <c r="C47" s="13" t="s">
        <v>511</v>
      </c>
      <c r="D47" s="13">
        <v>107</v>
      </c>
      <c r="E47" s="646"/>
      <c r="F47" s="13" t="s">
        <v>10</v>
      </c>
      <c r="G47" s="28">
        <v>25</v>
      </c>
      <c r="H47" s="440">
        <v>10</v>
      </c>
      <c r="I47" s="28">
        <v>1</v>
      </c>
      <c r="J47" s="453">
        <f t="shared" si="5"/>
        <v>0.40</v>
      </c>
      <c r="K47" s="436">
        <f>824*3.1415/1000</f>
        <v>2.5885959999999999</v>
      </c>
      <c r="L47" s="267">
        <f t="shared" si="4"/>
        <v>1.0354384000000001</v>
      </c>
      <c r="M47" s="433">
        <f t="shared" si="6"/>
        <v>182.23715840000003</v>
      </c>
      <c r="N47" s="434">
        <v>176</v>
      </c>
      <c r="O47" s="435">
        <f t="shared" si="7"/>
        <v>1.0354384000000001</v>
      </c>
    </row>
    <row r="48" spans="1:15" ht="15">
      <c r="A48" s="644"/>
      <c r="B48" s="641"/>
      <c r="C48" s="13" t="s">
        <v>313</v>
      </c>
      <c r="D48" s="13">
        <v>107</v>
      </c>
      <c r="E48" s="647"/>
      <c r="F48" s="13" t="s">
        <v>10</v>
      </c>
      <c r="G48" s="28">
        <v>28.50</v>
      </c>
      <c r="H48" s="440">
        <v>10</v>
      </c>
      <c r="I48" s="28">
        <v>1</v>
      </c>
      <c r="J48" s="453">
        <f t="shared" si="5"/>
        <v>0.35087719298245612</v>
      </c>
      <c r="K48" s="436">
        <f>824*3.1415/1000</f>
        <v>2.5885959999999999</v>
      </c>
      <c r="L48" s="267">
        <f t="shared" si="4"/>
        <v>0.90827929824561393</v>
      </c>
      <c r="M48" s="433">
        <f t="shared" si="6"/>
        <v>181.65585964912279</v>
      </c>
      <c r="N48" s="434">
        <v>200</v>
      </c>
      <c r="O48" s="435">
        <f t="shared" si="7"/>
        <v>0.90827929824561393</v>
      </c>
    </row>
    <row r="49" spans="1:15" s="0" customFormat="1" ht="15">
      <c r="A49" s="650" t="s">
        <v>163</v>
      </c>
      <c r="B49" s="638" t="s">
        <v>164</v>
      </c>
      <c r="C49" s="13" t="s">
        <v>165</v>
      </c>
      <c r="D49" s="13">
        <v>123</v>
      </c>
      <c r="E49" s="13"/>
      <c r="F49" s="17" t="s">
        <v>973</v>
      </c>
      <c r="G49" s="16">
        <v>10.40</v>
      </c>
      <c r="H49" s="252">
        <v>10</v>
      </c>
      <c r="I49" s="16">
        <v>1</v>
      </c>
      <c r="J49" s="253">
        <f t="shared" si="5"/>
        <v>0.96153846153846145</v>
      </c>
      <c r="K49" s="52">
        <v>1</v>
      </c>
      <c r="L49" s="26">
        <f t="shared" si="4"/>
        <v>0.96153846153846145</v>
      </c>
      <c r="M49" s="43">
        <f t="shared" si="6"/>
        <v>192.30769230769229</v>
      </c>
      <c r="N49" s="85">
        <v>200</v>
      </c>
      <c r="O49" s="8">
        <f t="shared" si="7"/>
        <v>0.96153846153846145</v>
      </c>
    </row>
    <row r="50" spans="1:15" s="0" customFormat="1" ht="15">
      <c r="A50" s="650"/>
      <c r="B50" s="638"/>
      <c r="C50" s="13" t="s">
        <v>166</v>
      </c>
      <c r="D50" s="13">
        <v>123</v>
      </c>
      <c r="E50" s="13"/>
      <c r="F50" s="17" t="s">
        <v>973</v>
      </c>
      <c r="G50" s="16">
        <f>$G$49*2</f>
        <v>20.80</v>
      </c>
      <c r="H50" s="252">
        <v>10</v>
      </c>
      <c r="I50" s="16">
        <v>1</v>
      </c>
      <c r="J50" s="253">
        <f t="shared" si="5"/>
        <v>0.48076923076923073</v>
      </c>
      <c r="K50" s="52">
        <v>1</v>
      </c>
      <c r="L50" s="26">
        <f t="shared" si="4"/>
        <v>0.48076923076923073</v>
      </c>
      <c r="M50" s="43">
        <f t="shared" si="6"/>
        <v>96.153846153846146</v>
      </c>
      <c r="N50" s="85">
        <v>200</v>
      </c>
      <c r="O50" s="8">
        <f t="shared" si="7"/>
        <v>0.48076923076923073</v>
      </c>
    </row>
    <row r="51" spans="1:15" s="0" customFormat="1" ht="15">
      <c r="A51" s="650"/>
      <c r="B51" s="638"/>
      <c r="C51" s="13" t="s">
        <v>167</v>
      </c>
      <c r="D51" s="13">
        <v>122</v>
      </c>
      <c r="E51" s="13"/>
      <c r="F51" s="17" t="s">
        <v>973</v>
      </c>
      <c r="G51" s="16">
        <f>$G$49*2</f>
        <v>20.80</v>
      </c>
      <c r="H51" s="252">
        <v>10</v>
      </c>
      <c r="I51" s="16">
        <v>1</v>
      </c>
      <c r="J51" s="253">
        <f t="shared" si="5"/>
        <v>0.48076923076923073</v>
      </c>
      <c r="K51" s="52">
        <v>1</v>
      </c>
      <c r="L51" s="26">
        <f t="shared" si="4"/>
        <v>0.48076923076923073</v>
      </c>
      <c r="M51" s="43">
        <f t="shared" si="6"/>
        <v>96.153846153846146</v>
      </c>
      <c r="N51" s="85">
        <v>200</v>
      </c>
      <c r="O51" s="8">
        <f t="shared" si="7"/>
        <v>0.48076923076923073</v>
      </c>
    </row>
    <row r="52" spans="1:15" s="0" customFormat="1" ht="15">
      <c r="A52" s="650"/>
      <c r="B52" s="638"/>
      <c r="C52" s="13" t="s">
        <v>168</v>
      </c>
      <c r="D52" s="13" t="s">
        <v>1332</v>
      </c>
      <c r="E52" s="13"/>
      <c r="F52" s="17" t="s">
        <v>973</v>
      </c>
      <c r="G52" s="16">
        <f>$G$49*2</f>
        <v>20.80</v>
      </c>
      <c r="H52" s="252">
        <v>10</v>
      </c>
      <c r="I52" s="16">
        <v>1</v>
      </c>
      <c r="J52" s="253">
        <f t="shared" si="5"/>
        <v>0.48076923076923073</v>
      </c>
      <c r="K52" s="52">
        <v>1</v>
      </c>
      <c r="L52" s="26">
        <f t="shared" si="4"/>
        <v>0.48076923076923073</v>
      </c>
      <c r="M52" s="43">
        <f t="shared" si="6"/>
        <v>84.615384615384613</v>
      </c>
      <c r="N52" s="85">
        <v>176</v>
      </c>
      <c r="O52" s="8">
        <f t="shared" si="7"/>
        <v>0.48076923076923073</v>
      </c>
    </row>
    <row r="53" spans="1:15" s="0" customFormat="1" ht="15">
      <c r="A53" s="57" t="s">
        <v>514</v>
      </c>
      <c r="B53" s="213" t="s">
        <v>974</v>
      </c>
      <c r="C53" s="13" t="s">
        <v>975</v>
      </c>
      <c r="D53" s="13" t="s">
        <v>1332</v>
      </c>
      <c r="E53" s="13"/>
      <c r="F53" s="17" t="s">
        <v>973</v>
      </c>
      <c r="G53" s="16">
        <v>40</v>
      </c>
      <c r="H53" s="252">
        <v>10</v>
      </c>
      <c r="I53" s="16">
        <v>1</v>
      </c>
      <c r="J53" s="253">
        <f t="shared" si="5"/>
        <v>0.25</v>
      </c>
      <c r="K53" s="30">
        <f>824*3.1415/1000</f>
        <v>2.5885959999999999</v>
      </c>
      <c r="L53" s="26">
        <f t="shared" si="4"/>
        <v>0.64714899999999997</v>
      </c>
      <c r="M53" s="43">
        <f t="shared" si="6"/>
        <v>113.898224</v>
      </c>
      <c r="N53" s="85">
        <v>176</v>
      </c>
      <c r="O53" s="8">
        <f t="shared" si="7"/>
        <v>0.64714899999999997</v>
      </c>
    </row>
    <row r="54" spans="1:15" s="0" customFormat="1" ht="15">
      <c r="A54" s="57" t="s">
        <v>432</v>
      </c>
      <c r="B54" s="56" t="s">
        <v>433</v>
      </c>
      <c r="C54" s="13" t="s">
        <v>39</v>
      </c>
      <c r="D54" s="13">
        <v>110</v>
      </c>
      <c r="E54" s="13"/>
      <c r="F54" s="25" t="s">
        <v>170</v>
      </c>
      <c r="G54" s="16">
        <v>6.67</v>
      </c>
      <c r="H54" s="252">
        <v>10</v>
      </c>
      <c r="I54" s="16">
        <v>2</v>
      </c>
      <c r="J54" s="253">
        <f t="shared" si="5"/>
        <v>2.9985007496251876</v>
      </c>
      <c r="K54" s="16">
        <v>1</v>
      </c>
      <c r="L54" s="26">
        <f t="shared" si="4"/>
        <v>2.9985007496251876</v>
      </c>
      <c r="M54" s="43">
        <f t="shared" si="6"/>
        <v>599.70014992503752</v>
      </c>
      <c r="N54" s="43">
        <v>200</v>
      </c>
      <c r="O54" s="8">
        <f t="shared" si="7"/>
        <v>1.4992503748125938</v>
      </c>
    </row>
    <row r="55" spans="1:15" s="0" customFormat="1" ht="15">
      <c r="A55" s="650" t="s">
        <v>169</v>
      </c>
      <c r="B55" s="638" t="s">
        <v>435</v>
      </c>
      <c r="C55" s="13" t="s">
        <v>976</v>
      </c>
      <c r="D55" s="13">
        <v>109</v>
      </c>
      <c r="E55" s="645" t="s">
        <v>44</v>
      </c>
      <c r="F55" s="17" t="s">
        <v>10</v>
      </c>
      <c r="G55" s="16">
        <v>40</v>
      </c>
      <c r="H55" s="252">
        <v>10</v>
      </c>
      <c r="I55" s="16">
        <v>1</v>
      </c>
      <c r="J55" s="253">
        <f t="shared" si="5"/>
        <v>0.25</v>
      </c>
      <c r="K55" s="30">
        <f>0.824*3.1415</f>
        <v>2.5885959999999999</v>
      </c>
      <c r="L55" s="26">
        <f t="shared" si="4"/>
        <v>0.64714899999999997</v>
      </c>
      <c r="M55" s="43">
        <f t="shared" si="6"/>
        <v>129.4298</v>
      </c>
      <c r="N55" s="43">
        <v>200</v>
      </c>
      <c r="O55" s="8">
        <f t="shared" si="7"/>
        <v>0.64714899999999997</v>
      </c>
    </row>
    <row r="56" spans="1:15" s="0" customFormat="1" ht="15">
      <c r="A56" s="650"/>
      <c r="B56" s="638"/>
      <c r="C56" s="13" t="s">
        <v>977</v>
      </c>
      <c r="D56" s="13">
        <v>109</v>
      </c>
      <c r="E56" s="647"/>
      <c r="F56" s="17" t="s">
        <v>10</v>
      </c>
      <c r="G56" s="16">
        <v>27</v>
      </c>
      <c r="H56" s="252">
        <v>10</v>
      </c>
      <c r="I56" s="16">
        <v>1</v>
      </c>
      <c r="J56" s="253">
        <f t="shared" si="5"/>
        <v>0.37037037037037035</v>
      </c>
      <c r="K56" s="30">
        <f>0.824*3.1415*2</f>
        <v>5.1771919999999998</v>
      </c>
      <c r="L56" s="26">
        <f t="shared" si="4"/>
        <v>1.9174785185185184</v>
      </c>
      <c r="M56" s="43">
        <f t="shared" si="6"/>
        <v>383.49570370370367</v>
      </c>
      <c r="N56" s="43">
        <v>200</v>
      </c>
      <c r="O56" s="8">
        <f t="shared" si="7"/>
        <v>1.9174785185185184</v>
      </c>
    </row>
    <row r="57" spans="1:15" s="0" customFormat="1" ht="15">
      <c r="A57" s="650" t="s">
        <v>434</v>
      </c>
      <c r="B57" s="638" t="s">
        <v>436</v>
      </c>
      <c r="C57" s="13" t="s">
        <v>976</v>
      </c>
      <c r="D57" s="13">
        <v>107</v>
      </c>
      <c r="E57" s="637" t="s">
        <v>43</v>
      </c>
      <c r="F57" s="17" t="s">
        <v>10</v>
      </c>
      <c r="G57" s="16">
        <v>40</v>
      </c>
      <c r="H57" s="252">
        <v>10</v>
      </c>
      <c r="I57" s="16">
        <v>1</v>
      </c>
      <c r="J57" s="471">
        <f t="shared" si="5"/>
        <v>0.25</v>
      </c>
      <c r="K57" s="30">
        <f>(824*3.1415)/1000</f>
        <v>2.5885959999999999</v>
      </c>
      <c r="L57" s="26">
        <f t="shared" si="4"/>
        <v>0.64714899999999997</v>
      </c>
      <c r="M57" s="43">
        <f t="shared" si="6"/>
        <v>129.4298</v>
      </c>
      <c r="N57" s="85">
        <v>200</v>
      </c>
      <c r="O57" s="8">
        <f t="shared" si="7"/>
        <v>0.64714899999999997</v>
      </c>
    </row>
    <row r="58" spans="1:15" s="0" customFormat="1" ht="15">
      <c r="A58" s="650"/>
      <c r="B58" s="638"/>
      <c r="C58" s="13" t="s">
        <v>978</v>
      </c>
      <c r="D58" s="13">
        <v>107</v>
      </c>
      <c r="E58" s="637"/>
      <c r="F58" s="17" t="s">
        <v>10</v>
      </c>
      <c r="G58" s="16">
        <v>25</v>
      </c>
      <c r="H58" s="252">
        <v>10</v>
      </c>
      <c r="I58" s="16">
        <v>1</v>
      </c>
      <c r="J58" s="471">
        <f t="shared" si="5"/>
        <v>0.40</v>
      </c>
      <c r="K58" s="30">
        <f>(824*3.1415)/1000</f>
        <v>2.5885959999999999</v>
      </c>
      <c r="L58" s="26">
        <f t="shared" si="4"/>
        <v>1.0354384000000001</v>
      </c>
      <c r="M58" s="43">
        <f t="shared" si="6"/>
        <v>182.23715840000003</v>
      </c>
      <c r="N58" s="85">
        <v>176</v>
      </c>
      <c r="O58" s="8">
        <f t="shared" si="7"/>
        <v>1.0354384000000001</v>
      </c>
    </row>
    <row r="59" spans="1:15" s="0" customFormat="1" ht="15">
      <c r="A59" s="650"/>
      <c r="B59" s="638"/>
      <c r="C59" s="13" t="s">
        <v>979</v>
      </c>
      <c r="D59" s="13">
        <v>107</v>
      </c>
      <c r="E59" s="637"/>
      <c r="F59" s="17" t="s">
        <v>10</v>
      </c>
      <c r="G59" s="16">
        <v>28.50</v>
      </c>
      <c r="H59" s="252">
        <v>10</v>
      </c>
      <c r="I59" s="16">
        <v>1</v>
      </c>
      <c r="J59" s="471">
        <f t="shared" si="5"/>
        <v>0.35087719298245612</v>
      </c>
      <c r="K59" s="30">
        <f>(824*3.1415*2)/1000</f>
        <v>5.1771919999999998</v>
      </c>
      <c r="L59" s="26">
        <f t="shared" si="4"/>
        <v>1.8165585964912279</v>
      </c>
      <c r="M59" s="43">
        <f t="shared" si="6"/>
        <v>363.31171929824558</v>
      </c>
      <c r="N59" s="85">
        <v>200</v>
      </c>
      <c r="O59" s="8">
        <f t="shared" si="7"/>
        <v>1.8165585964912279</v>
      </c>
    </row>
    <row r="60" spans="1:15" ht="15">
      <c r="A60" s="57" t="s">
        <v>629</v>
      </c>
      <c r="B60" s="56" t="s">
        <v>980</v>
      </c>
      <c r="C60" s="13" t="s">
        <v>862</v>
      </c>
      <c r="D60" s="13">
        <v>224</v>
      </c>
      <c r="E60" s="13"/>
      <c r="F60" s="17"/>
      <c r="G60" s="28">
        <f>(600-25)/10</f>
        <v>57.50</v>
      </c>
      <c r="H60" s="440">
        <v>10</v>
      </c>
      <c r="I60" s="28">
        <v>2</v>
      </c>
      <c r="J60" s="441">
        <f t="shared" si="5"/>
        <v>0.34782608695652173</v>
      </c>
      <c r="K60" s="28">
        <v>1</v>
      </c>
      <c r="L60" s="267">
        <f t="shared" si="4"/>
        <v>0.34782608695652173</v>
      </c>
      <c r="M60" s="433">
        <f t="shared" si="6"/>
        <v>69.565217391304344</v>
      </c>
      <c r="N60" s="434">
        <v>200</v>
      </c>
      <c r="O60" s="435">
        <f t="shared" si="7"/>
        <v>0.17391304347826086</v>
      </c>
    </row>
    <row r="61" spans="1:15" s="0" customFormat="1" ht="15">
      <c r="A61" s="637" t="s">
        <v>172</v>
      </c>
      <c r="B61" s="638" t="s">
        <v>121</v>
      </c>
      <c r="C61" s="13" t="s">
        <v>24</v>
      </c>
      <c r="D61" s="13">
        <v>110</v>
      </c>
      <c r="E61" s="13"/>
      <c r="F61" s="25" t="s">
        <v>173</v>
      </c>
      <c r="G61" s="30">
        <v>13</v>
      </c>
      <c r="H61" s="252">
        <v>10</v>
      </c>
      <c r="I61" s="16">
        <v>2</v>
      </c>
      <c r="J61" s="253">
        <f t="shared" si="5"/>
        <v>1.5384615384615385</v>
      </c>
      <c r="K61" s="16">
        <v>1</v>
      </c>
      <c r="L61" s="26">
        <f t="shared" si="4"/>
        <v>1.5384615384615385</v>
      </c>
      <c r="M61" s="43">
        <f t="shared" si="6"/>
        <v>307.69230769230774</v>
      </c>
      <c r="N61" s="43">
        <v>200</v>
      </c>
      <c r="O61" s="8">
        <f t="shared" si="7"/>
        <v>0.76923076923076927</v>
      </c>
    </row>
    <row r="62" spans="1:15" s="0" customFormat="1" ht="15">
      <c r="A62" s="637"/>
      <c r="B62" s="638"/>
      <c r="C62" s="13" t="s">
        <v>25</v>
      </c>
      <c r="D62" s="13">
        <v>110</v>
      </c>
      <c r="E62" s="13" t="s">
        <v>122</v>
      </c>
      <c r="F62" s="25" t="s">
        <v>10</v>
      </c>
      <c r="G62" s="16">
        <v>40</v>
      </c>
      <c r="H62" s="252">
        <v>10</v>
      </c>
      <c r="I62" s="16">
        <v>1</v>
      </c>
      <c r="J62" s="253">
        <f t="shared" si="5"/>
        <v>0.25</v>
      </c>
      <c r="K62" s="30">
        <f>920*3.1415*2/1000</f>
        <v>5.7803600000000008</v>
      </c>
      <c r="L62" s="26">
        <f t="shared" si="4"/>
        <v>1.4450900000000002</v>
      </c>
      <c r="M62" s="42">
        <f t="shared" si="6"/>
        <v>289.01800000000003</v>
      </c>
      <c r="N62" s="43">
        <v>200</v>
      </c>
      <c r="O62" s="8">
        <f t="shared" si="7"/>
        <v>1.4450900000000002</v>
      </c>
    </row>
    <row r="63" spans="1:15" s="0" customFormat="1" ht="15">
      <c r="A63" s="637"/>
      <c r="B63" s="638"/>
      <c r="C63" s="13" t="s">
        <v>981</v>
      </c>
      <c r="D63" s="13">
        <v>110</v>
      </c>
      <c r="E63" s="13"/>
      <c r="F63" s="25" t="s">
        <v>10</v>
      </c>
      <c r="G63" s="16">
        <v>25</v>
      </c>
      <c r="H63" s="252">
        <v>10</v>
      </c>
      <c r="I63" s="16">
        <v>1</v>
      </c>
      <c r="J63" s="253">
        <f t="shared" si="5"/>
        <v>0.40</v>
      </c>
      <c r="K63" s="30">
        <f>920*3.1415/1000</f>
        <v>2.8901800000000004</v>
      </c>
      <c r="L63" s="26">
        <f t="shared" si="4"/>
        <v>1.1560720000000002</v>
      </c>
      <c r="M63" s="42">
        <f t="shared" si="6"/>
        <v>203.46867200000003</v>
      </c>
      <c r="N63" s="43">
        <v>176</v>
      </c>
      <c r="O63" s="8">
        <f t="shared" si="7"/>
        <v>1.1560720000000002</v>
      </c>
    </row>
    <row r="64" spans="1:15" s="0" customFormat="1" ht="15">
      <c r="A64" s="637"/>
      <c r="B64" s="638"/>
      <c r="C64" s="13" t="s">
        <v>1015</v>
      </c>
      <c r="D64" s="13">
        <v>110</v>
      </c>
      <c r="E64" s="13"/>
      <c r="F64" s="4" t="s">
        <v>10</v>
      </c>
      <c r="G64" s="28">
        <v>25</v>
      </c>
      <c r="H64" s="437">
        <v>10</v>
      </c>
      <c r="I64" s="28">
        <v>1</v>
      </c>
      <c r="J64" s="438">
        <f t="shared" si="5"/>
        <v>0.40</v>
      </c>
      <c r="K64" s="436">
        <f>(920*3.1415)/1000</f>
        <v>2.8901800000000004</v>
      </c>
      <c r="L64" s="435">
        <f t="shared" si="4"/>
        <v>1.1560720000000002</v>
      </c>
      <c r="M64" s="266">
        <f t="shared" si="6"/>
        <v>203.46867200000003</v>
      </c>
      <c r="N64" s="433">
        <v>176</v>
      </c>
      <c r="O64" s="435">
        <f t="shared" si="7"/>
        <v>1.1560720000000002</v>
      </c>
    </row>
    <row r="65" spans="1:15" ht="15">
      <c r="A65" s="57" t="s">
        <v>1285</v>
      </c>
      <c r="B65" s="56" t="s">
        <v>1437</v>
      </c>
      <c r="C65" s="13" t="s">
        <v>1434</v>
      </c>
      <c r="D65" s="13">
        <v>110</v>
      </c>
      <c r="E65" s="13"/>
      <c r="F65" s="13" t="s">
        <v>353</v>
      </c>
      <c r="G65" s="442">
        <v>18.10</v>
      </c>
      <c r="H65" s="440">
        <v>10</v>
      </c>
      <c r="I65" s="28">
        <v>1</v>
      </c>
      <c r="J65" s="441">
        <f t="shared" si="5"/>
        <v>0.55248618784530379</v>
      </c>
      <c r="K65" s="432">
        <v>1</v>
      </c>
      <c r="L65" s="435">
        <f t="shared" si="4"/>
        <v>0.55248618784530379</v>
      </c>
      <c r="M65" s="266">
        <f t="shared" si="6"/>
        <v>110.49723756906076</v>
      </c>
      <c r="N65" s="433">
        <v>200</v>
      </c>
      <c r="O65" s="435">
        <f t="shared" si="7"/>
        <v>0.55248618784530379</v>
      </c>
    </row>
    <row r="66" spans="1:15" ht="15" customHeight="1">
      <c r="A66" s="57" t="s">
        <v>648</v>
      </c>
      <c r="B66" s="567" t="s">
        <v>1438</v>
      </c>
      <c r="C66" s="13" t="s">
        <v>1435</v>
      </c>
      <c r="D66" s="13">
        <v>110</v>
      </c>
      <c r="E66" s="13"/>
      <c r="F66" s="13" t="s">
        <v>10</v>
      </c>
      <c r="G66" s="28">
        <v>40</v>
      </c>
      <c r="H66" s="440">
        <v>10</v>
      </c>
      <c r="I66" s="28">
        <v>1</v>
      </c>
      <c r="J66" s="453">
        <f t="shared" si="5"/>
        <v>0.25</v>
      </c>
      <c r="K66" s="436">
        <f>196*2/1000</f>
        <v>0.39200000000000002</v>
      </c>
      <c r="L66" s="267">
        <f t="shared" si="4"/>
        <v>0.098000000000000004</v>
      </c>
      <c r="M66" s="433">
        <f t="shared" si="6"/>
        <v>19.60</v>
      </c>
      <c r="N66" s="434">
        <v>200</v>
      </c>
      <c r="O66" s="435">
        <f t="shared" si="7"/>
        <v>0.098000000000000004</v>
      </c>
    </row>
    <row r="67" spans="1:15" ht="15">
      <c r="A67" s="57" t="s">
        <v>1288</v>
      </c>
      <c r="B67" s="56" t="s">
        <v>1439</v>
      </c>
      <c r="C67" s="13" t="s">
        <v>1434</v>
      </c>
      <c r="D67" s="13">
        <v>110</v>
      </c>
      <c r="E67" s="13"/>
      <c r="F67" s="13" t="s">
        <v>353</v>
      </c>
      <c r="G67" s="442">
        <f>18.1/0.65</f>
        <v>27.846153846153847</v>
      </c>
      <c r="H67" s="440">
        <v>10</v>
      </c>
      <c r="I67" s="28">
        <v>1</v>
      </c>
      <c r="J67" s="441">
        <f t="shared" si="5"/>
        <v>0.35911602209944748</v>
      </c>
      <c r="K67" s="432">
        <v>1</v>
      </c>
      <c r="L67" s="435">
        <f t="shared" si="4"/>
        <v>0.35911602209944748</v>
      </c>
      <c r="M67" s="266">
        <f t="shared" si="6"/>
        <v>71.823204419889493</v>
      </c>
      <c r="N67" s="433">
        <v>200</v>
      </c>
      <c r="O67" s="435">
        <f t="shared" si="7"/>
        <v>0.35911602209944748</v>
      </c>
    </row>
    <row r="68" spans="1:15" ht="15">
      <c r="A68" s="57" t="s">
        <v>176</v>
      </c>
      <c r="B68" s="56" t="s">
        <v>1440</v>
      </c>
      <c r="C68" s="13" t="s">
        <v>154</v>
      </c>
      <c r="D68" s="13">
        <v>124</v>
      </c>
      <c r="E68" s="13"/>
      <c r="F68" s="13" t="s">
        <v>354</v>
      </c>
      <c r="G68" s="442">
        <v>13</v>
      </c>
      <c r="H68" s="440">
        <v>10</v>
      </c>
      <c r="I68" s="28">
        <v>1</v>
      </c>
      <c r="J68" s="441">
        <f t="shared" si="5"/>
        <v>0.76923076923076927</v>
      </c>
      <c r="K68" s="432">
        <v>1</v>
      </c>
      <c r="L68" s="267">
        <f t="shared" si="4"/>
        <v>0.76923076923076927</v>
      </c>
      <c r="M68" s="433">
        <f t="shared" si="6"/>
        <v>153.84615384615387</v>
      </c>
      <c r="N68" s="434">
        <v>200</v>
      </c>
      <c r="O68" s="435">
        <f t="shared" si="7"/>
        <v>0.76923076923076927</v>
      </c>
    </row>
    <row r="69" spans="1:15" ht="30">
      <c r="A69" s="57" t="s">
        <v>1289</v>
      </c>
      <c r="B69" s="56" t="s">
        <v>1441</v>
      </c>
      <c r="C69" s="13" t="s">
        <v>24</v>
      </c>
      <c r="D69" s="13" t="s">
        <v>1352</v>
      </c>
      <c r="E69" s="13"/>
      <c r="F69" s="4" t="s">
        <v>38</v>
      </c>
      <c r="G69" s="442">
        <v>20</v>
      </c>
      <c r="H69" s="440">
        <v>10</v>
      </c>
      <c r="I69" s="28">
        <v>2</v>
      </c>
      <c r="J69" s="441">
        <f t="shared" si="5"/>
        <v>1</v>
      </c>
      <c r="K69" s="28">
        <v>1</v>
      </c>
      <c r="L69" s="267">
        <f t="shared" si="4"/>
        <v>1</v>
      </c>
      <c r="M69" s="433">
        <f t="shared" si="6"/>
        <v>200</v>
      </c>
      <c r="N69" s="434">
        <v>200</v>
      </c>
      <c r="O69" s="435">
        <f t="shared" si="7"/>
        <v>0.50</v>
      </c>
    </row>
    <row r="70" spans="1:15" ht="30">
      <c r="A70" s="13" t="s">
        <v>1290</v>
      </c>
      <c r="B70" s="56" t="s">
        <v>1442</v>
      </c>
      <c r="C70" s="13" t="s">
        <v>160</v>
      </c>
      <c r="D70" s="13" t="s">
        <v>1352</v>
      </c>
      <c r="E70" s="13" t="s">
        <v>869</v>
      </c>
      <c r="F70" s="13" t="s">
        <v>10</v>
      </c>
      <c r="G70" s="28">
        <v>40</v>
      </c>
      <c r="H70" s="440">
        <v>10</v>
      </c>
      <c r="I70" s="28">
        <v>1</v>
      </c>
      <c r="J70" s="441">
        <f t="shared" si="5"/>
        <v>0.25</v>
      </c>
      <c r="K70" s="436">
        <f>618*3.1415*2/1000</f>
        <v>3.8828940000000003</v>
      </c>
      <c r="L70" s="267">
        <f t="shared" si="4"/>
        <v>0.97072350000000007</v>
      </c>
      <c r="M70" s="433">
        <f t="shared" si="6"/>
        <v>194.1447</v>
      </c>
      <c r="N70" s="434">
        <v>200</v>
      </c>
      <c r="O70" s="435">
        <f t="shared" si="7"/>
        <v>0.97072350000000007</v>
      </c>
    </row>
    <row r="71" spans="1:15" ht="30">
      <c r="A71" s="57" t="s">
        <v>1291</v>
      </c>
      <c r="B71" s="56" t="s">
        <v>1443</v>
      </c>
      <c r="C71" s="13" t="s">
        <v>24</v>
      </c>
      <c r="D71" s="13">
        <v>110</v>
      </c>
      <c r="E71" s="13"/>
      <c r="F71" s="4" t="s">
        <v>38</v>
      </c>
      <c r="G71" s="442">
        <v>20</v>
      </c>
      <c r="H71" s="440">
        <v>10</v>
      </c>
      <c r="I71" s="28">
        <v>2</v>
      </c>
      <c r="J71" s="441">
        <f t="shared" si="5"/>
        <v>1</v>
      </c>
      <c r="K71" s="28">
        <v>1</v>
      </c>
      <c r="L71" s="267">
        <f t="shared" si="4"/>
        <v>1</v>
      </c>
      <c r="M71" s="433">
        <f t="shared" si="6"/>
        <v>200</v>
      </c>
      <c r="N71" s="434">
        <v>200</v>
      </c>
      <c r="O71" s="435">
        <f t="shared" si="7"/>
        <v>0.50</v>
      </c>
    </row>
    <row r="72" spans="1:15" ht="30">
      <c r="A72" s="13" t="s">
        <v>177</v>
      </c>
      <c r="B72" s="56" t="s">
        <v>1444</v>
      </c>
      <c r="C72" s="13" t="s">
        <v>160</v>
      </c>
      <c r="D72" s="13">
        <v>110</v>
      </c>
      <c r="E72" s="13" t="s">
        <v>869</v>
      </c>
      <c r="F72" s="13" t="s">
        <v>10</v>
      </c>
      <c r="G72" s="28">
        <v>40</v>
      </c>
      <c r="H72" s="440">
        <v>10</v>
      </c>
      <c r="I72" s="28">
        <v>1</v>
      </c>
      <c r="J72" s="441">
        <f t="shared" si="5"/>
        <v>0.25</v>
      </c>
      <c r="K72" s="436">
        <f>640*3.1415*2/1000</f>
        <v>4.0211200000000007</v>
      </c>
      <c r="L72" s="267">
        <f t="shared" si="4"/>
        <v>1.0052800000000002</v>
      </c>
      <c r="M72" s="433">
        <f t="shared" si="6"/>
        <v>201.05600000000004</v>
      </c>
      <c r="N72" s="434">
        <v>200</v>
      </c>
      <c r="O72" s="435">
        <f t="shared" si="7"/>
        <v>1.0052800000000002</v>
      </c>
    </row>
    <row r="73" spans="1:15" ht="15">
      <c r="A73" s="39"/>
      <c r="B73" s="690" t="s">
        <v>131</v>
      </c>
      <c r="C73" s="691"/>
      <c r="D73" s="691"/>
      <c r="E73" s="691"/>
      <c r="F73" s="691"/>
      <c r="G73" s="691"/>
      <c r="H73" s="691"/>
      <c r="I73" s="691"/>
      <c r="J73" s="691"/>
      <c r="K73" s="692"/>
      <c r="L73" s="267"/>
      <c r="M73" s="262">
        <f>SUM(M74:M94)</f>
        <v>5228.9679398266107</v>
      </c>
      <c r="N73" s="263"/>
      <c r="O73" s="264">
        <f>SUM(O74:O94)</f>
        <v>21.122435728825533</v>
      </c>
    </row>
    <row r="74" spans="1:15" s="0" customFormat="1" ht="15">
      <c r="A74" s="642" t="s">
        <v>182</v>
      </c>
      <c r="B74" s="639" t="s">
        <v>183</v>
      </c>
      <c r="C74" s="13" t="s">
        <v>184</v>
      </c>
      <c r="D74" s="13">
        <v>105</v>
      </c>
      <c r="E74" s="13"/>
      <c r="F74" s="17" t="s">
        <v>353</v>
      </c>
      <c r="G74" s="16">
        <v>10.25</v>
      </c>
      <c r="H74" s="252">
        <v>10</v>
      </c>
      <c r="I74" s="16">
        <v>1</v>
      </c>
      <c r="J74" s="253">
        <f t="shared" si="19" ref="J74:J94">H74/G74*I74</f>
        <v>0.97560975609756095</v>
      </c>
      <c r="K74" s="52">
        <v>1</v>
      </c>
      <c r="L74" s="8">
        <f t="shared" si="20" ref="L74:L94">J74*K74</f>
        <v>0.97560975609756095</v>
      </c>
      <c r="M74" s="42">
        <f t="shared" si="21" ref="M74:M94">L74*N74</f>
        <v>195.1219512195122</v>
      </c>
      <c r="N74" s="43">
        <v>200</v>
      </c>
      <c r="O74" s="8">
        <f t="shared" si="22" ref="O74:O94">J74/I74*K74</f>
        <v>0.97560975609756095</v>
      </c>
    </row>
    <row r="75" spans="1:15" s="0" customFormat="1" ht="15">
      <c r="A75" s="644"/>
      <c r="B75" s="641"/>
      <c r="C75" s="13" t="s">
        <v>982</v>
      </c>
      <c r="D75" s="13">
        <v>105</v>
      </c>
      <c r="E75" s="13"/>
      <c r="F75" s="17" t="s">
        <v>353</v>
      </c>
      <c r="G75" s="16">
        <v>10.25</v>
      </c>
      <c r="H75" s="252">
        <v>10</v>
      </c>
      <c r="I75" s="16">
        <v>1</v>
      </c>
      <c r="J75" s="253">
        <f t="shared" si="19"/>
        <v>0.97560975609756095</v>
      </c>
      <c r="K75" s="52">
        <v>1</v>
      </c>
      <c r="L75" s="8">
        <f t="shared" si="20"/>
        <v>0.97560975609756095</v>
      </c>
      <c r="M75" s="42">
        <f t="shared" si="21"/>
        <v>195.1219512195122</v>
      </c>
      <c r="N75" s="43">
        <v>200</v>
      </c>
      <c r="O75" s="8">
        <f t="shared" si="22"/>
        <v>0.97560975609756095</v>
      </c>
    </row>
    <row r="76" spans="1:15" ht="30">
      <c r="A76" s="57" t="s">
        <v>185</v>
      </c>
      <c r="B76" s="56" t="s">
        <v>186</v>
      </c>
      <c r="C76" s="13" t="s">
        <v>187</v>
      </c>
      <c r="D76" s="13">
        <v>105</v>
      </c>
      <c r="E76" s="13"/>
      <c r="F76" s="13" t="s">
        <v>522</v>
      </c>
      <c r="G76" s="28">
        <v>55</v>
      </c>
      <c r="H76" s="440">
        <v>10</v>
      </c>
      <c r="I76" s="28">
        <v>1</v>
      </c>
      <c r="J76" s="441">
        <f t="shared" si="19"/>
        <v>0.18181818181818182</v>
      </c>
      <c r="K76" s="432">
        <v>5</v>
      </c>
      <c r="L76" s="435">
        <f t="shared" si="20"/>
        <v>0.90909090909090917</v>
      </c>
      <c r="M76" s="266">
        <f t="shared" si="21"/>
        <v>181.81818181818184</v>
      </c>
      <c r="N76" s="433">
        <v>200</v>
      </c>
      <c r="O76" s="435">
        <f t="shared" si="22"/>
        <v>0.90909090909090917</v>
      </c>
    </row>
    <row r="77" spans="1:15" ht="15">
      <c r="A77" s="642" t="s">
        <v>188</v>
      </c>
      <c r="B77" s="696" t="s">
        <v>438</v>
      </c>
      <c r="C77" s="13" t="s">
        <v>983</v>
      </c>
      <c r="D77" s="13">
        <v>109</v>
      </c>
      <c r="E77" s="645" t="s">
        <v>44</v>
      </c>
      <c r="F77" s="13" t="s">
        <v>10</v>
      </c>
      <c r="G77" s="28">
        <v>40</v>
      </c>
      <c r="H77" s="440">
        <v>10</v>
      </c>
      <c r="I77" s="28">
        <v>1</v>
      </c>
      <c r="J77" s="453">
        <f t="shared" si="19"/>
        <v>0.25</v>
      </c>
      <c r="K77" s="436">
        <f>(1480)/1000</f>
        <v>1.48</v>
      </c>
      <c r="L77" s="267">
        <f t="shared" si="20"/>
        <v>0.37</v>
      </c>
      <c r="M77" s="433">
        <f t="shared" si="21"/>
        <v>74</v>
      </c>
      <c r="N77" s="434">
        <v>200</v>
      </c>
      <c r="O77" s="435">
        <f t="shared" si="22"/>
        <v>0.37</v>
      </c>
    </row>
    <row r="78" spans="1:15" ht="15">
      <c r="A78" s="643"/>
      <c r="B78" s="697"/>
      <c r="C78" s="13" t="s">
        <v>189</v>
      </c>
      <c r="D78" s="13">
        <v>109</v>
      </c>
      <c r="E78" s="647"/>
      <c r="F78" s="13" t="s">
        <v>10</v>
      </c>
      <c r="G78" s="28">
        <v>27</v>
      </c>
      <c r="H78" s="440">
        <v>10</v>
      </c>
      <c r="I78" s="28">
        <v>1</v>
      </c>
      <c r="J78" s="441">
        <f t="shared" si="19"/>
        <v>0.37037037037037035</v>
      </c>
      <c r="K78" s="436">
        <f>(1480*2)/1000+0.2</f>
        <v>3.16</v>
      </c>
      <c r="L78" s="435">
        <f t="shared" si="20"/>
        <v>1.1703703703703703</v>
      </c>
      <c r="M78" s="266">
        <f t="shared" si="21"/>
        <v>234.07407407407405</v>
      </c>
      <c r="N78" s="433">
        <v>200</v>
      </c>
      <c r="O78" s="435">
        <f t="shared" si="22"/>
        <v>1.1703703703703703</v>
      </c>
    </row>
    <row r="79" spans="1:15" ht="15">
      <c r="A79" s="643"/>
      <c r="B79" s="697"/>
      <c r="C79" s="13" t="s">
        <v>984</v>
      </c>
      <c r="D79" s="13">
        <v>109</v>
      </c>
      <c r="E79" s="637" t="s">
        <v>44</v>
      </c>
      <c r="F79" s="13" t="s">
        <v>10</v>
      </c>
      <c r="G79" s="28">
        <v>40</v>
      </c>
      <c r="H79" s="440">
        <v>10</v>
      </c>
      <c r="I79" s="28">
        <v>1</v>
      </c>
      <c r="J79" s="453">
        <f t="shared" si="19"/>
        <v>0.25</v>
      </c>
      <c r="K79" s="436">
        <f>(1021)/1000</f>
        <v>1.0209999999999999</v>
      </c>
      <c r="L79" s="267">
        <f t="shared" si="20"/>
        <v>0.25524999999999998</v>
      </c>
      <c r="M79" s="433">
        <f t="shared" si="21"/>
        <v>51.05</v>
      </c>
      <c r="N79" s="434">
        <v>200</v>
      </c>
      <c r="O79" s="435">
        <f t="shared" si="22"/>
        <v>0.25524999999999998</v>
      </c>
    </row>
    <row r="80" spans="1:15" ht="15">
      <c r="A80" s="644"/>
      <c r="B80" s="698"/>
      <c r="C80" s="13" t="s">
        <v>985</v>
      </c>
      <c r="D80" s="13">
        <v>109</v>
      </c>
      <c r="E80" s="637"/>
      <c r="F80" s="13" t="s">
        <v>10</v>
      </c>
      <c r="G80" s="28">
        <v>27</v>
      </c>
      <c r="H80" s="440">
        <v>10</v>
      </c>
      <c r="I80" s="28">
        <v>1</v>
      </c>
      <c r="J80" s="441">
        <f t="shared" si="19"/>
        <v>0.37037037037037035</v>
      </c>
      <c r="K80" s="436">
        <f>(1021*2)/1000+0.2</f>
        <v>2.242</v>
      </c>
      <c r="L80" s="435">
        <f t="shared" si="20"/>
        <v>0.83037037037037031</v>
      </c>
      <c r="M80" s="266">
        <f t="shared" si="21"/>
        <v>166.07407407407408</v>
      </c>
      <c r="N80" s="433">
        <v>200</v>
      </c>
      <c r="O80" s="435">
        <f t="shared" si="22"/>
        <v>0.83037037037037031</v>
      </c>
    </row>
    <row r="81" spans="1:15" ht="15">
      <c r="A81" s="642" t="s">
        <v>437</v>
      </c>
      <c r="B81" s="639" t="s">
        <v>439</v>
      </c>
      <c r="C81" s="13" t="s">
        <v>986</v>
      </c>
      <c r="D81" s="13">
        <v>107</v>
      </c>
      <c r="E81" s="637" t="s">
        <v>43</v>
      </c>
      <c r="F81" s="13" t="s">
        <v>10</v>
      </c>
      <c r="G81" s="28">
        <v>25</v>
      </c>
      <c r="H81" s="440">
        <v>10</v>
      </c>
      <c r="I81" s="28">
        <v>1</v>
      </c>
      <c r="J81" s="453">
        <f t="shared" si="19"/>
        <v>0.40</v>
      </c>
      <c r="K81" s="436">
        <f>(1480*2)/1000</f>
        <v>2.96</v>
      </c>
      <c r="L81" s="267">
        <f t="shared" si="20"/>
        <v>1.1839999999999999</v>
      </c>
      <c r="M81" s="433">
        <f t="shared" si="21"/>
        <v>208.38399999999999</v>
      </c>
      <c r="N81" s="434">
        <v>176</v>
      </c>
      <c r="O81" s="435">
        <f t="shared" si="22"/>
        <v>1.1839999999999999</v>
      </c>
    </row>
    <row r="82" spans="1:15" ht="15">
      <c r="A82" s="643"/>
      <c r="B82" s="640"/>
      <c r="C82" s="13" t="s">
        <v>987</v>
      </c>
      <c r="D82" s="13">
        <v>107</v>
      </c>
      <c r="E82" s="637"/>
      <c r="F82" s="13" t="s">
        <v>10</v>
      </c>
      <c r="G82" s="28">
        <v>28.50</v>
      </c>
      <c r="H82" s="440">
        <v>10</v>
      </c>
      <c r="I82" s="28">
        <v>1</v>
      </c>
      <c r="J82" s="453">
        <f t="shared" si="19"/>
        <v>0.35087719298245612</v>
      </c>
      <c r="K82" s="436">
        <f>1480*2/1000+0.2</f>
        <v>3.16</v>
      </c>
      <c r="L82" s="267">
        <f t="shared" si="20"/>
        <v>1.1087719298245613</v>
      </c>
      <c r="M82" s="433">
        <f t="shared" si="21"/>
        <v>221.75438596491227</v>
      </c>
      <c r="N82" s="434">
        <v>200</v>
      </c>
      <c r="O82" s="435">
        <f t="shared" si="22"/>
        <v>1.1087719298245613</v>
      </c>
    </row>
    <row r="83" spans="1:15" ht="15">
      <c r="A83" s="643"/>
      <c r="B83" s="640"/>
      <c r="C83" s="13" t="s">
        <v>988</v>
      </c>
      <c r="D83" s="13">
        <v>107</v>
      </c>
      <c r="E83" s="637" t="s">
        <v>43</v>
      </c>
      <c r="F83" s="13" t="s">
        <v>10</v>
      </c>
      <c r="G83" s="28">
        <v>25</v>
      </c>
      <c r="H83" s="440">
        <v>10</v>
      </c>
      <c r="I83" s="28">
        <v>1</v>
      </c>
      <c r="J83" s="453">
        <f t="shared" si="19"/>
        <v>0.40</v>
      </c>
      <c r="K83" s="436">
        <f>(1021*2)/1000</f>
        <v>2.0419999999999998</v>
      </c>
      <c r="L83" s="267">
        <f t="shared" si="20"/>
        <v>0.81679999999999997</v>
      </c>
      <c r="M83" s="433">
        <f t="shared" si="21"/>
        <v>143.7568</v>
      </c>
      <c r="N83" s="434">
        <v>176</v>
      </c>
      <c r="O83" s="435">
        <f t="shared" si="22"/>
        <v>0.81679999999999997</v>
      </c>
    </row>
    <row r="84" spans="1:15" ht="15">
      <c r="A84" s="644"/>
      <c r="B84" s="641"/>
      <c r="C84" s="13" t="s">
        <v>989</v>
      </c>
      <c r="D84" s="13">
        <v>107</v>
      </c>
      <c r="E84" s="637"/>
      <c r="F84" s="13" t="s">
        <v>10</v>
      </c>
      <c r="G84" s="28">
        <v>28.50</v>
      </c>
      <c r="H84" s="440">
        <v>10</v>
      </c>
      <c r="I84" s="28">
        <v>1</v>
      </c>
      <c r="J84" s="453">
        <f t="shared" si="19"/>
        <v>0.35087719298245612</v>
      </c>
      <c r="K84" s="436">
        <f>1021*2/1000+0.2</f>
        <v>2.242</v>
      </c>
      <c r="L84" s="267">
        <f t="shared" si="20"/>
        <v>0.78666666666666663</v>
      </c>
      <c r="M84" s="433">
        <f t="shared" si="21"/>
        <v>157.33333333333331</v>
      </c>
      <c r="N84" s="434">
        <v>200</v>
      </c>
      <c r="O84" s="435">
        <f t="shared" si="22"/>
        <v>0.78666666666666663</v>
      </c>
    </row>
    <row r="85" spans="1:15" s="0" customFormat="1" ht="15">
      <c r="A85" s="650" t="s">
        <v>190</v>
      </c>
      <c r="B85" s="638" t="s">
        <v>191</v>
      </c>
      <c r="C85" s="13" t="s">
        <v>24</v>
      </c>
      <c r="D85" s="13">
        <v>111</v>
      </c>
      <c r="E85" s="13"/>
      <c r="F85" s="25" t="s">
        <v>45</v>
      </c>
      <c r="G85" s="16">
        <v>6.15</v>
      </c>
      <c r="H85" s="252">
        <v>10</v>
      </c>
      <c r="I85" s="16">
        <v>2</v>
      </c>
      <c r="J85" s="253">
        <f t="shared" si="19"/>
        <v>3.2520325203252032</v>
      </c>
      <c r="K85" s="16">
        <v>1</v>
      </c>
      <c r="L85" s="26">
        <f t="shared" si="20"/>
        <v>3.2520325203252032</v>
      </c>
      <c r="M85" s="43">
        <f t="shared" si="21"/>
        <v>650.40650406504062</v>
      </c>
      <c r="N85" s="85">
        <v>200</v>
      </c>
      <c r="O85" s="8">
        <f t="shared" si="22"/>
        <v>1.6260162601626016</v>
      </c>
    </row>
    <row r="86" spans="1:15" s="0" customFormat="1" ht="15">
      <c r="A86" s="650"/>
      <c r="B86" s="638"/>
      <c r="C86" s="13" t="s">
        <v>106</v>
      </c>
      <c r="D86" s="13">
        <v>111</v>
      </c>
      <c r="E86" s="645" t="s">
        <v>122</v>
      </c>
      <c r="F86" s="17" t="s">
        <v>10</v>
      </c>
      <c r="G86" s="16">
        <v>40</v>
      </c>
      <c r="H86" s="252">
        <v>10</v>
      </c>
      <c r="I86" s="16">
        <v>1</v>
      </c>
      <c r="J86" s="253">
        <f t="shared" si="19"/>
        <v>0.25</v>
      </c>
      <c r="K86" s="16">
        <v>4.2519999999999998</v>
      </c>
      <c r="L86" s="26">
        <f t="shared" si="20"/>
        <v>1.0629999999999999</v>
      </c>
      <c r="M86" s="43">
        <f t="shared" si="21"/>
        <v>212.60</v>
      </c>
      <c r="N86" s="85">
        <v>200</v>
      </c>
      <c r="O86" s="8">
        <f t="shared" si="22"/>
        <v>1.0629999999999999</v>
      </c>
    </row>
    <row r="87" spans="1:15" s="0" customFormat="1" ht="15">
      <c r="A87" s="650"/>
      <c r="B87" s="638"/>
      <c r="C87" s="4" t="s">
        <v>511</v>
      </c>
      <c r="D87" s="13">
        <v>111</v>
      </c>
      <c r="E87" s="646"/>
      <c r="F87" s="25" t="s">
        <v>10</v>
      </c>
      <c r="G87" s="16">
        <v>25</v>
      </c>
      <c r="H87" s="252">
        <v>10</v>
      </c>
      <c r="I87" s="16">
        <v>1</v>
      </c>
      <c r="J87" s="253">
        <f t="shared" si="19"/>
        <v>0.40</v>
      </c>
      <c r="K87" s="16">
        <v>4.2519999999999998</v>
      </c>
      <c r="L87" s="26">
        <f t="shared" si="20"/>
        <v>1.7008000000000001</v>
      </c>
      <c r="M87" s="42">
        <f t="shared" si="21"/>
        <v>299.3408</v>
      </c>
      <c r="N87" s="43">
        <v>176</v>
      </c>
      <c r="O87" s="8">
        <f t="shared" si="22"/>
        <v>1.7008000000000001</v>
      </c>
    </row>
    <row r="88" spans="1:15" s="0" customFormat="1" ht="15">
      <c r="A88" s="650"/>
      <c r="B88" s="638"/>
      <c r="C88" s="13" t="s">
        <v>990</v>
      </c>
      <c r="D88" s="13">
        <v>111</v>
      </c>
      <c r="E88" s="647"/>
      <c r="F88" s="17" t="s">
        <v>10</v>
      </c>
      <c r="G88" s="16">
        <v>40</v>
      </c>
      <c r="H88" s="252">
        <v>10</v>
      </c>
      <c r="I88" s="16">
        <v>1</v>
      </c>
      <c r="J88" s="253">
        <f t="shared" si="19"/>
        <v>0.25</v>
      </c>
      <c r="K88" s="16">
        <f>4.252*2</f>
        <v>8.5039999999999996</v>
      </c>
      <c r="L88" s="26">
        <f t="shared" si="20"/>
        <v>2.1259999999999999</v>
      </c>
      <c r="M88" s="43">
        <f t="shared" si="21"/>
        <v>425.20</v>
      </c>
      <c r="N88" s="85">
        <v>200</v>
      </c>
      <c r="O88" s="8">
        <f t="shared" si="22"/>
        <v>2.1259999999999999</v>
      </c>
    </row>
    <row r="89" spans="1:15" s="0" customFormat="1" ht="15">
      <c r="A89" s="57" t="s">
        <v>348</v>
      </c>
      <c r="B89" s="56" t="s">
        <v>1007</v>
      </c>
      <c r="C89" s="17" t="s">
        <v>1007</v>
      </c>
      <c r="D89" s="17">
        <v>224</v>
      </c>
      <c r="E89" s="13"/>
      <c r="F89" s="17" t="s">
        <v>353</v>
      </c>
      <c r="G89" s="16">
        <v>60</v>
      </c>
      <c r="H89" s="252">
        <v>10</v>
      </c>
      <c r="I89" s="16">
        <v>1</v>
      </c>
      <c r="J89" s="253">
        <f t="shared" si="19"/>
        <v>0.16666666666666666</v>
      </c>
      <c r="K89" s="52">
        <v>3</v>
      </c>
      <c r="L89" s="8">
        <f t="shared" si="20"/>
        <v>0.50</v>
      </c>
      <c r="M89" s="42">
        <f t="shared" si="21"/>
        <v>100</v>
      </c>
      <c r="N89" s="43">
        <v>200</v>
      </c>
      <c r="O89" s="8">
        <f t="shared" si="22"/>
        <v>0.50</v>
      </c>
    </row>
    <row r="90" spans="1:15" ht="15">
      <c r="A90" s="57" t="s">
        <v>325</v>
      </c>
      <c r="B90" s="56" t="s">
        <v>327</v>
      </c>
      <c r="C90" s="13" t="s">
        <v>326</v>
      </c>
      <c r="D90" s="13">
        <v>112</v>
      </c>
      <c r="E90" s="13"/>
      <c r="F90" s="13" t="s">
        <v>513</v>
      </c>
      <c r="G90" s="28">
        <v>10</v>
      </c>
      <c r="H90" s="440">
        <v>10</v>
      </c>
      <c r="I90" s="28">
        <v>2</v>
      </c>
      <c r="J90" s="441">
        <f t="shared" si="19"/>
        <v>2</v>
      </c>
      <c r="K90" s="432">
        <v>1</v>
      </c>
      <c r="L90" s="435">
        <f t="shared" si="20"/>
        <v>2</v>
      </c>
      <c r="M90" s="266">
        <f t="shared" si="21"/>
        <v>400</v>
      </c>
      <c r="N90" s="433">
        <v>200</v>
      </c>
      <c r="O90" s="435">
        <f t="shared" si="22"/>
        <v>1</v>
      </c>
    </row>
    <row r="91" spans="1:15" s="0" customFormat="1" ht="15">
      <c r="A91" s="637" t="s">
        <v>197</v>
      </c>
      <c r="B91" s="638" t="s">
        <v>110</v>
      </c>
      <c r="C91" s="13" t="s">
        <v>47</v>
      </c>
      <c r="D91" s="13">
        <v>112</v>
      </c>
      <c r="E91" s="13"/>
      <c r="F91" s="25" t="s">
        <v>111</v>
      </c>
      <c r="G91" s="16">
        <v>6</v>
      </c>
      <c r="H91" s="252">
        <v>10</v>
      </c>
      <c r="I91" s="16">
        <v>2</v>
      </c>
      <c r="J91" s="253">
        <f t="shared" si="19"/>
        <v>3.3333333333333335</v>
      </c>
      <c r="K91" s="16">
        <v>1</v>
      </c>
      <c r="L91" s="26">
        <f t="shared" si="20"/>
        <v>3.3333333333333335</v>
      </c>
      <c r="M91" s="43">
        <f t="shared" si="21"/>
        <v>666.66666666666674</v>
      </c>
      <c r="N91" s="46">
        <v>200</v>
      </c>
      <c r="O91" s="8">
        <f t="shared" si="22"/>
        <v>1.6666666666666667</v>
      </c>
    </row>
    <row r="92" spans="1:15" s="0" customFormat="1" ht="30">
      <c r="A92" s="637"/>
      <c r="B92" s="638"/>
      <c r="C92" s="13" t="s">
        <v>48</v>
      </c>
      <c r="D92" s="13">
        <v>112</v>
      </c>
      <c r="E92" s="4" t="s">
        <v>520</v>
      </c>
      <c r="F92" s="17" t="s">
        <v>10</v>
      </c>
      <c r="G92" s="16">
        <v>40</v>
      </c>
      <c r="H92" s="252">
        <v>10</v>
      </c>
      <c r="I92" s="16">
        <v>1</v>
      </c>
      <c r="J92" s="253">
        <f t="shared" si="19"/>
        <v>0.25</v>
      </c>
      <c r="K92" s="30">
        <f>((375*2)+(928*2)+(928))/1000</f>
        <v>3.5339999999999998</v>
      </c>
      <c r="L92" s="26">
        <f t="shared" si="20"/>
        <v>0.88349999999999995</v>
      </c>
      <c r="M92" s="43">
        <f t="shared" si="21"/>
        <v>176.70</v>
      </c>
      <c r="N92" s="46">
        <v>200</v>
      </c>
      <c r="O92" s="8">
        <f t="shared" si="22"/>
        <v>0.88349999999999995</v>
      </c>
    </row>
    <row r="93" spans="1:15" ht="15">
      <c r="A93" s="54" t="s">
        <v>888</v>
      </c>
      <c r="B93" s="56" t="s">
        <v>991</v>
      </c>
      <c r="C93" s="13" t="s">
        <v>862</v>
      </c>
      <c r="D93" s="13">
        <v>224</v>
      </c>
      <c r="E93" s="13"/>
      <c r="F93" s="17"/>
      <c r="G93" s="28">
        <f>(600-25)/10</f>
        <v>57.50</v>
      </c>
      <c r="H93" s="440">
        <v>10</v>
      </c>
      <c r="I93" s="28">
        <v>2</v>
      </c>
      <c r="J93" s="441">
        <f t="shared" si="19"/>
        <v>0.34782608695652173</v>
      </c>
      <c r="K93" s="28">
        <v>1</v>
      </c>
      <c r="L93" s="267">
        <f t="shared" si="20"/>
        <v>0.34782608695652173</v>
      </c>
      <c r="M93" s="433">
        <f t="shared" si="21"/>
        <v>69.565217391304344</v>
      </c>
      <c r="N93" s="434">
        <v>200</v>
      </c>
      <c r="O93" s="435">
        <f t="shared" si="22"/>
        <v>0.17391304347826086</v>
      </c>
    </row>
    <row r="94" spans="1:15" ht="15" customHeight="1">
      <c r="A94" s="13" t="s">
        <v>199</v>
      </c>
      <c r="B94" s="27" t="s">
        <v>890</v>
      </c>
      <c r="C94" s="13" t="s">
        <v>47</v>
      </c>
      <c r="D94" s="13">
        <v>112</v>
      </c>
      <c r="E94" s="13"/>
      <c r="F94" s="4" t="s">
        <v>870</v>
      </c>
      <c r="G94" s="28">
        <v>10</v>
      </c>
      <c r="H94" s="440">
        <v>10</v>
      </c>
      <c r="I94" s="28">
        <v>2</v>
      </c>
      <c r="J94" s="441">
        <f t="shared" si="19"/>
        <v>2</v>
      </c>
      <c r="K94" s="28">
        <v>1</v>
      </c>
      <c r="L94" s="267">
        <f t="shared" si="20"/>
        <v>2</v>
      </c>
      <c r="M94" s="433">
        <f t="shared" si="21"/>
        <v>400</v>
      </c>
      <c r="N94" s="434">
        <v>200</v>
      </c>
      <c r="O94" s="435">
        <f t="shared" si="22"/>
        <v>1</v>
      </c>
    </row>
    <row r="95" spans="1:15" ht="15">
      <c r="A95" s="39"/>
      <c r="B95" s="649" t="s">
        <v>132</v>
      </c>
      <c r="C95" s="649"/>
      <c r="D95" s="649"/>
      <c r="E95" s="649"/>
      <c r="F95" s="649"/>
      <c r="G95" s="649"/>
      <c r="H95" s="649"/>
      <c r="I95" s="649"/>
      <c r="J95" s="649"/>
      <c r="K95" s="649"/>
      <c r="L95" s="267"/>
      <c r="M95" s="262">
        <f>SUM(M96:M107)</f>
        <v>7713.7770365064043</v>
      </c>
      <c r="N95" s="263"/>
      <c r="O95" s="264">
        <f>SUM(O96:O107)</f>
        <v>29.364938101167215</v>
      </c>
    </row>
    <row r="96" spans="1:15" ht="15">
      <c r="A96" s="650" t="s">
        <v>200</v>
      </c>
      <c r="B96" s="638" t="s">
        <v>871</v>
      </c>
      <c r="C96" s="13" t="s">
        <v>993</v>
      </c>
      <c r="D96" s="13">
        <v>224</v>
      </c>
      <c r="E96" s="13"/>
      <c r="F96" s="13" t="s">
        <v>353</v>
      </c>
      <c r="G96" s="442">
        <f>600/10</f>
        <v>60</v>
      </c>
      <c r="H96" s="440">
        <v>10</v>
      </c>
      <c r="I96" s="28">
        <v>1</v>
      </c>
      <c r="J96" s="441">
        <f t="shared" si="23" ref="J96:J107">H96/G96*I96</f>
        <v>0.16666666666666666</v>
      </c>
      <c r="K96" s="432">
        <v>2</v>
      </c>
      <c r="L96" s="435">
        <f t="shared" si="24" ref="L96:L99">J96*K96</f>
        <v>0.33333333333333331</v>
      </c>
      <c r="M96" s="266">
        <f t="shared" si="25" ref="M96:M107">L96*N96</f>
        <v>66.666666666666657</v>
      </c>
      <c r="N96" s="433">
        <v>200</v>
      </c>
      <c r="O96" s="435">
        <f t="shared" si="26" ref="O96:O107">J96/I96*K96</f>
        <v>0.33333333333333331</v>
      </c>
    </row>
    <row r="97" spans="1:15" ht="15">
      <c r="A97" s="650"/>
      <c r="B97" s="638"/>
      <c r="C97" s="13" t="s">
        <v>994</v>
      </c>
      <c r="D97" s="13">
        <v>224</v>
      </c>
      <c r="E97" s="13"/>
      <c r="F97" s="13" t="s">
        <v>353</v>
      </c>
      <c r="G97" s="442">
        <v>120</v>
      </c>
      <c r="H97" s="440">
        <v>10</v>
      </c>
      <c r="I97" s="28">
        <v>1</v>
      </c>
      <c r="J97" s="441">
        <f t="shared" si="23"/>
        <v>0.083333333333333329</v>
      </c>
      <c r="K97" s="432">
        <v>2</v>
      </c>
      <c r="L97" s="435">
        <f t="shared" si="24"/>
        <v>0.16666666666666666</v>
      </c>
      <c r="M97" s="266">
        <f t="shared" si="25"/>
        <v>33.333333333333329</v>
      </c>
      <c r="N97" s="433">
        <v>200</v>
      </c>
      <c r="O97" s="435">
        <f t="shared" si="26"/>
        <v>0.16666666666666666</v>
      </c>
    </row>
    <row r="98" spans="1:15" ht="15">
      <c r="A98" s="650"/>
      <c r="B98" s="638"/>
      <c r="C98" s="13" t="s">
        <v>873</v>
      </c>
      <c r="D98" s="13">
        <v>224</v>
      </c>
      <c r="E98" s="13"/>
      <c r="F98" s="13" t="s">
        <v>353</v>
      </c>
      <c r="G98" s="442">
        <f>600/5</f>
        <v>120</v>
      </c>
      <c r="H98" s="440">
        <v>10</v>
      </c>
      <c r="I98" s="28">
        <v>1</v>
      </c>
      <c r="J98" s="441">
        <f t="shared" si="23"/>
        <v>0.083333333333333329</v>
      </c>
      <c r="K98" s="432">
        <v>2</v>
      </c>
      <c r="L98" s="435">
        <f t="shared" si="24"/>
        <v>0.16666666666666666</v>
      </c>
      <c r="M98" s="266">
        <f t="shared" si="25"/>
        <v>33.333333333333329</v>
      </c>
      <c r="N98" s="433">
        <v>200</v>
      </c>
      <c r="O98" s="435">
        <f t="shared" si="26"/>
        <v>0.16666666666666666</v>
      </c>
    </row>
    <row r="99" spans="1:15" ht="15">
      <c r="A99" s="57" t="s">
        <v>662</v>
      </c>
      <c r="B99" s="56" t="s">
        <v>995</v>
      </c>
      <c r="C99" s="13" t="s">
        <v>862</v>
      </c>
      <c r="D99" s="13">
        <v>224</v>
      </c>
      <c r="E99" s="13"/>
      <c r="F99" s="17"/>
      <c r="G99" s="442">
        <f>(600-25)/10</f>
        <v>57.50</v>
      </c>
      <c r="H99" s="440">
        <v>10</v>
      </c>
      <c r="I99" s="28">
        <v>2</v>
      </c>
      <c r="J99" s="441">
        <f t="shared" si="23"/>
        <v>0.34782608695652173</v>
      </c>
      <c r="K99" s="28">
        <v>1</v>
      </c>
      <c r="L99" s="267">
        <f t="shared" si="24"/>
        <v>0.34782608695652173</v>
      </c>
      <c r="M99" s="433">
        <f t="shared" si="25"/>
        <v>69.565217391304344</v>
      </c>
      <c r="N99" s="434">
        <v>200</v>
      </c>
      <c r="O99" s="435">
        <f t="shared" si="26"/>
        <v>0.17391304347826086</v>
      </c>
    </row>
    <row r="100" spans="1:15" ht="15">
      <c r="A100" s="13" t="s">
        <v>205</v>
      </c>
      <c r="B100" s="27" t="s">
        <v>875</v>
      </c>
      <c r="C100" s="13" t="s">
        <v>138</v>
      </c>
      <c r="D100" s="13">
        <v>117</v>
      </c>
      <c r="E100" s="13"/>
      <c r="F100" s="4" t="s">
        <v>13</v>
      </c>
      <c r="G100" s="442">
        <f>1.212*1.4</f>
        <v>1.6967999999999999</v>
      </c>
      <c r="H100" s="440">
        <v>10</v>
      </c>
      <c r="I100" s="28">
        <v>2</v>
      </c>
      <c r="J100" s="441">
        <f t="shared" si="23"/>
        <v>11.786892975011789</v>
      </c>
      <c r="K100" s="28">
        <v>1</v>
      </c>
      <c r="L100" s="267">
        <f>J100*K100</f>
        <v>11.786892975011789</v>
      </c>
      <c r="M100" s="433">
        <f t="shared" si="25"/>
        <v>2357.3785950023575</v>
      </c>
      <c r="N100" s="434">
        <v>200</v>
      </c>
      <c r="O100" s="435">
        <f t="shared" si="26"/>
        <v>5.8934464875058943</v>
      </c>
    </row>
    <row r="101" spans="1:15" ht="15">
      <c r="A101" s="13" t="s">
        <v>877</v>
      </c>
      <c r="B101" s="27" t="s">
        <v>876</v>
      </c>
      <c r="C101" s="13" t="s">
        <v>160</v>
      </c>
      <c r="D101" s="13">
        <v>117</v>
      </c>
      <c r="E101" s="13"/>
      <c r="F101" s="4" t="s">
        <v>13</v>
      </c>
      <c r="G101" s="442">
        <v>40</v>
      </c>
      <c r="H101" s="440">
        <v>10</v>
      </c>
      <c r="I101" s="28">
        <v>1</v>
      </c>
      <c r="J101" s="441">
        <f t="shared" si="23"/>
        <v>0.25</v>
      </c>
      <c r="K101" s="442">
        <f>(4527+4180+4146+1258*2+16*3.1415*34+325*3.1415+30*3)/1000</f>
        <v>18.188963499999996</v>
      </c>
      <c r="L101" s="267">
        <f>J101*K101</f>
        <v>4.5472408749999991</v>
      </c>
      <c r="M101" s="433">
        <f t="shared" si="25"/>
        <v>909.44817499999976</v>
      </c>
      <c r="N101" s="434">
        <v>200</v>
      </c>
      <c r="O101" s="435">
        <f t="shared" si="26"/>
        <v>4.5472408749999991</v>
      </c>
    </row>
    <row r="102" spans="1:15" ht="15">
      <c r="A102" s="13" t="s">
        <v>206</v>
      </c>
      <c r="B102" s="27" t="s">
        <v>94</v>
      </c>
      <c r="C102" s="13" t="s">
        <v>160</v>
      </c>
      <c r="D102" s="13">
        <v>114</v>
      </c>
      <c r="E102" s="13"/>
      <c r="F102" s="4" t="s">
        <v>13</v>
      </c>
      <c r="G102" s="442">
        <v>40</v>
      </c>
      <c r="H102" s="440">
        <v>10</v>
      </c>
      <c r="I102" s="28">
        <v>1</v>
      </c>
      <c r="J102" s="441">
        <f t="shared" si="23"/>
        <v>0.25</v>
      </c>
      <c r="K102" s="442">
        <f>(4527*2+120*5+16*3.1415*34+325*3.1415+4180+4345+4382+19*3.1415*2+23*3.1415*2+4146)/1000</f>
        <v>29.700849499999997</v>
      </c>
      <c r="L102" s="267">
        <f>J102*K102</f>
        <v>7.4252123749999992</v>
      </c>
      <c r="M102" s="433">
        <f t="shared" si="25"/>
        <v>1485.0424749999997</v>
      </c>
      <c r="N102" s="434">
        <v>200</v>
      </c>
      <c r="O102" s="435">
        <f t="shared" si="26"/>
        <v>7.4252123749999992</v>
      </c>
    </row>
    <row r="103" spans="1:15" ht="15">
      <c r="A103" s="13" t="s">
        <v>207</v>
      </c>
      <c r="B103" s="56" t="s">
        <v>55</v>
      </c>
      <c r="C103" s="13" t="s">
        <v>29</v>
      </c>
      <c r="D103" s="13">
        <v>120</v>
      </c>
      <c r="E103" s="13"/>
      <c r="F103" s="13" t="s">
        <v>13</v>
      </c>
      <c r="G103" s="31">
        <v>7.70</v>
      </c>
      <c r="H103" s="440">
        <v>10</v>
      </c>
      <c r="I103" s="28">
        <v>1</v>
      </c>
      <c r="J103" s="441">
        <f t="shared" si="23"/>
        <v>1.2987012987012987</v>
      </c>
      <c r="K103" s="28">
        <v>1</v>
      </c>
      <c r="L103" s="267">
        <f t="shared" si="27" ref="L103:L106">J103*K103</f>
        <v>1.2987012987012987</v>
      </c>
      <c r="M103" s="433">
        <f t="shared" si="25"/>
        <v>228.57142857142856</v>
      </c>
      <c r="N103" s="434">
        <v>176</v>
      </c>
      <c r="O103" s="435">
        <f t="shared" si="26"/>
        <v>1.2987012987012987</v>
      </c>
    </row>
    <row r="104" spans="1:15" ht="15">
      <c r="A104" s="13" t="s">
        <v>208</v>
      </c>
      <c r="B104" s="56" t="s">
        <v>56</v>
      </c>
      <c r="C104" s="13" t="s">
        <v>29</v>
      </c>
      <c r="D104" s="13">
        <v>120</v>
      </c>
      <c r="E104" s="13"/>
      <c r="F104" s="13" t="s">
        <v>13</v>
      </c>
      <c r="G104" s="31">
        <v>7.70</v>
      </c>
      <c r="H104" s="440">
        <v>10</v>
      </c>
      <c r="I104" s="28">
        <v>1</v>
      </c>
      <c r="J104" s="441">
        <f t="shared" si="23"/>
        <v>1.2987012987012987</v>
      </c>
      <c r="K104" s="28">
        <v>1</v>
      </c>
      <c r="L104" s="267">
        <f t="shared" si="27"/>
        <v>1.2987012987012987</v>
      </c>
      <c r="M104" s="433">
        <f t="shared" si="25"/>
        <v>228.57142857142856</v>
      </c>
      <c r="N104" s="434">
        <v>176</v>
      </c>
      <c r="O104" s="435">
        <f t="shared" si="26"/>
        <v>1.2987012987012987</v>
      </c>
    </row>
    <row r="105" spans="1:16" ht="30">
      <c r="A105" s="13" t="s">
        <v>209</v>
      </c>
      <c r="B105" s="27" t="s">
        <v>892</v>
      </c>
      <c r="C105" s="13" t="s">
        <v>14</v>
      </c>
      <c r="D105" s="13">
        <v>119</v>
      </c>
      <c r="E105" s="13"/>
      <c r="F105" s="13" t="s">
        <v>58</v>
      </c>
      <c r="G105" s="16">
        <v>61</v>
      </c>
      <c r="H105" s="440">
        <v>10</v>
      </c>
      <c r="I105" s="28">
        <v>1</v>
      </c>
      <c r="J105" s="441">
        <f t="shared" si="23"/>
        <v>0.16393442622950818</v>
      </c>
      <c r="K105" s="28">
        <v>3.24</v>
      </c>
      <c r="L105" s="267">
        <f t="shared" si="27"/>
        <v>0.5311475409836065</v>
      </c>
      <c r="M105" s="433">
        <f t="shared" si="25"/>
        <v>106.2295081967213</v>
      </c>
      <c r="N105" s="434">
        <v>200</v>
      </c>
      <c r="O105" s="435">
        <f t="shared" si="26"/>
        <v>0.5311475409836065</v>
      </c>
      <c r="P105" s="22"/>
    </row>
    <row r="106" spans="1:16" ht="30">
      <c r="A106" s="13" t="s">
        <v>210</v>
      </c>
      <c r="B106" s="27" t="s">
        <v>114</v>
      </c>
      <c r="C106" s="13" t="s">
        <v>54</v>
      </c>
      <c r="D106" s="13">
        <v>116</v>
      </c>
      <c r="E106" s="13"/>
      <c r="F106" s="13" t="s">
        <v>13</v>
      </c>
      <c r="G106" s="469">
        <v>2.90</v>
      </c>
      <c r="H106" s="440">
        <v>10</v>
      </c>
      <c r="I106" s="28">
        <v>2</v>
      </c>
      <c r="J106" s="441">
        <f t="shared" si="23"/>
        <v>6.8965517241379315</v>
      </c>
      <c r="K106" s="28">
        <v>1</v>
      </c>
      <c r="L106" s="267">
        <f t="shared" si="27"/>
        <v>6.8965517241379315</v>
      </c>
      <c r="M106" s="433">
        <f t="shared" si="25"/>
        <v>1379.3103448275863</v>
      </c>
      <c r="N106" s="434">
        <v>200</v>
      </c>
      <c r="O106" s="435">
        <f t="shared" si="26"/>
        <v>3.4482758620689657</v>
      </c>
      <c r="P106" s="22"/>
    </row>
    <row r="107" spans="1:15" ht="30">
      <c r="A107" s="13" t="s">
        <v>211</v>
      </c>
      <c r="B107" s="56" t="s">
        <v>60</v>
      </c>
      <c r="C107" s="13" t="s">
        <v>14</v>
      </c>
      <c r="D107" s="13">
        <v>226</v>
      </c>
      <c r="E107" s="13"/>
      <c r="F107" s="4" t="s">
        <v>58</v>
      </c>
      <c r="G107" s="470">
        <v>2.4500000000000002</v>
      </c>
      <c r="H107" s="440">
        <v>10</v>
      </c>
      <c r="I107" s="28">
        <v>1</v>
      </c>
      <c r="J107" s="441">
        <f t="shared" si="23"/>
        <v>4.0816326530612246</v>
      </c>
      <c r="K107" s="28">
        <v>1</v>
      </c>
      <c r="L107" s="267">
        <f>J107*K107</f>
        <v>4.0816326530612246</v>
      </c>
      <c r="M107" s="433">
        <f t="shared" si="25"/>
        <v>816.32653061224494</v>
      </c>
      <c r="N107" s="434">
        <v>200</v>
      </c>
      <c r="O107" s="435">
        <f t="shared" si="26"/>
        <v>4.0816326530612246</v>
      </c>
    </row>
    <row r="108" spans="1:15" ht="15">
      <c r="A108" s="39"/>
      <c r="B108" s="649" t="s">
        <v>140</v>
      </c>
      <c r="C108" s="649"/>
      <c r="D108" s="649"/>
      <c r="E108" s="649"/>
      <c r="F108" s="649"/>
      <c r="G108" s="649"/>
      <c r="H108" s="649"/>
      <c r="I108" s="649"/>
      <c r="J108" s="649"/>
      <c r="K108" s="649"/>
      <c r="L108" s="267"/>
      <c r="M108" s="262">
        <f>SUM(M109:M114)</f>
        <v>2816.4011409684863</v>
      </c>
      <c r="N108" s="263"/>
      <c r="O108" s="264">
        <f>SUM(O109:O114)</f>
        <v>9.2826801201100437</v>
      </c>
    </row>
    <row r="109" spans="1:15" ht="15">
      <c r="A109" s="57" t="s">
        <v>893</v>
      </c>
      <c r="B109" s="27" t="s">
        <v>881</v>
      </c>
      <c r="C109" s="13" t="s">
        <v>880</v>
      </c>
      <c r="D109" s="13">
        <v>224</v>
      </c>
      <c r="E109" s="13"/>
      <c r="F109" s="13" t="s">
        <v>353</v>
      </c>
      <c r="G109" s="436">
        <f>600/20</f>
        <v>30</v>
      </c>
      <c r="H109" s="440">
        <v>10</v>
      </c>
      <c r="I109" s="28">
        <v>1</v>
      </c>
      <c r="J109" s="441">
        <f t="shared" si="28" ref="J109:J114">H109/G109*I109</f>
        <v>0.33333333333333331</v>
      </c>
      <c r="K109" s="432">
        <v>1</v>
      </c>
      <c r="L109" s="435">
        <f t="shared" si="29" ref="L109:L114">J109*K109</f>
        <v>0.33333333333333331</v>
      </c>
      <c r="M109" s="266">
        <f t="shared" si="30" ref="M109:M114">L109*N109</f>
        <v>66.666666666666657</v>
      </c>
      <c r="N109" s="433">
        <v>200</v>
      </c>
      <c r="O109" s="435">
        <f t="shared" si="31" ref="O109:O114">J109/I109*K109</f>
        <v>0.33333333333333331</v>
      </c>
    </row>
    <row r="110" spans="1:15" ht="15">
      <c r="A110" s="57" t="s">
        <v>212</v>
      </c>
      <c r="B110" s="56" t="s">
        <v>991</v>
      </c>
      <c r="C110" s="13" t="s">
        <v>862</v>
      </c>
      <c r="D110" s="13">
        <v>224</v>
      </c>
      <c r="E110" s="13"/>
      <c r="F110" s="17"/>
      <c r="G110" s="28">
        <f>(600-25)/10</f>
        <v>57.50</v>
      </c>
      <c r="H110" s="440">
        <v>10</v>
      </c>
      <c r="I110" s="28">
        <v>2</v>
      </c>
      <c r="J110" s="441">
        <f t="shared" si="28"/>
        <v>0.34782608695652173</v>
      </c>
      <c r="K110" s="28">
        <v>1</v>
      </c>
      <c r="L110" s="267">
        <f t="shared" si="29"/>
        <v>0.34782608695652173</v>
      </c>
      <c r="M110" s="433">
        <f t="shared" si="30"/>
        <v>69.565217391304344</v>
      </c>
      <c r="N110" s="434">
        <v>200</v>
      </c>
      <c r="O110" s="435">
        <f t="shared" si="31"/>
        <v>0.17391304347826086</v>
      </c>
    </row>
    <row r="111" spans="1:15" ht="15">
      <c r="A111" s="57" t="s">
        <v>878</v>
      </c>
      <c r="B111" s="27" t="s">
        <v>882</v>
      </c>
      <c r="C111" s="13" t="s">
        <v>1011</v>
      </c>
      <c r="D111" s="13">
        <v>117</v>
      </c>
      <c r="E111" s="13"/>
      <c r="F111" s="13" t="s">
        <v>353</v>
      </c>
      <c r="G111" s="28">
        <v>34.60</v>
      </c>
      <c r="H111" s="440">
        <v>10</v>
      </c>
      <c r="I111" s="28">
        <v>1</v>
      </c>
      <c r="J111" s="441">
        <f t="shared" si="28"/>
        <v>0.28901734104046239</v>
      </c>
      <c r="K111" s="432">
        <v>1</v>
      </c>
      <c r="L111" s="435">
        <f t="shared" si="29"/>
        <v>0.28901734104046239</v>
      </c>
      <c r="M111" s="266">
        <f t="shared" si="30"/>
        <v>57.803468208092482</v>
      </c>
      <c r="N111" s="433">
        <v>200</v>
      </c>
      <c r="O111" s="435">
        <f t="shared" si="31"/>
        <v>0.28901734104046239</v>
      </c>
    </row>
    <row r="112" spans="1:15" ht="15">
      <c r="A112" s="57" t="s">
        <v>214</v>
      </c>
      <c r="B112" s="56" t="s">
        <v>883</v>
      </c>
      <c r="C112" s="13" t="s">
        <v>33</v>
      </c>
      <c r="D112" s="13">
        <v>118</v>
      </c>
      <c r="E112" s="13"/>
      <c r="F112" s="13" t="s">
        <v>510</v>
      </c>
      <c r="G112" s="28">
        <v>40</v>
      </c>
      <c r="H112" s="440">
        <v>10</v>
      </c>
      <c r="I112" s="28">
        <v>2</v>
      </c>
      <c r="J112" s="441">
        <f t="shared" si="28"/>
        <v>0.50</v>
      </c>
      <c r="K112" s="432">
        <v>2</v>
      </c>
      <c r="L112" s="267">
        <f t="shared" si="29"/>
        <v>1</v>
      </c>
      <c r="M112" s="433">
        <f t="shared" si="30"/>
        <v>200</v>
      </c>
      <c r="N112" s="434">
        <v>200</v>
      </c>
      <c r="O112" s="435">
        <f t="shared" si="31"/>
        <v>0.50</v>
      </c>
    </row>
    <row r="113" spans="1:15" ht="15">
      <c r="A113" s="13" t="s">
        <v>219</v>
      </c>
      <c r="B113" s="56" t="s">
        <v>91</v>
      </c>
      <c r="C113" s="13" t="s">
        <v>54</v>
      </c>
      <c r="D113" s="13">
        <v>118</v>
      </c>
      <c r="E113" s="13"/>
      <c r="F113" s="4" t="s">
        <v>59</v>
      </c>
      <c r="G113" s="30">
        <v>2.4239999999999999</v>
      </c>
      <c r="H113" s="440">
        <v>10</v>
      </c>
      <c r="I113" s="28">
        <v>2</v>
      </c>
      <c r="J113" s="441">
        <f t="shared" si="28"/>
        <v>8.2508250825082516</v>
      </c>
      <c r="K113" s="432">
        <v>1</v>
      </c>
      <c r="L113" s="267">
        <f t="shared" si="29"/>
        <v>8.2508250825082516</v>
      </c>
      <c r="M113" s="433">
        <f t="shared" si="30"/>
        <v>1650.1650165016504</v>
      </c>
      <c r="N113" s="434">
        <v>200</v>
      </c>
      <c r="O113" s="435">
        <f t="shared" si="31"/>
        <v>4.1254125412541258</v>
      </c>
    </row>
    <row r="114" spans="1:15" ht="15">
      <c r="A114" s="13" t="s">
        <v>220</v>
      </c>
      <c r="B114" s="56" t="s">
        <v>92</v>
      </c>
      <c r="C114" s="13" t="s">
        <v>54</v>
      </c>
      <c r="D114" s="13">
        <v>118</v>
      </c>
      <c r="E114" s="13"/>
      <c r="F114" s="4" t="s">
        <v>59</v>
      </c>
      <c r="G114" s="30">
        <v>2.59</v>
      </c>
      <c r="H114" s="440">
        <v>10</v>
      </c>
      <c r="I114" s="28">
        <v>1</v>
      </c>
      <c r="J114" s="441">
        <f t="shared" si="28"/>
        <v>3.8610038610038613</v>
      </c>
      <c r="K114" s="432">
        <v>1</v>
      </c>
      <c r="L114" s="267">
        <f t="shared" si="29"/>
        <v>3.8610038610038613</v>
      </c>
      <c r="M114" s="433">
        <f t="shared" si="30"/>
        <v>772.20077220077224</v>
      </c>
      <c r="N114" s="434">
        <v>200</v>
      </c>
      <c r="O114" s="435">
        <f t="shared" si="31"/>
        <v>3.8610038610038613</v>
      </c>
    </row>
    <row r="115" spans="1:15" ht="15">
      <c r="A115" s="39"/>
      <c r="B115" s="649" t="s">
        <v>135</v>
      </c>
      <c r="C115" s="649"/>
      <c r="D115" s="649"/>
      <c r="E115" s="649"/>
      <c r="F115" s="649"/>
      <c r="G115" s="649"/>
      <c r="H115" s="649"/>
      <c r="I115" s="649"/>
      <c r="J115" s="649"/>
      <c r="K115" s="649"/>
      <c r="L115" s="435"/>
      <c r="M115" s="262">
        <f>SUM(M116:M118)</f>
        <v>542.1416234887738</v>
      </c>
      <c r="N115" s="263"/>
      <c r="O115" s="264">
        <f>SUM(O116:O118)</f>
        <v>1.4607081174438687</v>
      </c>
    </row>
    <row r="116" spans="1:15" ht="15">
      <c r="A116" s="13" t="s">
        <v>136</v>
      </c>
      <c r="B116" s="56" t="s">
        <v>137</v>
      </c>
      <c r="C116" s="13" t="s">
        <v>138</v>
      </c>
      <c r="D116" s="13">
        <v>117</v>
      </c>
      <c r="E116" s="13"/>
      <c r="F116" s="4" t="s">
        <v>139</v>
      </c>
      <c r="G116" s="28">
        <v>10</v>
      </c>
      <c r="H116" s="440">
        <v>10</v>
      </c>
      <c r="I116" s="28">
        <v>2</v>
      </c>
      <c r="J116" s="441">
        <f>H116/G116*I116</f>
        <v>2</v>
      </c>
      <c r="K116" s="28">
        <v>1</v>
      </c>
      <c r="L116" s="435">
        <f t="shared" si="32" ref="L116:L118">J116*K116</f>
        <v>2</v>
      </c>
      <c r="M116" s="266">
        <f>L116*N116</f>
        <v>400</v>
      </c>
      <c r="N116" s="433">
        <v>200</v>
      </c>
      <c r="O116" s="435">
        <f>J116/I116*K116</f>
        <v>1</v>
      </c>
    </row>
    <row r="117" spans="1:15" ht="15">
      <c r="A117" s="13" t="s">
        <v>346</v>
      </c>
      <c r="B117" s="56" t="s">
        <v>347</v>
      </c>
      <c r="C117" s="13" t="s">
        <v>14</v>
      </c>
      <c r="D117" s="13">
        <v>226</v>
      </c>
      <c r="E117" s="13"/>
      <c r="F117" s="13" t="s">
        <v>58</v>
      </c>
      <c r="G117" s="28">
        <v>23.16</v>
      </c>
      <c r="H117" s="440">
        <v>10</v>
      </c>
      <c r="I117" s="28">
        <v>1</v>
      </c>
      <c r="J117" s="441">
        <f>H117/G117*I117</f>
        <v>0.43177892918825561</v>
      </c>
      <c r="K117" s="28">
        <f>0.122*4</f>
        <v>0.48799999999999999</v>
      </c>
      <c r="L117" s="435">
        <f t="shared" si="32"/>
        <v>0.21070811744386872</v>
      </c>
      <c r="M117" s="266">
        <f>L117*N117</f>
        <v>42.141623488773746</v>
      </c>
      <c r="N117" s="433">
        <v>200</v>
      </c>
      <c r="O117" s="435">
        <f>J117/I117*K117</f>
        <v>0.21070811744386872</v>
      </c>
    </row>
    <row r="118" spans="1:15" ht="15">
      <c r="A118" s="13" t="s">
        <v>344</v>
      </c>
      <c r="B118" s="56" t="s">
        <v>345</v>
      </c>
      <c r="C118" s="13" t="s">
        <v>24</v>
      </c>
      <c r="D118" s="13">
        <v>219</v>
      </c>
      <c r="E118" s="13"/>
      <c r="F118" s="4" t="s">
        <v>139</v>
      </c>
      <c r="G118" s="28">
        <v>40</v>
      </c>
      <c r="H118" s="440">
        <v>10</v>
      </c>
      <c r="I118" s="28">
        <v>2</v>
      </c>
      <c r="J118" s="441">
        <f>H118/G118*I118</f>
        <v>0.50</v>
      </c>
      <c r="K118" s="28">
        <v>1</v>
      </c>
      <c r="L118" s="435">
        <f t="shared" si="32"/>
        <v>0.50</v>
      </c>
      <c r="M118" s="266">
        <f>L118*N118</f>
        <v>100</v>
      </c>
      <c r="N118" s="433">
        <v>200</v>
      </c>
      <c r="O118" s="435">
        <f>J118/I118*K118</f>
        <v>0.25</v>
      </c>
    </row>
    <row r="119" spans="1:15" ht="15">
      <c r="A119" s="39"/>
      <c r="B119" s="649" t="s">
        <v>133</v>
      </c>
      <c r="C119" s="649"/>
      <c r="D119" s="649"/>
      <c r="E119" s="649"/>
      <c r="F119" s="649"/>
      <c r="G119" s="649"/>
      <c r="H119" s="649"/>
      <c r="I119" s="649"/>
      <c r="J119" s="649"/>
      <c r="K119" s="649"/>
      <c r="L119" s="267"/>
      <c r="M119" s="262">
        <f>SUM(M120:M167)</f>
        <v>23384.616886261567</v>
      </c>
      <c r="N119" s="263"/>
      <c r="O119" s="264">
        <f>SUM(O120:O167)</f>
        <v>77.060033884752784</v>
      </c>
    </row>
    <row r="120" spans="1:15" ht="15">
      <c r="A120" s="13" t="s">
        <v>221</v>
      </c>
      <c r="B120" s="56" t="s">
        <v>715</v>
      </c>
      <c r="C120" s="13" t="s">
        <v>24</v>
      </c>
      <c r="D120" s="13">
        <v>112</v>
      </c>
      <c r="E120" s="13"/>
      <c r="F120" s="13" t="s">
        <v>11</v>
      </c>
      <c r="G120" s="432">
        <v>6</v>
      </c>
      <c r="H120" s="440">
        <v>10</v>
      </c>
      <c r="I120" s="28">
        <v>2</v>
      </c>
      <c r="J120" s="441">
        <f t="shared" si="33" ref="J120:J167">H120/G120*I120</f>
        <v>3.3333333333333335</v>
      </c>
      <c r="K120" s="28">
        <v>1</v>
      </c>
      <c r="L120" s="267">
        <f t="shared" si="34" ref="L120:L167">J120*K120</f>
        <v>3.3333333333333335</v>
      </c>
      <c r="M120" s="433">
        <f t="shared" si="35" ref="M120:M167">L120*N120</f>
        <v>666.66666666666674</v>
      </c>
      <c r="N120" s="434">
        <v>200</v>
      </c>
      <c r="O120" s="435">
        <f t="shared" si="36" ref="O120:O167">J120/I120*K120</f>
        <v>1.6666666666666667</v>
      </c>
    </row>
    <row r="121" spans="1:15" ht="30">
      <c r="A121" s="13" t="s">
        <v>225</v>
      </c>
      <c r="B121" s="27" t="s">
        <v>230</v>
      </c>
      <c r="C121" s="13" t="s">
        <v>226</v>
      </c>
      <c r="D121" s="13">
        <v>302</v>
      </c>
      <c r="E121" s="13"/>
      <c r="F121" s="13" t="s">
        <v>227</v>
      </c>
      <c r="G121" s="28">
        <f>600/2.5</f>
        <v>240</v>
      </c>
      <c r="H121" s="440">
        <v>10</v>
      </c>
      <c r="I121" s="28">
        <v>2</v>
      </c>
      <c r="J121" s="441">
        <f t="shared" si="33"/>
        <v>0.083333333333333329</v>
      </c>
      <c r="K121" s="28">
        <v>86</v>
      </c>
      <c r="L121" s="435">
        <f t="shared" si="34"/>
        <v>7.1666666666666661</v>
      </c>
      <c r="M121" s="433">
        <f t="shared" si="35"/>
        <v>1433.3333333333333</v>
      </c>
      <c r="N121" s="433">
        <v>200</v>
      </c>
      <c r="O121" s="435">
        <f t="shared" si="36"/>
        <v>3.583333333333333</v>
      </c>
    </row>
    <row r="122" spans="1:15" ht="30">
      <c r="A122" s="13" t="s">
        <v>228</v>
      </c>
      <c r="B122" s="27" t="s">
        <v>1282</v>
      </c>
      <c r="C122" s="13" t="s">
        <v>24</v>
      </c>
      <c r="D122" s="13">
        <v>110</v>
      </c>
      <c r="E122" s="13"/>
      <c r="F122" s="13" t="s">
        <v>63</v>
      </c>
      <c r="G122" s="28">
        <f>10*40</f>
        <v>400</v>
      </c>
      <c r="H122" s="440">
        <v>10</v>
      </c>
      <c r="I122" s="28">
        <v>2</v>
      </c>
      <c r="J122" s="441">
        <f t="shared" si="33"/>
        <v>0.05</v>
      </c>
      <c r="K122" s="28">
        <v>86</v>
      </c>
      <c r="L122" s="435">
        <f t="shared" si="34"/>
        <v>4.30</v>
      </c>
      <c r="M122" s="433">
        <f t="shared" si="35"/>
        <v>653.60</v>
      </c>
      <c r="N122" s="433">
        <v>152</v>
      </c>
      <c r="O122" s="435">
        <f t="shared" si="36"/>
        <v>2.15</v>
      </c>
    </row>
    <row r="123" spans="1:15" ht="15">
      <c r="A123" s="13" t="s">
        <v>232</v>
      </c>
      <c r="B123" s="27" t="s">
        <v>61</v>
      </c>
      <c r="C123" s="13" t="s">
        <v>62</v>
      </c>
      <c r="D123" s="13">
        <v>112</v>
      </c>
      <c r="E123" s="13"/>
      <c r="F123" s="13" t="s">
        <v>63</v>
      </c>
      <c r="G123" s="28">
        <v>200</v>
      </c>
      <c r="H123" s="440">
        <v>10</v>
      </c>
      <c r="I123" s="28">
        <v>2</v>
      </c>
      <c r="J123" s="441">
        <f t="shared" si="33"/>
        <v>0.10000000000000001</v>
      </c>
      <c r="K123" s="28">
        <v>86</v>
      </c>
      <c r="L123" s="267">
        <f t="shared" si="34"/>
        <v>8.60</v>
      </c>
      <c r="M123" s="433">
        <f t="shared" si="35"/>
        <v>1307.20</v>
      </c>
      <c r="N123" s="434">
        <v>152</v>
      </c>
      <c r="O123" s="435">
        <f t="shared" si="36"/>
        <v>4.30</v>
      </c>
    </row>
    <row r="124" spans="1:15" ht="15">
      <c r="A124" s="13" t="s">
        <v>536</v>
      </c>
      <c r="B124" s="27" t="s">
        <v>537</v>
      </c>
      <c r="C124" s="13" t="s">
        <v>538</v>
      </c>
      <c r="D124" s="13">
        <v>115</v>
      </c>
      <c r="E124" s="13"/>
      <c r="F124" s="13" t="s">
        <v>63</v>
      </c>
      <c r="G124" s="28">
        <v>1200</v>
      </c>
      <c r="H124" s="440">
        <v>10</v>
      </c>
      <c r="I124" s="28">
        <v>1</v>
      </c>
      <c r="J124" s="441">
        <f t="shared" si="33"/>
        <v>0.0083333333333333332</v>
      </c>
      <c r="K124" s="28">
        <v>86</v>
      </c>
      <c r="L124" s="267">
        <f t="shared" si="34"/>
        <v>0.71666666666666667</v>
      </c>
      <c r="M124" s="433">
        <f t="shared" si="35"/>
        <v>143.33333333333334</v>
      </c>
      <c r="N124" s="434">
        <v>200</v>
      </c>
      <c r="O124" s="435">
        <f t="shared" si="36"/>
        <v>0.71666666666666667</v>
      </c>
    </row>
    <row r="125" spans="1:15" ht="30">
      <c r="A125" s="13" t="s">
        <v>233</v>
      </c>
      <c r="B125" s="27" t="s">
        <v>66</v>
      </c>
      <c r="C125" s="13" t="s">
        <v>48</v>
      </c>
      <c r="D125" s="13">
        <v>112</v>
      </c>
      <c r="E125" s="13"/>
      <c r="F125" s="13" t="s">
        <v>67</v>
      </c>
      <c r="G125" s="28">
        <v>80</v>
      </c>
      <c r="H125" s="440">
        <v>10</v>
      </c>
      <c r="I125" s="28">
        <v>2</v>
      </c>
      <c r="J125" s="441">
        <f t="shared" si="33"/>
        <v>0.25</v>
      </c>
      <c r="K125" s="28">
        <v>4</v>
      </c>
      <c r="L125" s="267">
        <f t="shared" si="34"/>
        <v>1</v>
      </c>
      <c r="M125" s="433">
        <f t="shared" si="35"/>
        <v>200</v>
      </c>
      <c r="N125" s="434">
        <v>200</v>
      </c>
      <c r="O125" s="435">
        <f t="shared" si="36"/>
        <v>0.50</v>
      </c>
    </row>
    <row r="126" spans="1:15" ht="15">
      <c r="A126" s="637" t="s">
        <v>234</v>
      </c>
      <c r="B126" s="648" t="s">
        <v>235</v>
      </c>
      <c r="C126" s="13" t="s">
        <v>72</v>
      </c>
      <c r="D126" s="13">
        <v>115</v>
      </c>
      <c r="E126" s="13"/>
      <c r="F126" s="13" t="s">
        <v>236</v>
      </c>
      <c r="G126" s="28">
        <v>30</v>
      </c>
      <c r="H126" s="440">
        <v>10</v>
      </c>
      <c r="I126" s="28">
        <v>2</v>
      </c>
      <c r="J126" s="441">
        <f t="shared" si="33"/>
        <v>0.66666666666666663</v>
      </c>
      <c r="K126" s="28">
        <v>5</v>
      </c>
      <c r="L126" s="267">
        <f t="shared" si="34"/>
        <v>3.333333333333333</v>
      </c>
      <c r="M126" s="433">
        <f t="shared" si="35"/>
        <v>666.66666666666663</v>
      </c>
      <c r="N126" s="434">
        <v>200</v>
      </c>
      <c r="O126" s="435">
        <f t="shared" si="36"/>
        <v>1.6666666666666665</v>
      </c>
    </row>
    <row r="127" spans="1:15" ht="15">
      <c r="A127" s="637"/>
      <c r="B127" s="648"/>
      <c r="C127" s="13" t="s">
        <v>48</v>
      </c>
      <c r="D127" s="13">
        <v>115</v>
      </c>
      <c r="E127" s="13" t="s">
        <v>73</v>
      </c>
      <c r="F127" s="13" t="s">
        <v>10</v>
      </c>
      <c r="G127" s="28">
        <v>40</v>
      </c>
      <c r="H127" s="440">
        <v>10</v>
      </c>
      <c r="I127" s="28">
        <v>1</v>
      </c>
      <c r="J127" s="441">
        <f t="shared" si="33"/>
        <v>0.25</v>
      </c>
      <c r="K127" s="442">
        <f>(750+1550+2580+288+1516)*2/1000</f>
        <v>13.368</v>
      </c>
      <c r="L127" s="267">
        <f t="shared" si="34"/>
        <v>3.3420000000000001</v>
      </c>
      <c r="M127" s="433">
        <f t="shared" si="35"/>
        <v>668.40</v>
      </c>
      <c r="N127" s="434">
        <v>200</v>
      </c>
      <c r="O127" s="435">
        <f t="shared" si="36"/>
        <v>3.3420000000000001</v>
      </c>
    </row>
    <row r="128" spans="1:15" ht="15">
      <c r="A128" s="13" t="s">
        <v>237</v>
      </c>
      <c r="B128" s="56" t="s">
        <v>238</v>
      </c>
      <c r="C128" s="13" t="s">
        <v>69</v>
      </c>
      <c r="D128" s="13">
        <v>110</v>
      </c>
      <c r="E128" s="13"/>
      <c r="F128" s="13" t="s">
        <v>34</v>
      </c>
      <c r="G128" s="28">
        <v>10</v>
      </c>
      <c r="H128" s="440">
        <v>10</v>
      </c>
      <c r="I128" s="28">
        <v>2</v>
      </c>
      <c r="J128" s="441">
        <f t="shared" si="33"/>
        <v>2</v>
      </c>
      <c r="K128" s="28">
        <v>1</v>
      </c>
      <c r="L128" s="267">
        <f t="shared" si="34"/>
        <v>2</v>
      </c>
      <c r="M128" s="433">
        <f t="shared" si="35"/>
        <v>400</v>
      </c>
      <c r="N128" s="434">
        <v>200</v>
      </c>
      <c r="O128" s="435">
        <f t="shared" si="36"/>
        <v>1</v>
      </c>
    </row>
    <row r="129" spans="1:15" ht="30">
      <c r="A129" s="13" t="s">
        <v>896</v>
      </c>
      <c r="B129" s="56" t="s">
        <v>894</v>
      </c>
      <c r="C129" s="13" t="s">
        <v>138</v>
      </c>
      <c r="D129" s="13">
        <v>110</v>
      </c>
      <c r="E129" s="13"/>
      <c r="F129" s="13" t="s">
        <v>12</v>
      </c>
      <c r="G129" s="28">
        <v>12</v>
      </c>
      <c r="H129" s="440">
        <v>10</v>
      </c>
      <c r="I129" s="28">
        <v>2</v>
      </c>
      <c r="J129" s="441">
        <f t="shared" si="33"/>
        <v>1.6666666666666667</v>
      </c>
      <c r="K129" s="28">
        <v>1</v>
      </c>
      <c r="L129" s="267">
        <f t="shared" si="34"/>
        <v>1.6666666666666667</v>
      </c>
      <c r="M129" s="433">
        <f t="shared" si="35"/>
        <v>333.33333333333337</v>
      </c>
      <c r="N129" s="434">
        <v>200</v>
      </c>
      <c r="O129" s="435">
        <f t="shared" si="36"/>
        <v>0.83333333333333337</v>
      </c>
    </row>
    <row r="130" spans="1:15" ht="30">
      <c r="A130" s="13" t="s">
        <v>243</v>
      </c>
      <c r="B130" s="56" t="s">
        <v>244</v>
      </c>
      <c r="C130" s="13" t="s">
        <v>25</v>
      </c>
      <c r="D130" s="13">
        <v>110</v>
      </c>
      <c r="E130" s="13" t="s">
        <v>53</v>
      </c>
      <c r="F130" s="13" t="s">
        <v>10</v>
      </c>
      <c r="G130" s="28">
        <v>40</v>
      </c>
      <c r="H130" s="440">
        <v>10</v>
      </c>
      <c r="I130" s="28">
        <v>1</v>
      </c>
      <c r="J130" s="441">
        <f t="shared" si="33"/>
        <v>0.25</v>
      </c>
      <c r="K130" s="28">
        <f>4252*2/1000</f>
        <v>8.5039999999999996</v>
      </c>
      <c r="L130" s="267">
        <f t="shared" si="34"/>
        <v>2.1259999999999999</v>
      </c>
      <c r="M130" s="433">
        <f t="shared" si="35"/>
        <v>425.20</v>
      </c>
      <c r="N130" s="434">
        <v>200</v>
      </c>
      <c r="O130" s="435">
        <f t="shared" si="36"/>
        <v>2.1259999999999999</v>
      </c>
    </row>
    <row r="131" spans="1:15" ht="15">
      <c r="A131" s="13" t="s">
        <v>237</v>
      </c>
      <c r="B131" s="56" t="s">
        <v>71</v>
      </c>
      <c r="C131" s="13" t="s">
        <v>68</v>
      </c>
      <c r="D131" s="13">
        <v>110</v>
      </c>
      <c r="E131" s="13"/>
      <c r="F131" s="13" t="s">
        <v>34</v>
      </c>
      <c r="G131" s="28">
        <v>20</v>
      </c>
      <c r="H131" s="440">
        <v>10</v>
      </c>
      <c r="I131" s="28">
        <v>2</v>
      </c>
      <c r="J131" s="441">
        <f t="shared" si="33"/>
        <v>1</v>
      </c>
      <c r="K131" s="28">
        <v>1</v>
      </c>
      <c r="L131" s="267">
        <f t="shared" si="34"/>
        <v>1</v>
      </c>
      <c r="M131" s="433">
        <f t="shared" si="35"/>
        <v>200</v>
      </c>
      <c r="N131" s="434">
        <v>200</v>
      </c>
      <c r="O131" s="435">
        <f t="shared" si="36"/>
        <v>0.50</v>
      </c>
    </row>
    <row r="132" spans="1:15" ht="30">
      <c r="A132" s="13" t="s">
        <v>897</v>
      </c>
      <c r="B132" s="56" t="s">
        <v>895</v>
      </c>
      <c r="C132" s="13" t="s">
        <v>138</v>
      </c>
      <c r="D132" s="13">
        <v>110</v>
      </c>
      <c r="E132" s="13"/>
      <c r="F132" s="13" t="s">
        <v>12</v>
      </c>
      <c r="G132" s="28">
        <v>12</v>
      </c>
      <c r="H132" s="440">
        <v>10</v>
      </c>
      <c r="I132" s="28">
        <v>2</v>
      </c>
      <c r="J132" s="441">
        <f t="shared" si="33"/>
        <v>1.6666666666666667</v>
      </c>
      <c r="K132" s="28">
        <v>1</v>
      </c>
      <c r="L132" s="267">
        <f t="shared" si="34"/>
        <v>1.6666666666666667</v>
      </c>
      <c r="M132" s="433">
        <f t="shared" si="35"/>
        <v>333.33333333333337</v>
      </c>
      <c r="N132" s="434">
        <v>200</v>
      </c>
      <c r="O132" s="435">
        <f t="shared" si="36"/>
        <v>0.83333333333333337</v>
      </c>
    </row>
    <row r="133" spans="1:15" ht="30">
      <c r="A133" s="13" t="s">
        <v>249</v>
      </c>
      <c r="B133" s="56" t="s">
        <v>248</v>
      </c>
      <c r="C133" s="13" t="s">
        <v>25</v>
      </c>
      <c r="D133" s="13">
        <v>110</v>
      </c>
      <c r="E133" s="13" t="s">
        <v>53</v>
      </c>
      <c r="F133" s="13" t="s">
        <v>10</v>
      </c>
      <c r="G133" s="28">
        <v>40</v>
      </c>
      <c r="H133" s="440">
        <v>10</v>
      </c>
      <c r="I133" s="28">
        <v>1</v>
      </c>
      <c r="J133" s="441">
        <f t="shared" si="33"/>
        <v>0.25</v>
      </c>
      <c r="K133" s="28">
        <f>4252*2/1000</f>
        <v>8.5039999999999996</v>
      </c>
      <c r="L133" s="267">
        <f t="shared" si="34"/>
        <v>2.1259999999999999</v>
      </c>
      <c r="M133" s="433">
        <f t="shared" si="35"/>
        <v>425.20</v>
      </c>
      <c r="N133" s="434">
        <v>200</v>
      </c>
      <c r="O133" s="435">
        <f t="shared" si="36"/>
        <v>2.1259999999999999</v>
      </c>
    </row>
    <row r="134" spans="1:15" ht="15">
      <c r="A134" s="13" t="s">
        <v>237</v>
      </c>
      <c r="B134" s="56" t="s">
        <v>71</v>
      </c>
      <c r="C134" s="13" t="s">
        <v>68</v>
      </c>
      <c r="D134" s="13">
        <v>110</v>
      </c>
      <c r="E134" s="13"/>
      <c r="F134" s="13" t="s">
        <v>34</v>
      </c>
      <c r="G134" s="28">
        <v>20</v>
      </c>
      <c r="H134" s="440">
        <v>10</v>
      </c>
      <c r="I134" s="28">
        <v>2</v>
      </c>
      <c r="J134" s="441">
        <f t="shared" si="33"/>
        <v>1</v>
      </c>
      <c r="K134" s="28">
        <v>1</v>
      </c>
      <c r="L134" s="267">
        <f t="shared" si="34"/>
        <v>1</v>
      </c>
      <c r="M134" s="433">
        <f t="shared" si="35"/>
        <v>200</v>
      </c>
      <c r="N134" s="434">
        <v>200</v>
      </c>
      <c r="O134" s="435">
        <f t="shared" si="36"/>
        <v>0.50</v>
      </c>
    </row>
    <row r="135" spans="1:15" ht="30">
      <c r="A135" s="13" t="s">
        <v>239</v>
      </c>
      <c r="B135" s="56" t="s">
        <v>240</v>
      </c>
      <c r="C135" s="13" t="s">
        <v>25</v>
      </c>
      <c r="D135" s="13">
        <v>113</v>
      </c>
      <c r="E135" s="13"/>
      <c r="F135" s="13" t="s">
        <v>63</v>
      </c>
      <c r="G135" s="432">
        <v>112</v>
      </c>
      <c r="H135" s="440">
        <v>10</v>
      </c>
      <c r="I135" s="28">
        <v>1</v>
      </c>
      <c r="J135" s="441">
        <f t="shared" si="33"/>
        <v>0.089285714285714288</v>
      </c>
      <c r="K135" s="28">
        <v>86</v>
      </c>
      <c r="L135" s="267">
        <f t="shared" si="34"/>
        <v>7.6785714285714288</v>
      </c>
      <c r="M135" s="433">
        <f t="shared" si="35"/>
        <v>1996.4285714285716</v>
      </c>
      <c r="N135" s="434">
        <v>260</v>
      </c>
      <c r="O135" s="435">
        <f t="shared" si="36"/>
        <v>7.6785714285714288</v>
      </c>
    </row>
    <row r="136" spans="1:15" ht="30">
      <c r="A136" s="13" t="s">
        <v>317</v>
      </c>
      <c r="B136" s="56" t="s">
        <v>242</v>
      </c>
      <c r="C136" s="13" t="s">
        <v>25</v>
      </c>
      <c r="D136" s="13">
        <v>113</v>
      </c>
      <c r="E136" s="13" t="s">
        <v>70</v>
      </c>
      <c r="F136" s="13" t="s">
        <v>10</v>
      </c>
      <c r="G136" s="28">
        <v>40</v>
      </c>
      <c r="H136" s="440">
        <v>10</v>
      </c>
      <c r="I136" s="28">
        <v>1</v>
      </c>
      <c r="J136" s="441">
        <f t="shared" si="33"/>
        <v>0.25</v>
      </c>
      <c r="K136" s="436">
        <f>920/1000*3.1415</f>
        <v>2.8901800000000004</v>
      </c>
      <c r="L136" s="267">
        <f t="shared" si="34"/>
        <v>0.7225450000000001</v>
      </c>
      <c r="M136" s="433">
        <f t="shared" si="35"/>
        <v>144.50900000000001</v>
      </c>
      <c r="N136" s="434">
        <v>200</v>
      </c>
      <c r="O136" s="435">
        <f t="shared" si="36"/>
        <v>0.7225450000000001</v>
      </c>
    </row>
    <row r="137" spans="1:15" ht="30">
      <c r="A137" s="13" t="s">
        <v>245</v>
      </c>
      <c r="B137" s="56" t="s">
        <v>246</v>
      </c>
      <c r="C137" s="13" t="s">
        <v>25</v>
      </c>
      <c r="D137" s="13">
        <v>113</v>
      </c>
      <c r="E137" s="13"/>
      <c r="F137" s="13" t="s">
        <v>63</v>
      </c>
      <c r="G137" s="432">
        <v>112</v>
      </c>
      <c r="H137" s="440">
        <v>10</v>
      </c>
      <c r="I137" s="28">
        <v>1</v>
      </c>
      <c r="J137" s="441">
        <f t="shared" si="33"/>
        <v>0.089285714285714288</v>
      </c>
      <c r="K137" s="28">
        <v>86</v>
      </c>
      <c r="L137" s="267">
        <f t="shared" si="34"/>
        <v>7.6785714285714288</v>
      </c>
      <c r="M137" s="433">
        <f t="shared" si="35"/>
        <v>1996.4285714285716</v>
      </c>
      <c r="N137" s="434">
        <v>260</v>
      </c>
      <c r="O137" s="435">
        <f t="shared" si="36"/>
        <v>7.6785714285714288</v>
      </c>
    </row>
    <row r="138" spans="1:15" ht="15">
      <c r="A138" s="13" t="s">
        <v>741</v>
      </c>
      <c r="B138" s="56" t="s">
        <v>1281</v>
      </c>
      <c r="C138" s="13" t="s">
        <v>33</v>
      </c>
      <c r="D138" s="13">
        <v>115</v>
      </c>
      <c r="E138" s="13"/>
      <c r="F138" s="13"/>
      <c r="G138" s="28">
        <v>5</v>
      </c>
      <c r="H138" s="440">
        <v>10</v>
      </c>
      <c r="I138" s="28">
        <v>1</v>
      </c>
      <c r="J138" s="441">
        <f t="shared" si="33"/>
        <v>2</v>
      </c>
      <c r="K138" s="28">
        <v>1</v>
      </c>
      <c r="L138" s="267">
        <f t="shared" si="34"/>
        <v>2</v>
      </c>
      <c r="M138" s="433">
        <f t="shared" si="35"/>
        <v>400</v>
      </c>
      <c r="N138" s="434">
        <v>200</v>
      </c>
      <c r="O138" s="435">
        <f t="shared" si="36"/>
        <v>2</v>
      </c>
    </row>
    <row r="139" spans="1:15" ht="15">
      <c r="A139" s="645" t="s">
        <v>254</v>
      </c>
      <c r="B139" s="639" t="s">
        <v>884</v>
      </c>
      <c r="C139" s="13" t="s">
        <v>76</v>
      </c>
      <c r="D139" s="13">
        <v>115</v>
      </c>
      <c r="E139" s="13"/>
      <c r="F139" s="13" t="s">
        <v>78</v>
      </c>
      <c r="G139" s="28">
        <v>20</v>
      </c>
      <c r="H139" s="440">
        <v>10</v>
      </c>
      <c r="I139" s="28">
        <v>2</v>
      </c>
      <c r="J139" s="441">
        <f t="shared" si="33"/>
        <v>1</v>
      </c>
      <c r="K139" s="28">
        <v>2</v>
      </c>
      <c r="L139" s="267">
        <f t="shared" si="34"/>
        <v>2</v>
      </c>
      <c r="M139" s="433">
        <f t="shared" si="35"/>
        <v>400</v>
      </c>
      <c r="N139" s="434">
        <v>200</v>
      </c>
      <c r="O139" s="435">
        <f t="shared" si="36"/>
        <v>1</v>
      </c>
    </row>
    <row r="140" spans="1:15" ht="15">
      <c r="A140" s="647"/>
      <c r="B140" s="641"/>
      <c r="C140" s="13" t="s">
        <v>77</v>
      </c>
      <c r="D140" s="13">
        <v>115</v>
      </c>
      <c r="E140" s="13" t="s">
        <v>79</v>
      </c>
      <c r="F140" s="13" t="s">
        <v>10</v>
      </c>
      <c r="G140" s="28">
        <v>40</v>
      </c>
      <c r="H140" s="440">
        <v>10</v>
      </c>
      <c r="I140" s="28">
        <v>1</v>
      </c>
      <c r="J140" s="441">
        <f t="shared" si="33"/>
        <v>0.25</v>
      </c>
      <c r="K140" s="442">
        <f>(116*2*6+130*4)/1000</f>
        <v>1.9119999999999999</v>
      </c>
      <c r="L140" s="267">
        <f t="shared" si="34"/>
        <v>0.47799999999999998</v>
      </c>
      <c r="M140" s="433">
        <f t="shared" si="35"/>
        <v>95.60</v>
      </c>
      <c r="N140" s="434">
        <v>200</v>
      </c>
      <c r="O140" s="435">
        <f t="shared" si="36"/>
        <v>0.47799999999999998</v>
      </c>
    </row>
    <row r="141" spans="1:15" ht="15">
      <c r="A141" s="637" t="s">
        <v>257</v>
      </c>
      <c r="B141" s="638" t="s">
        <v>258</v>
      </c>
      <c r="C141" s="13" t="s">
        <v>259</v>
      </c>
      <c r="D141" s="13">
        <v>107</v>
      </c>
      <c r="E141" s="13" t="s">
        <v>260</v>
      </c>
      <c r="F141" s="13" t="s">
        <v>261</v>
      </c>
      <c r="G141" s="442">
        <f>8*2</f>
        <v>16</v>
      </c>
      <c r="H141" s="468">
        <v>10</v>
      </c>
      <c r="I141" s="432">
        <v>2</v>
      </c>
      <c r="J141" s="468">
        <f t="shared" si="33"/>
        <v>1.25</v>
      </c>
      <c r="K141" s="442">
        <v>1</v>
      </c>
      <c r="L141" s="267">
        <f t="shared" si="34"/>
        <v>1.25</v>
      </c>
      <c r="M141" s="266">
        <f t="shared" si="35"/>
        <v>250</v>
      </c>
      <c r="N141" s="433">
        <v>200</v>
      </c>
      <c r="O141" s="267">
        <f t="shared" si="36"/>
        <v>0.625</v>
      </c>
    </row>
    <row r="142" spans="1:15" ht="15">
      <c r="A142" s="637"/>
      <c r="B142" s="638"/>
      <c r="C142" s="13" t="s">
        <v>262</v>
      </c>
      <c r="D142" s="13">
        <v>107</v>
      </c>
      <c r="E142" s="13" t="s">
        <v>260</v>
      </c>
      <c r="F142" s="13" t="s">
        <v>261</v>
      </c>
      <c r="G142" s="442">
        <v>32</v>
      </c>
      <c r="H142" s="472">
        <v>10</v>
      </c>
      <c r="I142" s="432">
        <v>2</v>
      </c>
      <c r="J142" s="472">
        <f t="shared" si="33"/>
        <v>0.625</v>
      </c>
      <c r="K142" s="442">
        <v>2</v>
      </c>
      <c r="L142" s="435">
        <f t="shared" si="34"/>
        <v>1.25</v>
      </c>
      <c r="M142" s="266">
        <f t="shared" si="35"/>
        <v>250</v>
      </c>
      <c r="N142" s="433">
        <v>200</v>
      </c>
      <c r="O142" s="435">
        <f t="shared" si="36"/>
        <v>0.625</v>
      </c>
    </row>
    <row r="143" spans="1:15" ht="15">
      <c r="A143" s="637"/>
      <c r="B143" s="638"/>
      <c r="C143" s="13" t="s">
        <v>263</v>
      </c>
      <c r="D143" s="13">
        <v>107</v>
      </c>
      <c r="E143" s="13" t="s">
        <v>260</v>
      </c>
      <c r="F143" s="13" t="s">
        <v>261</v>
      </c>
      <c r="G143" s="442">
        <v>90</v>
      </c>
      <c r="H143" s="431">
        <v>10</v>
      </c>
      <c r="I143" s="28">
        <v>2</v>
      </c>
      <c r="J143" s="473">
        <f t="shared" si="33"/>
        <v>0.22222222222222221</v>
      </c>
      <c r="K143" s="442">
        <v>2</v>
      </c>
      <c r="L143" s="435">
        <f t="shared" si="34"/>
        <v>0.44444444444444442</v>
      </c>
      <c r="M143" s="266">
        <f t="shared" si="35"/>
        <v>88.888888888888886</v>
      </c>
      <c r="N143" s="433">
        <v>200</v>
      </c>
      <c r="O143" s="435">
        <f t="shared" si="36"/>
        <v>0.22222222222222221</v>
      </c>
    </row>
    <row r="144" spans="1:15" ht="15">
      <c r="A144" s="637" t="s">
        <v>265</v>
      </c>
      <c r="B144" s="638" t="s">
        <v>266</v>
      </c>
      <c r="C144" s="13" t="s">
        <v>76</v>
      </c>
      <c r="D144" s="13">
        <v>116</v>
      </c>
      <c r="E144" s="13"/>
      <c r="F144" s="13" t="s">
        <v>82</v>
      </c>
      <c r="G144" s="28">
        <v>6</v>
      </c>
      <c r="H144" s="440">
        <v>10</v>
      </c>
      <c r="I144" s="28">
        <v>2</v>
      </c>
      <c r="J144" s="441">
        <f t="shared" si="33"/>
        <v>3.3333333333333335</v>
      </c>
      <c r="K144" s="28">
        <v>1</v>
      </c>
      <c r="L144" s="267">
        <f t="shared" si="34"/>
        <v>3.3333333333333335</v>
      </c>
      <c r="M144" s="433">
        <f t="shared" si="35"/>
        <v>666.66666666666674</v>
      </c>
      <c r="N144" s="434">
        <v>200</v>
      </c>
      <c r="O144" s="435">
        <f t="shared" si="36"/>
        <v>1.6666666666666667</v>
      </c>
    </row>
    <row r="145" spans="1:15" ht="15">
      <c r="A145" s="637"/>
      <c r="B145" s="638"/>
      <c r="C145" s="13" t="s">
        <v>77</v>
      </c>
      <c r="D145" s="13">
        <v>116</v>
      </c>
      <c r="E145" s="13" t="s">
        <v>264</v>
      </c>
      <c r="F145" s="13" t="s">
        <v>10</v>
      </c>
      <c r="G145" s="28">
        <v>40</v>
      </c>
      <c r="H145" s="440">
        <v>10</v>
      </c>
      <c r="I145" s="28">
        <v>1</v>
      </c>
      <c r="J145" s="441">
        <f t="shared" si="33"/>
        <v>0.25</v>
      </c>
      <c r="K145" s="442">
        <f>(133*3.1415*2+273*3.1415)*2/1000</f>
        <v>3.3865370000000001</v>
      </c>
      <c r="L145" s="267">
        <f t="shared" si="34"/>
        <v>0.84663425000000003</v>
      </c>
      <c r="M145" s="433">
        <f t="shared" si="35"/>
        <v>169.32685000000001</v>
      </c>
      <c r="N145" s="434">
        <v>200</v>
      </c>
      <c r="O145" s="435">
        <f t="shared" si="36"/>
        <v>0.84663425000000003</v>
      </c>
    </row>
    <row r="146" spans="1:15" ht="30">
      <c r="A146" s="13" t="s">
        <v>267</v>
      </c>
      <c r="B146" s="27" t="s">
        <v>519</v>
      </c>
      <c r="C146" s="13" t="s">
        <v>77</v>
      </c>
      <c r="D146" s="13">
        <v>116</v>
      </c>
      <c r="E146" s="13"/>
      <c r="F146" s="13" t="s">
        <v>67</v>
      </c>
      <c r="G146" s="28">
        <v>10</v>
      </c>
      <c r="H146" s="440">
        <v>10</v>
      </c>
      <c r="I146" s="28">
        <v>2</v>
      </c>
      <c r="J146" s="441">
        <f t="shared" si="33"/>
        <v>2</v>
      </c>
      <c r="K146" s="28">
        <v>1</v>
      </c>
      <c r="L146" s="267">
        <f t="shared" si="34"/>
        <v>2</v>
      </c>
      <c r="M146" s="433">
        <f t="shared" si="35"/>
        <v>400</v>
      </c>
      <c r="N146" s="434">
        <v>200</v>
      </c>
      <c r="O146" s="435">
        <f t="shared" si="36"/>
        <v>1</v>
      </c>
    </row>
    <row r="147" spans="1:15" ht="15">
      <c r="A147" s="13" t="s">
        <v>268</v>
      </c>
      <c r="B147" s="27" t="s">
        <v>334</v>
      </c>
      <c r="C147" s="13" t="s">
        <v>83</v>
      </c>
      <c r="D147" s="13">
        <v>116</v>
      </c>
      <c r="E147" s="13"/>
      <c r="F147" s="4" t="s">
        <v>84</v>
      </c>
      <c r="G147" s="16">
        <v>10</v>
      </c>
      <c r="H147" s="440">
        <v>10</v>
      </c>
      <c r="I147" s="28">
        <v>2</v>
      </c>
      <c r="J147" s="441">
        <f t="shared" si="33"/>
        <v>2</v>
      </c>
      <c r="K147" s="28">
        <v>1</v>
      </c>
      <c r="L147" s="267">
        <f t="shared" si="34"/>
        <v>2</v>
      </c>
      <c r="M147" s="433">
        <f t="shared" si="35"/>
        <v>400</v>
      </c>
      <c r="N147" s="434">
        <v>200</v>
      </c>
      <c r="O147" s="435">
        <f t="shared" si="36"/>
        <v>1</v>
      </c>
    </row>
    <row r="148" spans="1:15" ht="15">
      <c r="A148" s="13" t="s">
        <v>335</v>
      </c>
      <c r="B148" s="27" t="s">
        <v>336</v>
      </c>
      <c r="C148" s="13" t="s">
        <v>83</v>
      </c>
      <c r="D148" s="13">
        <v>116</v>
      </c>
      <c r="E148" s="13"/>
      <c r="F148" s="4" t="s">
        <v>84</v>
      </c>
      <c r="G148" s="16">
        <v>5</v>
      </c>
      <c r="H148" s="440">
        <v>10</v>
      </c>
      <c r="I148" s="28">
        <v>2</v>
      </c>
      <c r="J148" s="441">
        <f t="shared" si="33"/>
        <v>4</v>
      </c>
      <c r="K148" s="28">
        <v>1</v>
      </c>
      <c r="L148" s="267">
        <f t="shared" si="34"/>
        <v>4</v>
      </c>
      <c r="M148" s="433">
        <f t="shared" si="35"/>
        <v>800</v>
      </c>
      <c r="N148" s="434">
        <v>200</v>
      </c>
      <c r="O148" s="435">
        <f t="shared" si="36"/>
        <v>2</v>
      </c>
    </row>
    <row r="149" spans="1:15" ht="15">
      <c r="A149" s="13" t="s">
        <v>526</v>
      </c>
      <c r="B149" s="56" t="s">
        <v>524</v>
      </c>
      <c r="C149" s="13" t="s">
        <v>523</v>
      </c>
      <c r="D149" s="13">
        <v>224</v>
      </c>
      <c r="E149" s="13"/>
      <c r="F149" s="4" t="s">
        <v>525</v>
      </c>
      <c r="G149" s="28">
        <v>600</v>
      </c>
      <c r="H149" s="431">
        <v>10</v>
      </c>
      <c r="I149" s="28">
        <v>1</v>
      </c>
      <c r="J149" s="441">
        <f t="shared" si="33"/>
        <v>0.016666666666666666</v>
      </c>
      <c r="K149" s="28">
        <v>4</v>
      </c>
      <c r="L149" s="267">
        <f t="shared" si="34"/>
        <v>0.066666666666666666</v>
      </c>
      <c r="M149" s="433">
        <f t="shared" si="35"/>
        <v>11.733333333333333</v>
      </c>
      <c r="N149" s="434">
        <v>176</v>
      </c>
      <c r="O149" s="435">
        <f t="shared" si="36"/>
        <v>0.066666666666666666</v>
      </c>
    </row>
    <row r="150" spans="1:15" ht="15">
      <c r="A150" s="13" t="s">
        <v>269</v>
      </c>
      <c r="B150" s="56" t="s">
        <v>270</v>
      </c>
      <c r="C150" s="13" t="s">
        <v>523</v>
      </c>
      <c r="D150" s="13">
        <v>224</v>
      </c>
      <c r="E150" s="13"/>
      <c r="F150" s="4" t="s">
        <v>88</v>
      </c>
      <c r="G150" s="28">
        <v>300</v>
      </c>
      <c r="H150" s="431">
        <v>10</v>
      </c>
      <c r="I150" s="28">
        <v>1</v>
      </c>
      <c r="J150" s="441">
        <f t="shared" si="33"/>
        <v>0.033333333333333333</v>
      </c>
      <c r="K150" s="28">
        <v>2</v>
      </c>
      <c r="L150" s="267">
        <f t="shared" si="34"/>
        <v>0.066666666666666666</v>
      </c>
      <c r="M150" s="433">
        <f t="shared" si="35"/>
        <v>11.733333333333333</v>
      </c>
      <c r="N150" s="434">
        <v>176</v>
      </c>
      <c r="O150" s="435">
        <f t="shared" si="36"/>
        <v>0.066666666666666666</v>
      </c>
    </row>
    <row r="151" spans="1:15" ht="15">
      <c r="A151" s="13" t="s">
        <v>918</v>
      </c>
      <c r="B151" s="56" t="s">
        <v>898</v>
      </c>
      <c r="C151" s="13" t="s">
        <v>523</v>
      </c>
      <c r="D151" s="13">
        <v>224</v>
      </c>
      <c r="E151" s="13"/>
      <c r="F151" s="4" t="s">
        <v>88</v>
      </c>
      <c r="G151" s="28">
        <v>600</v>
      </c>
      <c r="H151" s="431">
        <v>10</v>
      </c>
      <c r="I151" s="28">
        <v>1</v>
      </c>
      <c r="J151" s="441">
        <f t="shared" si="33"/>
        <v>0.016666666666666666</v>
      </c>
      <c r="K151" s="28">
        <v>1</v>
      </c>
      <c r="L151" s="267">
        <f t="shared" si="34"/>
        <v>0.016666666666666666</v>
      </c>
      <c r="M151" s="433">
        <f t="shared" si="35"/>
        <v>2.9333333333333331</v>
      </c>
      <c r="N151" s="434">
        <v>176</v>
      </c>
      <c r="O151" s="435">
        <f t="shared" si="36"/>
        <v>0.016666666666666666</v>
      </c>
    </row>
    <row r="152" spans="1:15" ht="30">
      <c r="A152" s="13" t="s">
        <v>271</v>
      </c>
      <c r="B152" s="56" t="s">
        <v>85</v>
      </c>
      <c r="C152" s="13" t="s">
        <v>83</v>
      </c>
      <c r="D152" s="13">
        <v>116</v>
      </c>
      <c r="E152" s="13"/>
      <c r="F152" s="13" t="s">
        <v>12</v>
      </c>
      <c r="G152" s="28">
        <v>2</v>
      </c>
      <c r="H152" s="440">
        <v>10</v>
      </c>
      <c r="I152" s="28">
        <v>2</v>
      </c>
      <c r="J152" s="441">
        <f t="shared" si="33"/>
        <v>10</v>
      </c>
      <c r="K152" s="28">
        <v>1</v>
      </c>
      <c r="L152" s="267">
        <f t="shared" si="34"/>
        <v>10</v>
      </c>
      <c r="M152" s="433">
        <f t="shared" si="35"/>
        <v>2000</v>
      </c>
      <c r="N152" s="434">
        <v>200</v>
      </c>
      <c r="O152" s="435">
        <f t="shared" si="36"/>
        <v>5</v>
      </c>
    </row>
    <row r="153" spans="1:15" ht="15">
      <c r="A153" s="13" t="s">
        <v>272</v>
      </c>
      <c r="B153" s="27" t="s">
        <v>337</v>
      </c>
      <c r="C153" s="13" t="s">
        <v>83</v>
      </c>
      <c r="D153" s="13">
        <v>116</v>
      </c>
      <c r="E153" s="13"/>
      <c r="F153" s="4" t="s">
        <v>89</v>
      </c>
      <c r="G153" s="28">
        <v>10</v>
      </c>
      <c r="H153" s="440">
        <v>10</v>
      </c>
      <c r="I153" s="28">
        <v>2</v>
      </c>
      <c r="J153" s="441">
        <f t="shared" si="33"/>
        <v>2</v>
      </c>
      <c r="K153" s="28">
        <v>1</v>
      </c>
      <c r="L153" s="267">
        <f t="shared" si="34"/>
        <v>2</v>
      </c>
      <c r="M153" s="433">
        <f t="shared" si="35"/>
        <v>400</v>
      </c>
      <c r="N153" s="434">
        <v>200</v>
      </c>
      <c r="O153" s="435">
        <f t="shared" si="36"/>
        <v>1</v>
      </c>
    </row>
    <row r="154" spans="1:15" ht="30">
      <c r="A154" s="13" t="s">
        <v>339</v>
      </c>
      <c r="B154" s="27" t="s">
        <v>338</v>
      </c>
      <c r="C154" s="13" t="s">
        <v>83</v>
      </c>
      <c r="D154" s="13">
        <v>116</v>
      </c>
      <c r="E154" s="13"/>
      <c r="F154" s="4" t="s">
        <v>89</v>
      </c>
      <c r="G154" s="28">
        <v>5.30</v>
      </c>
      <c r="H154" s="440">
        <v>10</v>
      </c>
      <c r="I154" s="28">
        <v>2</v>
      </c>
      <c r="J154" s="441">
        <f t="shared" si="33"/>
        <v>3.7735849056603774</v>
      </c>
      <c r="K154" s="28">
        <v>1</v>
      </c>
      <c r="L154" s="267">
        <f t="shared" si="34"/>
        <v>3.7735849056603774</v>
      </c>
      <c r="M154" s="433">
        <f t="shared" si="35"/>
        <v>754.71698113207549</v>
      </c>
      <c r="N154" s="434">
        <v>200</v>
      </c>
      <c r="O154" s="435">
        <f t="shared" si="36"/>
        <v>1.8867924528301887</v>
      </c>
    </row>
    <row r="155" spans="1:15" ht="30">
      <c r="A155" s="13" t="s">
        <v>273</v>
      </c>
      <c r="B155" s="27" t="s">
        <v>125</v>
      </c>
      <c r="C155" s="13" t="s">
        <v>54</v>
      </c>
      <c r="D155" s="13">
        <v>116</v>
      </c>
      <c r="E155" s="13"/>
      <c r="F155" s="4" t="s">
        <v>88</v>
      </c>
      <c r="G155" s="28">
        <v>14</v>
      </c>
      <c r="H155" s="440">
        <v>10</v>
      </c>
      <c r="I155" s="28">
        <v>2</v>
      </c>
      <c r="J155" s="441">
        <f t="shared" si="33"/>
        <v>1.4285714285714286</v>
      </c>
      <c r="K155" s="28">
        <v>2</v>
      </c>
      <c r="L155" s="267">
        <f t="shared" si="34"/>
        <v>2.8571428571428572</v>
      </c>
      <c r="M155" s="433">
        <f t="shared" si="35"/>
        <v>571.42857142857144</v>
      </c>
      <c r="N155" s="434">
        <v>200</v>
      </c>
      <c r="O155" s="435">
        <f t="shared" si="36"/>
        <v>1.4285714285714286</v>
      </c>
    </row>
    <row r="156" spans="1:15" ht="30">
      <c r="A156" s="523" t="s">
        <v>1668</v>
      </c>
      <c r="B156" s="522" t="s">
        <v>1670</v>
      </c>
      <c r="C156" s="523" t="s">
        <v>33</v>
      </c>
      <c r="D156" s="523">
        <v>116</v>
      </c>
      <c r="E156" s="523"/>
      <c r="F156" s="523" t="s">
        <v>1666</v>
      </c>
      <c r="G156" s="527">
        <v>10</v>
      </c>
      <c r="H156" s="530">
        <v>10</v>
      </c>
      <c r="I156" s="527">
        <v>2</v>
      </c>
      <c r="J156" s="531">
        <f t="shared" si="33"/>
        <v>2</v>
      </c>
      <c r="K156" s="527">
        <v>1</v>
      </c>
      <c r="L156" s="267">
        <f t="shared" si="34"/>
        <v>2</v>
      </c>
      <c r="M156" s="433">
        <f t="shared" si="35"/>
        <v>400</v>
      </c>
      <c r="N156" s="434">
        <v>200</v>
      </c>
      <c r="O156" s="435">
        <f t="shared" si="36"/>
        <v>1</v>
      </c>
    </row>
    <row r="157" spans="1:15" ht="30">
      <c r="A157" s="523" t="s">
        <v>1669</v>
      </c>
      <c r="B157" s="522" t="s">
        <v>1671</v>
      </c>
      <c r="C157" s="523" t="s">
        <v>33</v>
      </c>
      <c r="D157" s="523">
        <v>116</v>
      </c>
      <c r="E157" s="523"/>
      <c r="F157" s="523" t="s">
        <v>10</v>
      </c>
      <c r="G157" s="527">
        <v>40</v>
      </c>
      <c r="H157" s="530">
        <v>10</v>
      </c>
      <c r="I157" s="527">
        <v>1</v>
      </c>
      <c r="J157" s="531">
        <f t="shared" si="33"/>
        <v>0.25</v>
      </c>
      <c r="K157" s="525">
        <f>4441/1000</f>
        <v>4.4409999999999998</v>
      </c>
      <c r="L157" s="267">
        <f t="shared" si="34"/>
        <v>1.11025</v>
      </c>
      <c r="M157" s="433">
        <f t="shared" si="35"/>
        <v>222.04999999999998</v>
      </c>
      <c r="N157" s="434">
        <v>200</v>
      </c>
      <c r="O157" s="435">
        <f t="shared" si="36"/>
        <v>1.11025</v>
      </c>
    </row>
    <row r="158" spans="1:15" ht="15">
      <c r="A158" s="13" t="s">
        <v>274</v>
      </c>
      <c r="B158" s="27" t="s">
        <v>275</v>
      </c>
      <c r="C158" s="13" t="s">
        <v>83</v>
      </c>
      <c r="D158" s="13">
        <v>116</v>
      </c>
      <c r="E158" s="13"/>
      <c r="F158" s="4" t="s">
        <v>276</v>
      </c>
      <c r="G158" s="28">
        <v>20</v>
      </c>
      <c r="H158" s="440">
        <v>10</v>
      </c>
      <c r="I158" s="28">
        <v>2</v>
      </c>
      <c r="J158" s="441">
        <f t="shared" si="33"/>
        <v>1</v>
      </c>
      <c r="K158" s="28">
        <v>1</v>
      </c>
      <c r="L158" s="267">
        <f t="shared" si="34"/>
        <v>1</v>
      </c>
      <c r="M158" s="433">
        <f t="shared" si="35"/>
        <v>200</v>
      </c>
      <c r="N158" s="434">
        <v>200</v>
      </c>
      <c r="O158" s="435">
        <f t="shared" si="36"/>
        <v>0.50</v>
      </c>
    </row>
    <row r="159" spans="1:15" ht="15">
      <c r="A159" s="13" t="s">
        <v>277</v>
      </c>
      <c r="B159" s="27" t="s">
        <v>278</v>
      </c>
      <c r="C159" s="13" t="s">
        <v>83</v>
      </c>
      <c r="D159" s="13">
        <v>116</v>
      </c>
      <c r="E159" s="13"/>
      <c r="F159" s="4" t="s">
        <v>90</v>
      </c>
      <c r="G159" s="28">
        <v>15</v>
      </c>
      <c r="H159" s="440">
        <v>10</v>
      </c>
      <c r="I159" s="28">
        <v>2</v>
      </c>
      <c r="J159" s="441">
        <f t="shared" si="33"/>
        <v>1.3333333333333333</v>
      </c>
      <c r="K159" s="28">
        <v>1</v>
      </c>
      <c r="L159" s="267">
        <f t="shared" si="34"/>
        <v>1.3333333333333333</v>
      </c>
      <c r="M159" s="433">
        <f t="shared" si="35"/>
        <v>266.66666666666663</v>
      </c>
      <c r="N159" s="434">
        <v>200</v>
      </c>
      <c r="O159" s="435">
        <f t="shared" si="36"/>
        <v>0.66666666666666663</v>
      </c>
    </row>
    <row r="160" spans="1:15" ht="15">
      <c r="A160" s="13" t="s">
        <v>279</v>
      </c>
      <c r="B160" s="27" t="s">
        <v>280</v>
      </c>
      <c r="C160" s="13" t="s">
        <v>29</v>
      </c>
      <c r="D160" s="13">
        <v>120</v>
      </c>
      <c r="E160" s="13"/>
      <c r="F160" s="13" t="s">
        <v>12</v>
      </c>
      <c r="G160" s="28">
        <v>10</v>
      </c>
      <c r="H160" s="440">
        <v>10</v>
      </c>
      <c r="I160" s="28">
        <v>1</v>
      </c>
      <c r="J160" s="441">
        <f t="shared" si="33"/>
        <v>1</v>
      </c>
      <c r="K160" s="28">
        <v>1</v>
      </c>
      <c r="L160" s="435">
        <f t="shared" si="34"/>
        <v>1</v>
      </c>
      <c r="M160" s="266">
        <f t="shared" si="35"/>
        <v>176</v>
      </c>
      <c r="N160" s="433">
        <v>176</v>
      </c>
      <c r="O160" s="435">
        <f t="shared" si="36"/>
        <v>1</v>
      </c>
    </row>
    <row r="161" spans="1:15" ht="15">
      <c r="A161" s="13" t="s">
        <v>281</v>
      </c>
      <c r="B161" s="56" t="s">
        <v>30</v>
      </c>
      <c r="C161" s="13" t="s">
        <v>29</v>
      </c>
      <c r="D161" s="13">
        <v>120</v>
      </c>
      <c r="E161" s="13"/>
      <c r="F161" s="13" t="s">
        <v>12</v>
      </c>
      <c r="G161" s="436">
        <v>3.35</v>
      </c>
      <c r="H161" s="440">
        <v>10</v>
      </c>
      <c r="I161" s="28">
        <v>1</v>
      </c>
      <c r="J161" s="441">
        <f t="shared" si="33"/>
        <v>2.9850746268656714</v>
      </c>
      <c r="K161" s="28">
        <v>1</v>
      </c>
      <c r="L161" s="267">
        <f t="shared" si="34"/>
        <v>2.9850746268656714</v>
      </c>
      <c r="M161" s="433">
        <f t="shared" si="35"/>
        <v>525.37313432835822</v>
      </c>
      <c r="N161" s="434">
        <v>176</v>
      </c>
      <c r="O161" s="435">
        <f t="shared" si="36"/>
        <v>2.9850746268656714</v>
      </c>
    </row>
    <row r="162" spans="1:15" ht="30">
      <c r="A162" s="13" t="s">
        <v>282</v>
      </c>
      <c r="B162" s="56" t="s">
        <v>283</v>
      </c>
      <c r="C162" s="13" t="s">
        <v>29</v>
      </c>
      <c r="D162" s="13">
        <v>120</v>
      </c>
      <c r="E162" s="13"/>
      <c r="F162" s="13" t="s">
        <v>12</v>
      </c>
      <c r="G162" s="436">
        <v>3.82</v>
      </c>
      <c r="H162" s="440">
        <v>10</v>
      </c>
      <c r="I162" s="28">
        <v>1</v>
      </c>
      <c r="J162" s="441">
        <f t="shared" si="33"/>
        <v>2.6178010471204192</v>
      </c>
      <c r="K162" s="28">
        <v>1</v>
      </c>
      <c r="L162" s="267">
        <f t="shared" si="34"/>
        <v>2.6178010471204192</v>
      </c>
      <c r="M162" s="433">
        <f t="shared" si="35"/>
        <v>460.73298429319379</v>
      </c>
      <c r="N162" s="434">
        <v>176</v>
      </c>
      <c r="O162" s="435">
        <f t="shared" si="36"/>
        <v>2.6178010471204192</v>
      </c>
    </row>
    <row r="163" spans="1:15" ht="15">
      <c r="A163" s="13" t="s">
        <v>902</v>
      </c>
      <c r="B163" s="56" t="s">
        <v>996</v>
      </c>
      <c r="C163" s="13" t="s">
        <v>523</v>
      </c>
      <c r="D163" s="13">
        <v>224</v>
      </c>
      <c r="E163" s="13"/>
      <c r="F163" s="4" t="s">
        <v>900</v>
      </c>
      <c r="G163" s="28">
        <v>600</v>
      </c>
      <c r="H163" s="431">
        <v>10</v>
      </c>
      <c r="I163" s="28">
        <v>1</v>
      </c>
      <c r="J163" s="441">
        <f t="shared" si="33"/>
        <v>0.016666666666666666</v>
      </c>
      <c r="K163" s="28">
        <v>1</v>
      </c>
      <c r="L163" s="267">
        <f t="shared" si="34"/>
        <v>0.016666666666666666</v>
      </c>
      <c r="M163" s="433">
        <f t="shared" si="35"/>
        <v>2.9333333333333331</v>
      </c>
      <c r="N163" s="434">
        <v>176</v>
      </c>
      <c r="O163" s="435">
        <f t="shared" si="36"/>
        <v>0.016666666666666666</v>
      </c>
    </row>
    <row r="164" spans="1:15" ht="15">
      <c r="A164" s="13" t="s">
        <v>285</v>
      </c>
      <c r="B164" s="56" t="s">
        <v>901</v>
      </c>
      <c r="C164" s="13" t="s">
        <v>83</v>
      </c>
      <c r="D164" s="13">
        <v>116</v>
      </c>
      <c r="E164" s="13"/>
      <c r="F164" s="13" t="s">
        <v>12</v>
      </c>
      <c r="G164" s="28">
        <v>8</v>
      </c>
      <c r="H164" s="440">
        <v>10</v>
      </c>
      <c r="I164" s="28">
        <v>2</v>
      </c>
      <c r="J164" s="441">
        <f t="shared" si="33"/>
        <v>2.50</v>
      </c>
      <c r="K164" s="28">
        <v>1</v>
      </c>
      <c r="L164" s="267">
        <f t="shared" si="34"/>
        <v>2.50</v>
      </c>
      <c r="M164" s="433">
        <f t="shared" si="35"/>
        <v>500</v>
      </c>
      <c r="N164" s="434">
        <v>200</v>
      </c>
      <c r="O164" s="435">
        <f t="shared" si="36"/>
        <v>1.25</v>
      </c>
    </row>
    <row r="165" spans="1:15" ht="15">
      <c r="A165" s="645" t="s">
        <v>997</v>
      </c>
      <c r="B165" s="639" t="s">
        <v>998</v>
      </c>
      <c r="C165" s="13" t="s">
        <v>76</v>
      </c>
      <c r="D165" s="13">
        <v>116</v>
      </c>
      <c r="E165" s="13"/>
      <c r="F165" s="13" t="s">
        <v>78</v>
      </c>
      <c r="G165" s="28">
        <v>40</v>
      </c>
      <c r="H165" s="440">
        <v>10</v>
      </c>
      <c r="I165" s="28">
        <v>2</v>
      </c>
      <c r="J165" s="441">
        <f t="shared" si="33"/>
        <v>0.50</v>
      </c>
      <c r="K165" s="28">
        <v>4</v>
      </c>
      <c r="L165" s="267">
        <f t="shared" si="34"/>
        <v>2</v>
      </c>
      <c r="M165" s="433">
        <f t="shared" si="35"/>
        <v>400</v>
      </c>
      <c r="N165" s="434">
        <v>200</v>
      </c>
      <c r="O165" s="435">
        <f t="shared" si="36"/>
        <v>1</v>
      </c>
    </row>
    <row r="166" spans="1:15" ht="15">
      <c r="A166" s="647"/>
      <c r="B166" s="641"/>
      <c r="C166" s="13" t="s">
        <v>77</v>
      </c>
      <c r="D166" s="13">
        <v>116</v>
      </c>
      <c r="E166" s="13" t="s">
        <v>999</v>
      </c>
      <c r="F166" s="13" t="s">
        <v>10</v>
      </c>
      <c r="G166" s="28">
        <v>40</v>
      </c>
      <c r="H166" s="440">
        <v>10</v>
      </c>
      <c r="I166" s="28">
        <v>1</v>
      </c>
      <c r="J166" s="441">
        <f t="shared" si="33"/>
        <v>0.25</v>
      </c>
      <c r="K166" s="442">
        <f>(1061*2*2)/1000</f>
        <v>4.2439999999999998</v>
      </c>
      <c r="L166" s="267">
        <f t="shared" si="34"/>
        <v>1.0609999999999999</v>
      </c>
      <c r="M166" s="433">
        <f t="shared" si="35"/>
        <v>212.20</v>
      </c>
      <c r="N166" s="434">
        <v>200</v>
      </c>
      <c r="O166" s="435">
        <f t="shared" si="36"/>
        <v>1.0609999999999999</v>
      </c>
    </row>
    <row r="167" spans="1:15" ht="15">
      <c r="A167" s="13" t="s">
        <v>286</v>
      </c>
      <c r="B167" s="27" t="s">
        <v>288</v>
      </c>
      <c r="C167" s="13" t="s">
        <v>287</v>
      </c>
      <c r="D167" s="13">
        <v>116</v>
      </c>
      <c r="E167" s="13"/>
      <c r="F167" s="13" t="s">
        <v>67</v>
      </c>
      <c r="G167" s="28">
        <v>40</v>
      </c>
      <c r="H167" s="440">
        <v>10</v>
      </c>
      <c r="I167" s="28">
        <v>1</v>
      </c>
      <c r="J167" s="441">
        <f t="shared" si="33"/>
        <v>0.25</v>
      </c>
      <c r="K167" s="28">
        <v>4</v>
      </c>
      <c r="L167" s="267">
        <f t="shared" si="34"/>
        <v>1</v>
      </c>
      <c r="M167" s="433">
        <f t="shared" si="35"/>
        <v>152</v>
      </c>
      <c r="N167" s="434">
        <v>152</v>
      </c>
      <c r="O167" s="435">
        <f t="shared" si="36"/>
        <v>1</v>
      </c>
    </row>
    <row r="168" spans="1:15" ht="15">
      <c r="A168" s="39"/>
      <c r="B168" s="649" t="s">
        <v>134</v>
      </c>
      <c r="C168" s="649"/>
      <c r="D168" s="649"/>
      <c r="E168" s="649"/>
      <c r="F168" s="649"/>
      <c r="G168" s="649"/>
      <c r="H168" s="649"/>
      <c r="I168" s="649"/>
      <c r="J168" s="649"/>
      <c r="K168" s="649"/>
      <c r="L168" s="267"/>
      <c r="M168" s="262">
        <f>SUM(M169:M190)</f>
        <v>11315.813630285162</v>
      </c>
      <c r="N168" s="263"/>
      <c r="O168" s="264">
        <f>SUM(O169:O190)</f>
        <v>45.536671536213845</v>
      </c>
    </row>
    <row r="169" spans="1:16" ht="30">
      <c r="A169" s="13" t="s">
        <v>297</v>
      </c>
      <c r="B169" s="56" t="s">
        <v>298</v>
      </c>
      <c r="C169" s="13" t="s">
        <v>33</v>
      </c>
      <c r="D169" s="13">
        <v>116</v>
      </c>
      <c r="E169" s="13"/>
      <c r="F169" s="13" t="s">
        <v>96</v>
      </c>
      <c r="G169" s="432">
        <v>10</v>
      </c>
      <c r="H169" s="440">
        <v>10</v>
      </c>
      <c r="I169" s="28">
        <v>2</v>
      </c>
      <c r="J169" s="441">
        <f t="shared" si="37" ref="J169:J190">H169/G169*I169</f>
        <v>2</v>
      </c>
      <c r="K169" s="28">
        <v>1</v>
      </c>
      <c r="L169" s="267">
        <f t="shared" si="38" ref="L169:L190">J169*K169</f>
        <v>2</v>
      </c>
      <c r="M169" s="433">
        <f t="shared" si="39" ref="M169:M190">L169*N169</f>
        <v>400</v>
      </c>
      <c r="N169" s="434">
        <v>200</v>
      </c>
      <c r="O169" s="435">
        <f t="shared" si="40" ref="O169:O190">J169/I169*K169</f>
        <v>1</v>
      </c>
      <c r="P169" s="22"/>
    </row>
    <row r="170" spans="1:16" ht="30">
      <c r="A170" s="523" t="s">
        <v>1663</v>
      </c>
      <c r="B170" s="522" t="s">
        <v>1665</v>
      </c>
      <c r="C170" s="523" t="s">
        <v>33</v>
      </c>
      <c r="D170" s="523">
        <v>116</v>
      </c>
      <c r="E170" s="523"/>
      <c r="F170" s="523" t="s">
        <v>1666</v>
      </c>
      <c r="G170" s="527">
        <v>10</v>
      </c>
      <c r="H170" s="530">
        <v>10</v>
      </c>
      <c r="I170" s="527">
        <v>2</v>
      </c>
      <c r="J170" s="531">
        <f t="shared" si="37"/>
        <v>2</v>
      </c>
      <c r="K170" s="527">
        <v>1</v>
      </c>
      <c r="L170" s="267">
        <f t="shared" si="38"/>
        <v>2</v>
      </c>
      <c r="M170" s="433">
        <f t="shared" si="39"/>
        <v>400</v>
      </c>
      <c r="N170" s="434">
        <v>200</v>
      </c>
      <c r="O170" s="435">
        <f t="shared" si="40"/>
        <v>1</v>
      </c>
      <c r="P170" s="22"/>
    </row>
    <row r="171" spans="1:16" ht="30">
      <c r="A171" s="523" t="s">
        <v>1664</v>
      </c>
      <c r="B171" s="522" t="s">
        <v>1667</v>
      </c>
      <c r="C171" s="523" t="s">
        <v>33</v>
      </c>
      <c r="D171" s="523">
        <v>116</v>
      </c>
      <c r="E171" s="523"/>
      <c r="F171" s="523" t="s">
        <v>10</v>
      </c>
      <c r="G171" s="527">
        <v>40</v>
      </c>
      <c r="H171" s="530">
        <v>10</v>
      </c>
      <c r="I171" s="527">
        <v>1</v>
      </c>
      <c r="J171" s="531">
        <f t="shared" si="37"/>
        <v>0.25</v>
      </c>
      <c r="K171" s="525">
        <f>4296/1000</f>
        <v>4.2960000000000003</v>
      </c>
      <c r="L171" s="267">
        <f t="shared" si="38"/>
        <v>1.0740000000000001</v>
      </c>
      <c r="M171" s="433">
        <f t="shared" si="39"/>
        <v>214.80</v>
      </c>
      <c r="N171" s="434">
        <v>200</v>
      </c>
      <c r="O171" s="435">
        <f t="shared" si="40"/>
        <v>1.0740000000000001</v>
      </c>
      <c r="P171" s="22"/>
    </row>
    <row r="172" spans="1:16" ht="30">
      <c r="A172" s="13" t="s">
        <v>299</v>
      </c>
      <c r="B172" s="56" t="s">
        <v>300</v>
      </c>
      <c r="C172" s="13" t="s">
        <v>33</v>
      </c>
      <c r="D172" s="13">
        <v>119</v>
      </c>
      <c r="E172" s="13"/>
      <c r="F172" s="13" t="s">
        <v>96</v>
      </c>
      <c r="G172" s="442">
        <v>6.47</v>
      </c>
      <c r="H172" s="440">
        <v>10</v>
      </c>
      <c r="I172" s="28">
        <v>2</v>
      </c>
      <c r="J172" s="441">
        <f t="shared" si="37"/>
        <v>3.091190108191654</v>
      </c>
      <c r="K172" s="28">
        <v>1</v>
      </c>
      <c r="L172" s="267">
        <f t="shared" si="38"/>
        <v>3.091190108191654</v>
      </c>
      <c r="M172" s="433">
        <f t="shared" si="39"/>
        <v>618.23802163833079</v>
      </c>
      <c r="N172" s="434">
        <v>200</v>
      </c>
      <c r="O172" s="435">
        <f t="shared" si="40"/>
        <v>1.545595054095827</v>
      </c>
      <c r="P172" s="22"/>
    </row>
    <row r="173" spans="1:16" ht="30">
      <c r="A173" s="13" t="s">
        <v>301</v>
      </c>
      <c r="B173" s="27" t="s">
        <v>97</v>
      </c>
      <c r="C173" s="13" t="s">
        <v>83</v>
      </c>
      <c r="D173" s="13">
        <v>119</v>
      </c>
      <c r="E173" s="13"/>
      <c r="F173" s="13" t="s">
        <v>12</v>
      </c>
      <c r="G173" s="442">
        <v>2.95</v>
      </c>
      <c r="H173" s="440">
        <v>10</v>
      </c>
      <c r="I173" s="28">
        <v>2</v>
      </c>
      <c r="J173" s="441">
        <f t="shared" si="37"/>
        <v>6.7796610169491522</v>
      </c>
      <c r="K173" s="28">
        <v>1</v>
      </c>
      <c r="L173" s="267">
        <f t="shared" si="38"/>
        <v>6.7796610169491522</v>
      </c>
      <c r="M173" s="433">
        <f t="shared" si="39"/>
        <v>1355.9322033898304</v>
      </c>
      <c r="N173" s="434">
        <v>200</v>
      </c>
      <c r="O173" s="435">
        <f t="shared" si="40"/>
        <v>3.3898305084745761</v>
      </c>
      <c r="P173" s="22"/>
    </row>
    <row r="174" spans="1:15" ht="15">
      <c r="A174" s="57" t="s">
        <v>530</v>
      </c>
      <c r="B174" s="269" t="s">
        <v>531</v>
      </c>
      <c r="C174" s="13" t="s">
        <v>33</v>
      </c>
      <c r="D174" s="13">
        <v>226</v>
      </c>
      <c r="E174" s="13"/>
      <c r="F174" s="13" t="s">
        <v>12</v>
      </c>
      <c r="G174" s="28">
        <v>10</v>
      </c>
      <c r="H174" s="440">
        <v>10</v>
      </c>
      <c r="I174" s="28">
        <v>1</v>
      </c>
      <c r="J174" s="441">
        <f t="shared" si="37"/>
        <v>1</v>
      </c>
      <c r="K174" s="442">
        <v>1</v>
      </c>
      <c r="L174" s="267">
        <f t="shared" si="38"/>
        <v>1</v>
      </c>
      <c r="M174" s="266">
        <f t="shared" si="39"/>
        <v>200</v>
      </c>
      <c r="N174" s="433">
        <v>200</v>
      </c>
      <c r="O174" s="435">
        <f t="shared" si="40"/>
        <v>1</v>
      </c>
    </row>
    <row r="175" spans="1:16" ht="15">
      <c r="A175" s="13" t="s">
        <v>290</v>
      </c>
      <c r="B175" s="27" t="s">
        <v>31</v>
      </c>
      <c r="C175" s="13" t="s">
        <v>14</v>
      </c>
      <c r="D175" s="13">
        <v>226</v>
      </c>
      <c r="E175" s="13"/>
      <c r="F175" s="13" t="s">
        <v>58</v>
      </c>
      <c r="G175" s="28">
        <v>61</v>
      </c>
      <c r="H175" s="440">
        <v>10</v>
      </c>
      <c r="I175" s="28">
        <v>1</v>
      </c>
      <c r="J175" s="441">
        <f t="shared" si="37"/>
        <v>0.16393442622950818</v>
      </c>
      <c r="K175" s="28">
        <v>14.56</v>
      </c>
      <c r="L175" s="267">
        <f t="shared" si="38"/>
        <v>2.3868852459016394</v>
      </c>
      <c r="M175" s="433">
        <f t="shared" si="39"/>
        <v>477.3770491803279</v>
      </c>
      <c r="N175" s="434">
        <v>200</v>
      </c>
      <c r="O175" s="435">
        <f t="shared" si="40"/>
        <v>2.3868852459016394</v>
      </c>
      <c r="P175" s="22"/>
    </row>
    <row r="176" spans="1:16" ht="15">
      <c r="A176" s="13" t="s">
        <v>302</v>
      </c>
      <c r="B176" s="27" t="s">
        <v>903</v>
      </c>
      <c r="C176" s="13" t="s">
        <v>523</v>
      </c>
      <c r="D176" s="13">
        <v>224</v>
      </c>
      <c r="E176" s="13"/>
      <c r="F176" s="13" t="s">
        <v>400</v>
      </c>
      <c r="G176" s="442">
        <v>30</v>
      </c>
      <c r="H176" s="440">
        <v>10</v>
      </c>
      <c r="I176" s="28">
        <v>2</v>
      </c>
      <c r="J176" s="441">
        <f t="shared" si="37"/>
        <v>0.66666666666666663</v>
      </c>
      <c r="K176" s="28">
        <v>1</v>
      </c>
      <c r="L176" s="267">
        <f t="shared" si="38"/>
        <v>0.66666666666666663</v>
      </c>
      <c r="M176" s="433">
        <f t="shared" si="39"/>
        <v>117.33333333333333</v>
      </c>
      <c r="N176" s="434">
        <v>176</v>
      </c>
      <c r="O176" s="435">
        <f t="shared" si="40"/>
        <v>0.33333333333333331</v>
      </c>
      <c r="P176" s="22"/>
    </row>
    <row r="177" spans="1:16" ht="15">
      <c r="A177" s="13" t="s">
        <v>292</v>
      </c>
      <c r="B177" s="27" t="s">
        <v>21</v>
      </c>
      <c r="C177" s="13" t="s">
        <v>33</v>
      </c>
      <c r="D177" s="13">
        <v>219</v>
      </c>
      <c r="E177" s="13"/>
      <c r="F177" s="13" t="s">
        <v>12</v>
      </c>
      <c r="G177" s="569">
        <f>1.63*2</f>
        <v>3.26</v>
      </c>
      <c r="H177" s="440">
        <v>10</v>
      </c>
      <c r="I177" s="28">
        <v>2</v>
      </c>
      <c r="J177" s="441">
        <f t="shared" si="37"/>
        <v>6.1349693251533743</v>
      </c>
      <c r="K177" s="28">
        <v>1</v>
      </c>
      <c r="L177" s="267">
        <f t="shared" si="38"/>
        <v>6.1349693251533743</v>
      </c>
      <c r="M177" s="433">
        <f t="shared" si="39"/>
        <v>1018.4049079754601</v>
      </c>
      <c r="N177" s="434">
        <v>166</v>
      </c>
      <c r="O177" s="435">
        <f t="shared" si="40"/>
        <v>3.0674846625766872</v>
      </c>
      <c r="P177" s="22"/>
    </row>
    <row r="178" spans="1:16" ht="30">
      <c r="A178" s="13" t="s">
        <v>406</v>
      </c>
      <c r="B178" s="27" t="s">
        <v>407</v>
      </c>
      <c r="C178" s="13" t="s">
        <v>14</v>
      </c>
      <c r="D178" s="13">
        <v>226</v>
      </c>
      <c r="E178" s="13"/>
      <c r="F178" s="13" t="s">
        <v>12</v>
      </c>
      <c r="G178" s="442">
        <v>61</v>
      </c>
      <c r="H178" s="440">
        <v>10</v>
      </c>
      <c r="I178" s="28">
        <v>1</v>
      </c>
      <c r="J178" s="441">
        <f t="shared" si="37"/>
        <v>0.16393442622950818</v>
      </c>
      <c r="K178" s="28">
        <v>2.15</v>
      </c>
      <c r="L178" s="435">
        <f t="shared" si="38"/>
        <v>0.35245901639344257</v>
      </c>
      <c r="M178" s="266">
        <f t="shared" si="39"/>
        <v>70.491803278688508</v>
      </c>
      <c r="N178" s="433">
        <v>200</v>
      </c>
      <c r="O178" s="435">
        <f t="shared" si="40"/>
        <v>0.35245901639344257</v>
      </c>
      <c r="P178" s="22"/>
    </row>
    <row r="179" spans="1:16" ht="15">
      <c r="A179" s="13" t="s">
        <v>291</v>
      </c>
      <c r="B179" s="27" t="s">
        <v>101</v>
      </c>
      <c r="C179" s="13" t="s">
        <v>33</v>
      </c>
      <c r="D179" s="13">
        <v>219</v>
      </c>
      <c r="E179" s="13"/>
      <c r="F179" s="13" t="s">
        <v>12</v>
      </c>
      <c r="G179" s="442">
        <v>4.4000000000000004</v>
      </c>
      <c r="H179" s="440">
        <v>10</v>
      </c>
      <c r="I179" s="28">
        <v>2</v>
      </c>
      <c r="J179" s="441">
        <f t="shared" si="37"/>
        <v>4.545454545454545</v>
      </c>
      <c r="K179" s="28">
        <v>1</v>
      </c>
      <c r="L179" s="267">
        <f t="shared" si="38"/>
        <v>4.545454545454545</v>
      </c>
      <c r="M179" s="433">
        <f t="shared" si="39"/>
        <v>909.09090909090901</v>
      </c>
      <c r="N179" s="434">
        <v>200</v>
      </c>
      <c r="O179" s="435">
        <f t="shared" si="40"/>
        <v>2.2727272727272725</v>
      </c>
      <c r="P179" s="22"/>
    </row>
    <row r="180" spans="1:16" ht="15">
      <c r="A180" s="13" t="s">
        <v>303</v>
      </c>
      <c r="B180" s="27" t="s">
        <v>304</v>
      </c>
      <c r="C180" s="13" t="s">
        <v>226</v>
      </c>
      <c r="D180" s="13">
        <v>302</v>
      </c>
      <c r="E180" s="13"/>
      <c r="F180" s="13" t="s">
        <v>103</v>
      </c>
      <c r="G180" s="432">
        <v>76</v>
      </c>
      <c r="H180" s="440">
        <v>10</v>
      </c>
      <c r="I180" s="28">
        <v>1</v>
      </c>
      <c r="J180" s="441">
        <f t="shared" si="37"/>
        <v>0.13157894736842105</v>
      </c>
      <c r="K180" s="28">
        <v>86</v>
      </c>
      <c r="L180" s="267">
        <f t="shared" si="38"/>
        <v>11.315789473684211</v>
      </c>
      <c r="M180" s="433">
        <f t="shared" si="39"/>
        <v>1991.578947368421</v>
      </c>
      <c r="N180" s="434">
        <v>176</v>
      </c>
      <c r="O180" s="435">
        <f t="shared" si="40"/>
        <v>11.315789473684211</v>
      </c>
      <c r="P180" s="22"/>
    </row>
    <row r="181" spans="1:16" ht="15">
      <c r="A181" s="13" t="s">
        <v>293</v>
      </c>
      <c r="B181" s="27" t="s">
        <v>102</v>
      </c>
      <c r="C181" s="13" t="s">
        <v>33</v>
      </c>
      <c r="D181" s="13">
        <v>219</v>
      </c>
      <c r="E181" s="13"/>
      <c r="F181" s="13" t="s">
        <v>103</v>
      </c>
      <c r="G181" s="28">
        <f>10*60/1</f>
        <v>600</v>
      </c>
      <c r="H181" s="440">
        <v>10</v>
      </c>
      <c r="I181" s="28">
        <v>1</v>
      </c>
      <c r="J181" s="441">
        <f t="shared" si="37"/>
        <v>0.016666666666666666</v>
      </c>
      <c r="K181" s="28">
        <v>86</v>
      </c>
      <c r="L181" s="267">
        <f t="shared" si="38"/>
        <v>1.4333333333333333</v>
      </c>
      <c r="M181" s="433">
        <f t="shared" si="39"/>
        <v>217.86666666666667</v>
      </c>
      <c r="N181" s="434">
        <v>152</v>
      </c>
      <c r="O181" s="435">
        <f t="shared" si="40"/>
        <v>1.4333333333333333</v>
      </c>
      <c r="P181" s="22"/>
    </row>
    <row r="182" spans="1:16" ht="15">
      <c r="A182" s="13" t="s">
        <v>305</v>
      </c>
      <c r="B182" s="27" t="s">
        <v>343</v>
      </c>
      <c r="C182" s="13" t="s">
        <v>14</v>
      </c>
      <c r="D182" s="13">
        <v>226</v>
      </c>
      <c r="E182" s="13"/>
      <c r="F182" s="13" t="s">
        <v>58</v>
      </c>
      <c r="G182" s="28">
        <v>55.20</v>
      </c>
      <c r="H182" s="440">
        <v>10</v>
      </c>
      <c r="I182" s="28">
        <v>1</v>
      </c>
      <c r="J182" s="441">
        <f t="shared" si="37"/>
        <v>0.18115942028985507</v>
      </c>
      <c r="K182" s="28">
        <v>2.09</v>
      </c>
      <c r="L182" s="435">
        <f t="shared" si="38"/>
        <v>0.37862318840579706</v>
      </c>
      <c r="M182" s="266">
        <f t="shared" si="39"/>
        <v>75.724637681159408</v>
      </c>
      <c r="N182" s="433">
        <v>200</v>
      </c>
      <c r="O182" s="435">
        <f t="shared" si="40"/>
        <v>0.37862318840579706</v>
      </c>
      <c r="P182" s="22"/>
    </row>
    <row r="183" spans="1:16" ht="30">
      <c r="A183" s="13" t="s">
        <v>306</v>
      </c>
      <c r="B183" s="27" t="s">
        <v>307</v>
      </c>
      <c r="C183" s="13" t="s">
        <v>14</v>
      </c>
      <c r="D183" s="13">
        <v>226</v>
      </c>
      <c r="E183" s="13"/>
      <c r="F183" s="13" t="s">
        <v>12</v>
      </c>
      <c r="G183" s="28">
        <v>10</v>
      </c>
      <c r="H183" s="440">
        <v>10</v>
      </c>
      <c r="I183" s="28">
        <v>1</v>
      </c>
      <c r="J183" s="441">
        <f t="shared" si="37"/>
        <v>1</v>
      </c>
      <c r="K183" s="28">
        <v>1</v>
      </c>
      <c r="L183" s="435">
        <f t="shared" si="38"/>
        <v>1</v>
      </c>
      <c r="M183" s="266">
        <f t="shared" si="39"/>
        <v>200</v>
      </c>
      <c r="N183" s="433">
        <v>200</v>
      </c>
      <c r="O183" s="435">
        <f t="shared" si="40"/>
        <v>1</v>
      </c>
      <c r="P183" s="22"/>
    </row>
    <row r="184" spans="1:16" ht="15">
      <c r="A184" s="13" t="s">
        <v>296</v>
      </c>
      <c r="B184" s="56" t="s">
        <v>105</v>
      </c>
      <c r="C184" s="13" t="s">
        <v>33</v>
      </c>
      <c r="D184" s="13">
        <v>219</v>
      </c>
      <c r="E184" s="13"/>
      <c r="F184" s="13" t="s">
        <v>96</v>
      </c>
      <c r="G184" s="28">
        <v>9.60</v>
      </c>
      <c r="H184" s="440">
        <v>10</v>
      </c>
      <c r="I184" s="28">
        <v>2</v>
      </c>
      <c r="J184" s="441">
        <f t="shared" si="37"/>
        <v>2.0833333333333335</v>
      </c>
      <c r="K184" s="28">
        <v>1</v>
      </c>
      <c r="L184" s="267">
        <f t="shared" si="38"/>
        <v>2.0833333333333335</v>
      </c>
      <c r="M184" s="433">
        <f t="shared" si="39"/>
        <v>416.66666666666669</v>
      </c>
      <c r="N184" s="434">
        <v>200</v>
      </c>
      <c r="O184" s="435">
        <f t="shared" si="40"/>
        <v>1.0416666666666667</v>
      </c>
      <c r="P184" s="22"/>
    </row>
    <row r="185" spans="1:16" ht="15">
      <c r="A185" s="523" t="s">
        <v>1695</v>
      </c>
      <c r="B185" s="522" t="s">
        <v>1696</v>
      </c>
      <c r="C185" s="523" t="s">
        <v>33</v>
      </c>
      <c r="D185" s="523">
        <v>226</v>
      </c>
      <c r="E185" s="523"/>
      <c r="F185" s="523" t="s">
        <v>12</v>
      </c>
      <c r="G185" s="527">
        <v>20</v>
      </c>
      <c r="H185" s="530">
        <v>10</v>
      </c>
      <c r="I185" s="527">
        <v>1</v>
      </c>
      <c r="J185" s="531">
        <f t="shared" si="37"/>
        <v>0.50</v>
      </c>
      <c r="K185" s="527">
        <v>1</v>
      </c>
      <c r="L185" s="267">
        <f t="shared" si="38"/>
        <v>0.50</v>
      </c>
      <c r="M185" s="433">
        <f t="shared" si="39"/>
        <v>100</v>
      </c>
      <c r="N185" s="434">
        <v>200</v>
      </c>
      <c r="O185" s="435">
        <f t="shared" si="40"/>
        <v>0.50</v>
      </c>
      <c r="P185" s="22"/>
    </row>
    <row r="186" spans="1:16" ht="15">
      <c r="A186" s="13" t="s">
        <v>308</v>
      </c>
      <c r="B186" s="27" t="s">
        <v>309</v>
      </c>
      <c r="C186" s="13" t="s">
        <v>14</v>
      </c>
      <c r="D186" s="13">
        <v>226</v>
      </c>
      <c r="E186" s="13"/>
      <c r="F186" s="13" t="s">
        <v>58</v>
      </c>
      <c r="G186" s="442">
        <v>9.8000000000000007</v>
      </c>
      <c r="H186" s="440">
        <v>10</v>
      </c>
      <c r="I186" s="28">
        <v>1</v>
      </c>
      <c r="J186" s="441">
        <f t="shared" si="37"/>
        <v>1.0204081632653061</v>
      </c>
      <c r="K186" s="28">
        <v>3.58</v>
      </c>
      <c r="L186" s="435">
        <f t="shared" si="38"/>
        <v>3.6530612244897962</v>
      </c>
      <c r="M186" s="266">
        <f t="shared" si="39"/>
        <v>555.26530612244903</v>
      </c>
      <c r="N186" s="433">
        <v>152</v>
      </c>
      <c r="O186" s="435">
        <f t="shared" si="40"/>
        <v>3.6530612244897962</v>
      </c>
      <c r="P186" s="22"/>
    </row>
    <row r="187" spans="1:16" ht="15">
      <c r="A187" s="13" t="s">
        <v>294</v>
      </c>
      <c r="B187" s="27" t="s">
        <v>521</v>
      </c>
      <c r="C187" s="13" t="s">
        <v>14</v>
      </c>
      <c r="D187" s="13">
        <v>226</v>
      </c>
      <c r="E187" s="13"/>
      <c r="F187" s="13" t="s">
        <v>58</v>
      </c>
      <c r="G187" s="28">
        <v>23.16</v>
      </c>
      <c r="H187" s="440">
        <v>10</v>
      </c>
      <c r="I187" s="28">
        <v>1</v>
      </c>
      <c r="J187" s="441">
        <f t="shared" si="37"/>
        <v>0.43177892918825561</v>
      </c>
      <c r="K187" s="28">
        <v>13.80</v>
      </c>
      <c r="L187" s="267">
        <f t="shared" si="38"/>
        <v>5.9585492227979273</v>
      </c>
      <c r="M187" s="433">
        <f t="shared" si="39"/>
        <v>1191.7098445595855</v>
      </c>
      <c r="N187" s="434">
        <v>200</v>
      </c>
      <c r="O187" s="435">
        <f t="shared" si="40"/>
        <v>5.9585492227979273</v>
      </c>
      <c r="P187" s="22"/>
    </row>
    <row r="188" spans="1:16" ht="15">
      <c r="A188" s="13" t="s">
        <v>1639</v>
      </c>
      <c r="B188" s="27" t="s">
        <v>1640</v>
      </c>
      <c r="C188" s="13" t="s">
        <v>33</v>
      </c>
      <c r="D188" s="13" t="s">
        <v>1333</v>
      </c>
      <c r="E188" s="13"/>
      <c r="F188" s="13" t="s">
        <v>12</v>
      </c>
      <c r="G188" s="442">
        <v>30</v>
      </c>
      <c r="H188" s="440">
        <v>10</v>
      </c>
      <c r="I188" s="28">
        <v>2</v>
      </c>
      <c r="J188" s="441">
        <f t="shared" si="37"/>
        <v>0.66666666666666663</v>
      </c>
      <c r="K188" s="28">
        <v>1</v>
      </c>
      <c r="L188" s="267">
        <f t="shared" si="38"/>
        <v>0.66666666666666663</v>
      </c>
      <c r="M188" s="433">
        <f t="shared" si="39"/>
        <v>101.33333333333333</v>
      </c>
      <c r="N188" s="434">
        <v>152</v>
      </c>
      <c r="O188" s="435">
        <f t="shared" si="40"/>
        <v>0.33333333333333331</v>
      </c>
      <c r="P188" s="21"/>
    </row>
    <row r="189" spans="1:16" ht="15">
      <c r="A189" s="13" t="s">
        <v>295</v>
      </c>
      <c r="B189" s="27" t="s">
        <v>104</v>
      </c>
      <c r="C189" s="13" t="s">
        <v>33</v>
      </c>
      <c r="D189" s="13" t="s">
        <v>1333</v>
      </c>
      <c r="E189" s="13"/>
      <c r="F189" s="13" t="s">
        <v>12</v>
      </c>
      <c r="G189" s="28">
        <v>5</v>
      </c>
      <c r="H189" s="440">
        <v>10</v>
      </c>
      <c r="I189" s="28">
        <v>2</v>
      </c>
      <c r="J189" s="441">
        <f t="shared" si="37"/>
        <v>4</v>
      </c>
      <c r="K189" s="28">
        <v>1</v>
      </c>
      <c r="L189" s="267">
        <f t="shared" si="38"/>
        <v>4</v>
      </c>
      <c r="M189" s="433">
        <f t="shared" si="39"/>
        <v>608</v>
      </c>
      <c r="N189" s="434">
        <v>152</v>
      </c>
      <c r="O189" s="435">
        <f t="shared" si="40"/>
        <v>2</v>
      </c>
      <c r="P189" s="21"/>
    </row>
    <row r="190" spans="1:16" ht="15">
      <c r="A190" s="13" t="s">
        <v>1641</v>
      </c>
      <c r="B190" s="27" t="s">
        <v>1642</v>
      </c>
      <c r="C190" s="13" t="s">
        <v>33</v>
      </c>
      <c r="D190" s="13" t="s">
        <v>1333</v>
      </c>
      <c r="E190" s="13"/>
      <c r="F190" s="13" t="s">
        <v>139</v>
      </c>
      <c r="G190" s="442">
        <v>20</v>
      </c>
      <c r="H190" s="440">
        <v>10</v>
      </c>
      <c r="I190" s="28">
        <v>1</v>
      </c>
      <c r="J190" s="441">
        <f t="shared" si="37"/>
        <v>0.50</v>
      </c>
      <c r="K190" s="28">
        <v>1</v>
      </c>
      <c r="L190" s="267">
        <f t="shared" si="38"/>
        <v>0.50</v>
      </c>
      <c r="M190" s="433">
        <f t="shared" si="39"/>
        <v>76</v>
      </c>
      <c r="N190" s="434">
        <v>152</v>
      </c>
      <c r="O190" s="435">
        <f t="shared" si="40"/>
        <v>0.50</v>
      </c>
      <c r="P190" s="21"/>
    </row>
    <row r="191" spans="1:15" s="22" customFormat="1" ht="15">
      <c r="A191" s="443"/>
      <c r="B191" s="495" t="s">
        <v>15</v>
      </c>
      <c r="C191" s="443"/>
      <c r="D191" s="443"/>
      <c r="E191" s="443"/>
      <c r="F191" s="444"/>
      <c r="G191" s="443"/>
      <c r="H191" s="445"/>
      <c r="I191" s="443"/>
      <c r="J191" s="446"/>
      <c r="K191" s="443"/>
      <c r="L191" s="447">
        <f>SUM(L6:L189)</f>
        <v>310.97346676688898</v>
      </c>
      <c r="M191" s="455">
        <f>M18+M73+M95+M108+M119+M168+M115+M5</f>
        <v>60932.403126573598</v>
      </c>
      <c r="N191" s="110"/>
      <c r="O191" s="454">
        <f>O18+O73+O95+O108+O119+O168+O115+O5</f>
        <v>229.611292029776</v>
      </c>
    </row>
    <row r="192" spans="12:15" ht="15">
      <c r="L192" s="448" t="s">
        <v>16</v>
      </c>
      <c r="O192" s="448" t="s">
        <v>17</v>
      </c>
    </row>
    <row r="193" spans="6:15" ht="15">
      <c r="F193" s="107"/>
      <c r="J193" s="450"/>
      <c r="K193" s="451" t="s">
        <v>18</v>
      </c>
      <c r="L193" s="452">
        <f>L191/G2</f>
        <v>92.994457765218002</v>
      </c>
      <c r="M193" s="450" t="s">
        <v>19</v>
      </c>
      <c r="N193" s="450"/>
      <c r="O193" s="450"/>
    </row>
    <row r="194" spans="6:6" ht="15">
      <c r="F194" s="107"/>
    </row>
    <row r="195" spans="2:8" ht="15">
      <c r="B195" s="493" t="s">
        <v>858</v>
      </c>
      <c r="C195" s="449"/>
      <c r="F195" s="107"/>
      <c r="H195" s="268"/>
    </row>
    <row r="196" spans="6:6" ht="15">
      <c r="F196" s="107"/>
    </row>
    <row r="197" spans="2:3" ht="15">
      <c r="B197" s="493" t="s">
        <v>848</v>
      </c>
      <c r="C197" s="449"/>
    </row>
    <row r="199" spans="2:3" ht="15">
      <c r="B199" s="493" t="s">
        <v>849</v>
      </c>
      <c r="C199" s="449"/>
    </row>
    <row r="202" ht="15.75"/>
    <row r="203" spans="1:8" ht="15" hidden="1">
      <c r="A203" s="481" t="s">
        <v>328</v>
      </c>
      <c r="B203" s="496" t="s">
        <v>329</v>
      </c>
      <c r="C203" s="481" t="s">
        <v>330</v>
      </c>
      <c r="D203" s="481" t="s">
        <v>331</v>
      </c>
      <c r="E203" s="481" t="s">
        <v>332</v>
      </c>
      <c r="F203" s="481" t="s">
        <v>333</v>
      </c>
      <c r="G203" s="427"/>
      <c r="H203" s="268"/>
    </row>
    <row r="204" spans="1:8" ht="45" hidden="1">
      <c r="A204" s="482">
        <v>1</v>
      </c>
      <c r="B204" s="483" t="s">
        <v>1016</v>
      </c>
      <c r="C204" s="482"/>
      <c r="D204" s="482"/>
      <c r="E204" s="482" t="s">
        <v>954</v>
      </c>
      <c r="F204" s="484">
        <v>44502</v>
      </c>
      <c r="G204" s="427"/>
      <c r="H204" s="268"/>
    </row>
    <row r="205" spans="1:8" ht="45" hidden="1">
      <c r="A205" s="482">
        <v>2</v>
      </c>
      <c r="B205" s="483" t="s">
        <v>1017</v>
      </c>
      <c r="C205" s="482">
        <v>46.10</v>
      </c>
      <c r="D205" s="482">
        <v>34.60</v>
      </c>
      <c r="E205" s="482" t="s">
        <v>954</v>
      </c>
      <c r="F205" s="484">
        <v>44502</v>
      </c>
      <c r="G205" s="427"/>
      <c r="H205" s="268"/>
    </row>
    <row r="206" spans="1:8" ht="30" hidden="1">
      <c r="A206" s="482">
        <v>3</v>
      </c>
      <c r="B206" s="486" t="s">
        <v>1018</v>
      </c>
      <c r="C206" s="482">
        <v>3.20</v>
      </c>
      <c r="D206" s="482">
        <v>2.4239999999999999</v>
      </c>
      <c r="E206" s="482" t="s">
        <v>954</v>
      </c>
      <c r="F206" s="484">
        <v>44502</v>
      </c>
      <c r="G206" s="427"/>
      <c r="H206" s="268"/>
    </row>
    <row r="207" spans="1:8" ht="30" hidden="1">
      <c r="A207" s="482">
        <v>4</v>
      </c>
      <c r="B207" s="486" t="s">
        <v>1019</v>
      </c>
      <c r="C207" s="482">
        <v>3.262</v>
      </c>
      <c r="D207" s="482">
        <v>2.59</v>
      </c>
      <c r="E207" s="482" t="s">
        <v>954</v>
      </c>
      <c r="F207" s="484">
        <v>44502</v>
      </c>
      <c r="G207" s="427"/>
      <c r="H207" s="268"/>
    </row>
    <row r="208" spans="1:8" ht="60" hidden="1">
      <c r="A208" s="482">
        <v>5</v>
      </c>
      <c r="B208" s="486" t="s">
        <v>1020</v>
      </c>
      <c r="C208" s="482">
        <v>2.589</v>
      </c>
      <c r="D208" s="482">
        <v>2.89</v>
      </c>
      <c r="E208" s="482" t="s">
        <v>954</v>
      </c>
      <c r="F208" s="484">
        <v>44502</v>
      </c>
      <c r="G208" s="427"/>
      <c r="H208" s="268"/>
    </row>
    <row r="209" spans="1:8" ht="30" hidden="1">
      <c r="A209" s="482">
        <v>6</v>
      </c>
      <c r="B209" s="483" t="s">
        <v>1201</v>
      </c>
      <c r="C209" s="482" t="s">
        <v>1207</v>
      </c>
      <c r="D209" s="482" t="s">
        <v>1206</v>
      </c>
      <c r="E209" s="482" t="s">
        <v>954</v>
      </c>
      <c r="F209" s="484">
        <v>44519</v>
      </c>
      <c r="G209" s="427"/>
      <c r="H209" s="268"/>
    </row>
    <row r="210" spans="1:8" ht="75" hidden="1">
      <c r="A210" s="482">
        <v>7</v>
      </c>
      <c r="B210" s="483" t="s">
        <v>1283</v>
      </c>
      <c r="C210" s="482">
        <v>600</v>
      </c>
      <c r="D210" s="482">
        <v>400</v>
      </c>
      <c r="E210" s="482" t="s">
        <v>954</v>
      </c>
      <c r="F210" s="484">
        <v>44602</v>
      </c>
      <c r="G210" s="427"/>
      <c r="H210" s="268"/>
    </row>
    <row r="211" spans="1:8" ht="30" hidden="1">
      <c r="A211" s="482">
        <v>8</v>
      </c>
      <c r="B211" s="483" t="s">
        <v>1284</v>
      </c>
      <c r="C211" s="485"/>
      <c r="D211" s="485"/>
      <c r="E211" s="482" t="s">
        <v>954</v>
      </c>
      <c r="F211" s="484">
        <v>44602</v>
      </c>
      <c r="G211" s="427"/>
      <c r="H211" s="268"/>
    </row>
    <row r="212" spans="1:8" ht="60" hidden="1">
      <c r="A212" s="482">
        <v>9</v>
      </c>
      <c r="B212" s="483" t="s">
        <v>1336</v>
      </c>
      <c r="C212" s="482" t="s">
        <v>1337</v>
      </c>
      <c r="D212" s="482" t="s">
        <v>1338</v>
      </c>
      <c r="E212" s="482" t="s">
        <v>1334</v>
      </c>
      <c r="F212" s="484">
        <v>44630</v>
      </c>
      <c r="G212" s="427"/>
      <c r="H212" s="268"/>
    </row>
    <row r="213" spans="1:8" ht="15" hidden="1">
      <c r="A213" s="482">
        <v>10</v>
      </c>
      <c r="B213" s="483" t="s">
        <v>1335</v>
      </c>
      <c r="C213" s="485"/>
      <c r="D213" s="485"/>
      <c r="E213" s="482" t="s">
        <v>1334</v>
      </c>
      <c r="F213" s="484">
        <v>44630</v>
      </c>
      <c r="G213" s="427"/>
      <c r="H213" s="268"/>
    </row>
    <row r="214" spans="1:8" ht="30" hidden="1">
      <c r="A214" s="482">
        <v>11</v>
      </c>
      <c r="B214" s="483" t="s">
        <v>1452</v>
      </c>
      <c r="C214" s="485"/>
      <c r="D214" s="485"/>
      <c r="E214" s="482" t="s">
        <v>1334</v>
      </c>
      <c r="F214" s="484">
        <v>44656</v>
      </c>
      <c r="G214" s="427"/>
      <c r="H214" s="268"/>
    </row>
    <row r="215" spans="1:8" ht="30" hidden="1">
      <c r="A215" s="482">
        <v>12</v>
      </c>
      <c r="B215" s="483" t="s">
        <v>1451</v>
      </c>
      <c r="C215" s="485"/>
      <c r="D215" s="485"/>
      <c r="E215" s="482" t="s">
        <v>1334</v>
      </c>
      <c r="F215" s="484">
        <v>44656</v>
      </c>
      <c r="G215" s="427"/>
      <c r="H215" s="268"/>
    </row>
    <row r="216" spans="1:8" ht="30" hidden="1">
      <c r="A216" s="482">
        <v>13</v>
      </c>
      <c r="B216" s="483" t="s">
        <v>1450</v>
      </c>
      <c r="C216" s="485"/>
      <c r="D216" s="485"/>
      <c r="E216" s="482" t="s">
        <v>1334</v>
      </c>
      <c r="F216" s="484">
        <v>44656</v>
      </c>
      <c r="G216" s="427"/>
      <c r="H216" s="268"/>
    </row>
    <row r="217" spans="1:8" ht="30" hidden="1">
      <c r="A217" s="482">
        <v>14</v>
      </c>
      <c r="B217" s="483" t="s">
        <v>1449</v>
      </c>
      <c r="C217" s="485"/>
      <c r="D217" s="485"/>
      <c r="E217" s="482" t="s">
        <v>1334</v>
      </c>
      <c r="F217" s="484">
        <v>44656</v>
      </c>
      <c r="G217" s="427"/>
      <c r="H217" s="268"/>
    </row>
    <row r="218" spans="1:8" ht="30" hidden="1">
      <c r="A218" s="482">
        <v>15</v>
      </c>
      <c r="B218" s="483" t="s">
        <v>1447</v>
      </c>
      <c r="C218" s="485"/>
      <c r="D218" s="485"/>
      <c r="E218" s="482" t="s">
        <v>1334</v>
      </c>
      <c r="F218" s="484">
        <v>44656</v>
      </c>
      <c r="G218" s="427"/>
      <c r="H218" s="268"/>
    </row>
    <row r="219" spans="1:8" ht="30" hidden="1">
      <c r="A219" s="482">
        <v>16</v>
      </c>
      <c r="B219" s="483" t="s">
        <v>1448</v>
      </c>
      <c r="C219" s="485"/>
      <c r="D219" s="485"/>
      <c r="E219" s="482" t="s">
        <v>1334</v>
      </c>
      <c r="F219" s="484">
        <v>44656</v>
      </c>
      <c r="G219" s="427"/>
      <c r="H219" s="268"/>
    </row>
    <row r="220" spans="1:8" ht="30" hidden="1">
      <c r="A220" s="482">
        <v>17</v>
      </c>
      <c r="B220" s="483" t="s">
        <v>1446</v>
      </c>
      <c r="C220" s="485"/>
      <c r="D220" s="485"/>
      <c r="E220" s="482" t="s">
        <v>1334</v>
      </c>
      <c r="F220" s="484">
        <v>44656</v>
      </c>
      <c r="G220" s="427"/>
      <c r="H220" s="268"/>
    </row>
    <row r="221" spans="1:8" ht="30" hidden="1">
      <c r="A221" s="482">
        <v>18</v>
      </c>
      <c r="B221" s="483" t="s">
        <v>1436</v>
      </c>
      <c r="C221" s="485"/>
      <c r="D221" s="485"/>
      <c r="E221" s="482" t="s">
        <v>1334</v>
      </c>
      <c r="F221" s="484">
        <v>44656</v>
      </c>
      <c r="G221" s="427"/>
      <c r="H221" s="268"/>
    </row>
    <row r="222" spans="1:8" ht="30.75" hidden="1" thickBot="1">
      <c r="A222" s="482">
        <v>19</v>
      </c>
      <c r="B222" s="483" t="s">
        <v>1445</v>
      </c>
      <c r="C222" s="485"/>
      <c r="D222" s="485"/>
      <c r="E222" s="482" t="s">
        <v>1334</v>
      </c>
      <c r="F222" s="484">
        <v>44656</v>
      </c>
      <c r="G222" s="427"/>
      <c r="H222" s="268"/>
    </row>
    <row r="223" spans="1:15" ht="15">
      <c r="A223" s="500" t="s">
        <v>328</v>
      </c>
      <c r="B223" s="631" t="s">
        <v>1593</v>
      </c>
      <c r="C223" s="632"/>
      <c r="D223" s="633"/>
      <c r="E223" s="501" t="s">
        <v>332</v>
      </c>
      <c r="F223" s="502" t="s">
        <v>333</v>
      </c>
      <c r="G223" s="427"/>
      <c r="H223" s="268"/>
      <c r="O223" s="503"/>
    </row>
    <row r="224" spans="1:15" ht="15.75" thickBot="1">
      <c r="A224" s="504">
        <v>1</v>
      </c>
      <c r="B224" s="634" t="s">
        <v>1594</v>
      </c>
      <c r="C224" s="635"/>
      <c r="D224" s="636"/>
      <c r="E224" s="505" t="s">
        <v>1334</v>
      </c>
      <c r="F224" s="506">
        <v>44677</v>
      </c>
      <c r="G224" s="427"/>
      <c r="H224" s="268"/>
      <c r="O224" s="503"/>
    </row>
    <row r="225" spans="1:15" ht="15">
      <c r="A225" s="54" t="s">
        <v>656</v>
      </c>
      <c r="B225" s="55" t="s">
        <v>1425</v>
      </c>
      <c r="C225" s="13" t="s">
        <v>862</v>
      </c>
      <c r="D225" s="13">
        <v>224</v>
      </c>
      <c r="E225" s="13"/>
      <c r="F225" s="17"/>
      <c r="G225" s="432">
        <f>(600-20)/3</f>
        <v>193.33333333333334</v>
      </c>
      <c r="H225" s="440">
        <v>10</v>
      </c>
      <c r="I225" s="28">
        <v>2</v>
      </c>
      <c r="J225" s="441">
        <f>H225/G225*I225</f>
        <v>0.10344827586206896</v>
      </c>
      <c r="K225" s="28">
        <v>4</v>
      </c>
      <c r="L225" s="267">
        <f>J225*K225</f>
        <v>0.41379310344827586</v>
      </c>
      <c r="M225" s="433">
        <f>L225*N225</f>
        <v>82.758620689655174</v>
      </c>
      <c r="N225" s="434">
        <v>200</v>
      </c>
      <c r="O225" s="435">
        <f>J225/I225*K225</f>
        <v>0.20689655172413793</v>
      </c>
    </row>
    <row r="226" spans="1:15" ht="15" customHeight="1">
      <c r="A226" s="645" t="s">
        <v>198</v>
      </c>
      <c r="B226" s="639" t="s">
        <v>992</v>
      </c>
      <c r="C226" s="13" t="s">
        <v>28</v>
      </c>
      <c r="D226" s="13">
        <v>112</v>
      </c>
      <c r="E226" s="13"/>
      <c r="F226" s="4" t="s">
        <v>868</v>
      </c>
      <c r="G226" s="28">
        <v>12</v>
      </c>
      <c r="H226" s="437">
        <v>10</v>
      </c>
      <c r="I226" s="28">
        <v>2</v>
      </c>
      <c r="J226" s="438">
        <f>H226/G226*I226</f>
        <v>1.6666666666666667</v>
      </c>
      <c r="K226" s="28">
        <v>1</v>
      </c>
      <c r="L226" s="267">
        <f>J226*K226</f>
        <v>1.6666666666666667</v>
      </c>
      <c r="M226" s="433">
        <f>L226*N226</f>
        <v>333.33333333333337</v>
      </c>
      <c r="N226" s="434">
        <v>200</v>
      </c>
      <c r="O226" s="435">
        <f>J226/I226*K226</f>
        <v>0.83333333333333337</v>
      </c>
    </row>
    <row r="227" spans="1:15" ht="15.75" thickBot="1">
      <c r="A227" s="647"/>
      <c r="B227" s="641"/>
      <c r="C227" s="13" t="s">
        <v>49</v>
      </c>
      <c r="D227" s="13">
        <v>112</v>
      </c>
      <c r="E227" s="13" t="s">
        <v>869</v>
      </c>
      <c r="F227" s="13" t="s">
        <v>10</v>
      </c>
      <c r="G227" s="28">
        <v>40</v>
      </c>
      <c r="H227" s="437">
        <v>10</v>
      </c>
      <c r="I227" s="28">
        <v>1</v>
      </c>
      <c r="J227" s="438">
        <f>H227/G227*I227</f>
        <v>0.25</v>
      </c>
      <c r="K227" s="436">
        <f>(1740*2+820*2+380*2+400)/1000</f>
        <v>6.28</v>
      </c>
      <c r="L227" s="267">
        <f>J227*K227</f>
        <v>1.57</v>
      </c>
      <c r="M227" s="433">
        <f>L227*N227</f>
        <v>314</v>
      </c>
      <c r="N227" s="434">
        <v>200</v>
      </c>
      <c r="O227" s="435">
        <f>J227/I227*K227</f>
        <v>1.57</v>
      </c>
    </row>
    <row r="228" spans="1:15" ht="15">
      <c r="A228" s="500" t="s">
        <v>328</v>
      </c>
      <c r="B228" s="631" t="s">
        <v>1593</v>
      </c>
      <c r="C228" s="632"/>
      <c r="D228" s="633"/>
      <c r="E228" s="501" t="s">
        <v>332</v>
      </c>
      <c r="F228" s="502" t="s">
        <v>333</v>
      </c>
      <c r="G228" s="427"/>
      <c r="H228" s="268"/>
      <c r="O228" s="503"/>
    </row>
    <row r="229" spans="1:15" ht="15.75" thickBot="1">
      <c r="A229" s="504">
        <v>2</v>
      </c>
      <c r="B229" s="634" t="s">
        <v>1605</v>
      </c>
      <c r="C229" s="635"/>
      <c r="D229" s="636"/>
      <c r="E229" s="505" t="s">
        <v>1334</v>
      </c>
      <c r="F229" s="506">
        <v>44677</v>
      </c>
      <c r="G229" s="427"/>
      <c r="H229" s="268"/>
      <c r="O229" s="503"/>
    </row>
    <row r="230" spans="1:16" ht="15.75" thickBot="1">
      <c r="A230" s="13" t="s">
        <v>1639</v>
      </c>
      <c r="B230" s="27" t="s">
        <v>1640</v>
      </c>
      <c r="C230" s="13" t="s">
        <v>33</v>
      </c>
      <c r="D230" s="13" t="s">
        <v>1333</v>
      </c>
      <c r="E230" s="13"/>
      <c r="F230" s="13" t="s">
        <v>12</v>
      </c>
      <c r="G230" s="442">
        <v>30</v>
      </c>
      <c r="H230" s="440">
        <v>10</v>
      </c>
      <c r="I230" s="28">
        <v>2</v>
      </c>
      <c r="J230" s="441">
        <f t="shared" si="41" ref="J230">H230/G230*I230</f>
        <v>0.66666666666666663</v>
      </c>
      <c r="K230" s="28">
        <v>1</v>
      </c>
      <c r="L230" s="267">
        <f t="shared" si="42" ref="L230">J230*K230</f>
        <v>0.66666666666666663</v>
      </c>
      <c r="M230" s="433">
        <f t="shared" si="43" ref="M230">L230*N230</f>
        <v>101.33333333333333</v>
      </c>
      <c r="N230" s="434">
        <v>152</v>
      </c>
      <c r="O230" s="435">
        <f t="shared" si="44" ref="O230">J230/I230*K230</f>
        <v>0.33333333333333331</v>
      </c>
      <c r="P230" s="21"/>
    </row>
    <row r="231" spans="1:15" ht="15">
      <c r="A231" s="500" t="s">
        <v>328</v>
      </c>
      <c r="B231" s="631" t="s">
        <v>1593</v>
      </c>
      <c r="C231" s="632"/>
      <c r="D231" s="633"/>
      <c r="E231" s="501" t="s">
        <v>332</v>
      </c>
      <c r="F231" s="502" t="s">
        <v>333</v>
      </c>
      <c r="G231" s="427"/>
      <c r="H231" s="268"/>
      <c r="O231" s="503"/>
    </row>
    <row r="232" spans="1:15" ht="15.75" thickBot="1">
      <c r="A232" s="504">
        <v>3</v>
      </c>
      <c r="B232" s="634" t="s">
        <v>1605</v>
      </c>
      <c r="C232" s="635"/>
      <c r="D232" s="636"/>
      <c r="E232" s="505" t="s">
        <v>1334</v>
      </c>
      <c r="F232" s="506">
        <v>44719</v>
      </c>
      <c r="G232" s="427"/>
      <c r="H232" s="268"/>
      <c r="O232" s="503"/>
    </row>
    <row r="233" spans="1:16" ht="15">
      <c r="A233" s="13" t="s">
        <v>1641</v>
      </c>
      <c r="B233" s="27" t="s">
        <v>1642</v>
      </c>
      <c r="C233" s="13" t="s">
        <v>33</v>
      </c>
      <c r="D233" s="13" t="s">
        <v>1333</v>
      </c>
      <c r="E233" s="13"/>
      <c r="F233" s="13" t="s">
        <v>139</v>
      </c>
      <c r="G233" s="442">
        <v>20</v>
      </c>
      <c r="H233" s="440">
        <v>10</v>
      </c>
      <c r="I233" s="28">
        <v>1</v>
      </c>
      <c r="J233" s="441">
        <f t="shared" si="45" ref="J233">H233/G233*I233</f>
        <v>0.50</v>
      </c>
      <c r="K233" s="28">
        <v>1</v>
      </c>
      <c r="L233" s="267">
        <f t="shared" si="46" ref="L233">J233*K233</f>
        <v>0.50</v>
      </c>
      <c r="M233" s="433">
        <f t="shared" si="47" ref="M233">L233*N233</f>
        <v>76</v>
      </c>
      <c r="N233" s="434">
        <v>152</v>
      </c>
      <c r="O233" s="435">
        <f t="shared" si="48" ref="O233">J233/I233*K233</f>
        <v>0.50</v>
      </c>
      <c r="P233" s="21"/>
    </row>
    <row r="234" ht="15.75" thickBot="1"/>
    <row r="235" spans="1:7" ht="15">
      <c r="A235" s="500" t="s">
        <v>328</v>
      </c>
      <c r="B235" s="631" t="s">
        <v>1593</v>
      </c>
      <c r="C235" s="632"/>
      <c r="D235" s="633"/>
      <c r="E235" s="501" t="s">
        <v>332</v>
      </c>
      <c r="F235" s="502" t="s">
        <v>333</v>
      </c>
      <c r="G235" s="68"/>
    </row>
    <row r="236" spans="1:7" ht="15.75" thickBot="1">
      <c r="A236" s="504">
        <v>4</v>
      </c>
      <c r="B236" s="634" t="s">
        <v>1605</v>
      </c>
      <c r="C236" s="635"/>
      <c r="D236" s="636"/>
      <c r="E236" s="505" t="s">
        <v>1682</v>
      </c>
      <c r="F236" s="506">
        <v>44987</v>
      </c>
      <c r="G236" s="68"/>
    </row>
    <row r="237" spans="1:15" ht="30">
      <c r="A237" s="529" t="s">
        <v>1662</v>
      </c>
      <c r="B237" s="522" t="s">
        <v>1661</v>
      </c>
      <c r="C237" s="523" t="s">
        <v>9</v>
      </c>
      <c r="D237" s="523">
        <v>109</v>
      </c>
      <c r="E237" s="523"/>
      <c r="F237" s="524" t="s">
        <v>10</v>
      </c>
      <c r="G237" s="525">
        <v>33</v>
      </c>
      <c r="H237" s="526">
        <v>10</v>
      </c>
      <c r="I237" s="527">
        <v>1</v>
      </c>
      <c r="J237" s="528">
        <f t="shared" si="49" ref="J237:J241">H237/G237*I237</f>
        <v>0.30303030303030304</v>
      </c>
      <c r="K237" s="525">
        <f>(350*2)/1000</f>
        <v>0.70</v>
      </c>
      <c r="L237" s="267">
        <f t="shared" si="50" ref="L237:L241">J237*K237</f>
        <v>0.21212121212121213</v>
      </c>
      <c r="M237" s="266">
        <f t="shared" si="51" ref="M237:M241">L237*N237</f>
        <v>32.242424242424242</v>
      </c>
      <c r="N237" s="433">
        <v>152</v>
      </c>
      <c r="O237" s="267">
        <f t="shared" si="52" ref="O237:O241">J237/I237*K237</f>
        <v>0.21212121212121213</v>
      </c>
    </row>
    <row r="238" spans="1:15" ht="30">
      <c r="A238" s="523" t="s">
        <v>1668</v>
      </c>
      <c r="B238" s="522" t="s">
        <v>1670</v>
      </c>
      <c r="C238" s="523" t="s">
        <v>33</v>
      </c>
      <c r="D238" s="523">
        <v>116</v>
      </c>
      <c r="E238" s="523"/>
      <c r="F238" s="523" t="s">
        <v>1666</v>
      </c>
      <c r="G238" s="527">
        <v>10</v>
      </c>
      <c r="H238" s="530">
        <v>10</v>
      </c>
      <c r="I238" s="527">
        <v>2</v>
      </c>
      <c r="J238" s="531">
        <f t="shared" si="49"/>
        <v>2</v>
      </c>
      <c r="K238" s="527">
        <v>1</v>
      </c>
      <c r="L238" s="267">
        <f t="shared" si="50"/>
        <v>2</v>
      </c>
      <c r="M238" s="433">
        <f t="shared" si="51"/>
        <v>400</v>
      </c>
      <c r="N238" s="434">
        <v>200</v>
      </c>
      <c r="O238" s="435">
        <f t="shared" si="52"/>
        <v>1</v>
      </c>
    </row>
    <row r="239" spans="1:15" ht="30">
      <c r="A239" s="523" t="s">
        <v>1669</v>
      </c>
      <c r="B239" s="522" t="s">
        <v>1671</v>
      </c>
      <c r="C239" s="523" t="s">
        <v>33</v>
      </c>
      <c r="D239" s="523">
        <v>116</v>
      </c>
      <c r="E239" s="523"/>
      <c r="F239" s="523" t="s">
        <v>10</v>
      </c>
      <c r="G239" s="527">
        <v>40</v>
      </c>
      <c r="H239" s="530">
        <v>10</v>
      </c>
      <c r="I239" s="527">
        <v>1</v>
      </c>
      <c r="J239" s="531">
        <f t="shared" si="49"/>
        <v>0.25</v>
      </c>
      <c r="K239" s="525">
        <f>4441/1000</f>
        <v>4.4409999999999998</v>
      </c>
      <c r="L239" s="267">
        <f t="shared" si="50"/>
        <v>1.11025</v>
      </c>
      <c r="M239" s="433">
        <f t="shared" si="51"/>
        <v>222.04999999999998</v>
      </c>
      <c r="N239" s="434">
        <v>200</v>
      </c>
      <c r="O239" s="435">
        <f t="shared" si="52"/>
        <v>1.11025</v>
      </c>
    </row>
    <row r="240" spans="1:15" ht="30">
      <c r="A240" s="523" t="s">
        <v>1663</v>
      </c>
      <c r="B240" s="522" t="s">
        <v>1665</v>
      </c>
      <c r="C240" s="523" t="s">
        <v>33</v>
      </c>
      <c r="D240" s="523">
        <v>116</v>
      </c>
      <c r="E240" s="523"/>
      <c r="F240" s="523" t="s">
        <v>1666</v>
      </c>
      <c r="G240" s="527">
        <v>10</v>
      </c>
      <c r="H240" s="530">
        <v>10</v>
      </c>
      <c r="I240" s="527">
        <v>2</v>
      </c>
      <c r="J240" s="531">
        <f t="shared" si="49"/>
        <v>2</v>
      </c>
      <c r="K240" s="527">
        <v>1</v>
      </c>
      <c r="L240" s="267">
        <f t="shared" si="50"/>
        <v>2</v>
      </c>
      <c r="M240" s="433">
        <f t="shared" si="51"/>
        <v>400</v>
      </c>
      <c r="N240" s="434">
        <v>200</v>
      </c>
      <c r="O240" s="435">
        <f t="shared" si="52"/>
        <v>1</v>
      </c>
    </row>
    <row r="241" spans="1:15" ht="30">
      <c r="A241" s="523" t="s">
        <v>1664</v>
      </c>
      <c r="B241" s="522" t="s">
        <v>1667</v>
      </c>
      <c r="C241" s="523" t="s">
        <v>33</v>
      </c>
      <c r="D241" s="523">
        <v>116</v>
      </c>
      <c r="E241" s="523"/>
      <c r="F241" s="523" t="s">
        <v>10</v>
      </c>
      <c r="G241" s="527">
        <v>40</v>
      </c>
      <c r="H241" s="530">
        <v>10</v>
      </c>
      <c r="I241" s="527">
        <v>1</v>
      </c>
      <c r="J241" s="531">
        <f t="shared" si="49"/>
        <v>0.25</v>
      </c>
      <c r="K241" s="525">
        <f>4296/1000</f>
        <v>4.2960000000000003</v>
      </c>
      <c r="L241" s="267">
        <f t="shared" si="50"/>
        <v>1.0740000000000001</v>
      </c>
      <c r="M241" s="433">
        <f t="shared" si="51"/>
        <v>214.80</v>
      </c>
      <c r="N241" s="434">
        <v>200</v>
      </c>
      <c r="O241" s="435">
        <f t="shared" si="52"/>
        <v>1.0740000000000001</v>
      </c>
    </row>
    <row r="242" ht="15.75" thickBot="1"/>
    <row r="243" spans="1:6" ht="15">
      <c r="A243" s="500" t="s">
        <v>328</v>
      </c>
      <c r="B243" s="631" t="s">
        <v>1593</v>
      </c>
      <c r="C243" s="632"/>
      <c r="D243" s="633"/>
      <c r="E243" s="501" t="s">
        <v>332</v>
      </c>
      <c r="F243" s="502" t="s">
        <v>333</v>
      </c>
    </row>
    <row r="244" spans="1:6" ht="15.75" thickBot="1">
      <c r="A244" s="504">
        <v>5</v>
      </c>
      <c r="B244" s="634" t="s">
        <v>1605</v>
      </c>
      <c r="C244" s="635"/>
      <c r="D244" s="636"/>
      <c r="E244" s="505" t="s">
        <v>1682</v>
      </c>
      <c r="F244" s="506">
        <v>45055</v>
      </c>
    </row>
    <row r="245" spans="1:15" ht="15">
      <c r="A245" s="523" t="s">
        <v>1695</v>
      </c>
      <c r="B245" s="522" t="s">
        <v>1696</v>
      </c>
      <c r="C245" s="523" t="s">
        <v>33</v>
      </c>
      <c r="D245" s="523">
        <v>226</v>
      </c>
      <c r="E245" s="523"/>
      <c r="F245" s="523" t="s">
        <v>12</v>
      </c>
      <c r="G245" s="527">
        <v>20</v>
      </c>
      <c r="H245" s="530">
        <v>10</v>
      </c>
      <c r="I245" s="527">
        <v>1</v>
      </c>
      <c r="J245" s="531">
        <f t="shared" si="53" ref="J245">H245/G245*I245</f>
        <v>0.50</v>
      </c>
      <c r="K245" s="527">
        <v>1</v>
      </c>
      <c r="L245" s="267">
        <f t="shared" si="54" ref="L245">J245*K245</f>
        <v>0.50</v>
      </c>
      <c r="M245" s="433">
        <f t="shared" si="55" ref="M245">L245*N245</f>
        <v>100</v>
      </c>
      <c r="N245" s="434">
        <v>200</v>
      </c>
      <c r="O245" s="435">
        <f t="shared" si="56" ref="O245">J245/I245*K245</f>
        <v>0.50</v>
      </c>
    </row>
    <row r="246" ht="15.75" thickBot="1"/>
    <row r="247" spans="1:6" ht="15">
      <c r="A247" s="500" t="s">
        <v>328</v>
      </c>
      <c r="B247" s="631" t="s">
        <v>1593</v>
      </c>
      <c r="C247" s="632"/>
      <c r="D247" s="633"/>
      <c r="E247" s="501" t="s">
        <v>332</v>
      </c>
      <c r="F247" s="502" t="s">
        <v>333</v>
      </c>
    </row>
    <row r="248" spans="1:6" ht="15.75" thickBot="1">
      <c r="A248" s="504">
        <v>6</v>
      </c>
      <c r="B248" s="634" t="s">
        <v>1657</v>
      </c>
      <c r="C248" s="635"/>
      <c r="D248" s="636"/>
      <c r="E248" s="505" t="s">
        <v>1697</v>
      </c>
      <c r="F248" s="506">
        <v>45142</v>
      </c>
    </row>
    <row r="249" spans="1:16" ht="15">
      <c r="A249" s="13" t="s">
        <v>292</v>
      </c>
      <c r="B249" s="27" t="s">
        <v>21</v>
      </c>
      <c r="C249" s="13" t="s">
        <v>33</v>
      </c>
      <c r="D249" s="13">
        <v>219</v>
      </c>
      <c r="E249" s="13"/>
      <c r="F249" s="13" t="s">
        <v>12</v>
      </c>
      <c r="G249" s="436">
        <v>1.63</v>
      </c>
      <c r="H249" s="440">
        <v>10</v>
      </c>
      <c r="I249" s="28">
        <v>2</v>
      </c>
      <c r="J249" s="441">
        <f t="shared" si="57" ref="J249:J250">H249/G249*I249</f>
        <v>12.269938650306749</v>
      </c>
      <c r="K249" s="28">
        <v>1</v>
      </c>
      <c r="L249" s="267">
        <f t="shared" si="58" ref="L249:L250">J249*K249</f>
        <v>12.269938650306749</v>
      </c>
      <c r="M249" s="433">
        <f t="shared" si="59" ref="M249:M250">L249*N249</f>
        <v>2036.8098159509202</v>
      </c>
      <c r="N249" s="434">
        <v>166</v>
      </c>
      <c r="O249" s="435">
        <f t="shared" si="60" ref="O249:O250">J249/I249*K249</f>
        <v>6.1349693251533743</v>
      </c>
      <c r="P249" s="22"/>
    </row>
    <row r="250" spans="1:16" ht="15">
      <c r="A250" s="13" t="s">
        <v>292</v>
      </c>
      <c r="B250" s="27" t="s">
        <v>21</v>
      </c>
      <c r="C250" s="13" t="s">
        <v>33</v>
      </c>
      <c r="D250" s="13">
        <v>219</v>
      </c>
      <c r="E250" s="13"/>
      <c r="F250" s="13" t="s">
        <v>12</v>
      </c>
      <c r="G250" s="569">
        <f t="shared" si="61" ref="G250">1.63*2</f>
        <v>3.26</v>
      </c>
      <c r="H250" s="440">
        <v>10</v>
      </c>
      <c r="I250" s="28">
        <v>2</v>
      </c>
      <c r="J250" s="441">
        <f t="shared" si="57"/>
        <v>6.1349693251533743</v>
      </c>
      <c r="K250" s="28">
        <v>1</v>
      </c>
      <c r="L250" s="267">
        <f t="shared" si="58"/>
        <v>6.1349693251533743</v>
      </c>
      <c r="M250" s="433">
        <f t="shared" si="59"/>
        <v>1018.4049079754601</v>
      </c>
      <c r="N250" s="434">
        <v>166</v>
      </c>
      <c r="O250" s="435">
        <f t="shared" si="60"/>
        <v>3.0674846625766872</v>
      </c>
      <c r="P250" s="22"/>
    </row>
  </sheetData>
  <autoFilter ref="A4:P193"/>
  <mergeCells count="83">
    <mergeCell ref="A25:A30"/>
    <mergeCell ref="B25:B30"/>
    <mergeCell ref="E25:E27"/>
    <mergeCell ref="E28:E30"/>
    <mergeCell ref="A31:A32"/>
    <mergeCell ref="B31:B32"/>
    <mergeCell ref="B5:K5"/>
    <mergeCell ref="B18:K18"/>
    <mergeCell ref="A19:A20"/>
    <mergeCell ref="B19:B20"/>
    <mergeCell ref="A21:A24"/>
    <mergeCell ref="B21:B24"/>
    <mergeCell ref="E21:E22"/>
    <mergeCell ref="E23:E24"/>
    <mergeCell ref="A35:A36"/>
    <mergeCell ref="B35:B36"/>
    <mergeCell ref="E35:E36"/>
    <mergeCell ref="A37:A39"/>
    <mergeCell ref="B37:B39"/>
    <mergeCell ref="E37:E39"/>
    <mergeCell ref="A44:A45"/>
    <mergeCell ref="B44:B45"/>
    <mergeCell ref="E44:E45"/>
    <mergeCell ref="A46:A48"/>
    <mergeCell ref="B46:B48"/>
    <mergeCell ref="E46:E48"/>
    <mergeCell ref="A74:A75"/>
    <mergeCell ref="B74:B75"/>
    <mergeCell ref="A49:A52"/>
    <mergeCell ref="B49:B52"/>
    <mergeCell ref="A55:A56"/>
    <mergeCell ref="B55:B56"/>
    <mergeCell ref="A61:A64"/>
    <mergeCell ref="B61:B64"/>
    <mergeCell ref="B73:K73"/>
    <mergeCell ref="E55:E56"/>
    <mergeCell ref="A57:A59"/>
    <mergeCell ref="B57:B59"/>
    <mergeCell ref="E57:E59"/>
    <mergeCell ref="A77:A80"/>
    <mergeCell ref="B77:B80"/>
    <mergeCell ref="E77:E78"/>
    <mergeCell ref="E79:E80"/>
    <mergeCell ref="A81:A84"/>
    <mergeCell ref="B81:B84"/>
    <mergeCell ref="E81:E82"/>
    <mergeCell ref="E83:E84"/>
    <mergeCell ref="B168:K168"/>
    <mergeCell ref="B115:K115"/>
    <mergeCell ref="B119:K119"/>
    <mergeCell ref="A126:A127"/>
    <mergeCell ref="B126:B127"/>
    <mergeCell ref="A139:A140"/>
    <mergeCell ref="B139:B140"/>
    <mergeCell ref="A141:A143"/>
    <mergeCell ref="B141:B143"/>
    <mergeCell ref="A144:A145"/>
    <mergeCell ref="B144:B145"/>
    <mergeCell ref="A165:A166"/>
    <mergeCell ref="B165:B166"/>
    <mergeCell ref="B108:K108"/>
    <mergeCell ref="A85:A88"/>
    <mergeCell ref="B85:B88"/>
    <mergeCell ref="E86:E88"/>
    <mergeCell ref="A91:A92"/>
    <mergeCell ref="B91:B92"/>
    <mergeCell ref="B95:K95"/>
    <mergeCell ref="A96:A98"/>
    <mergeCell ref="B96:B98"/>
    <mergeCell ref="A226:A227"/>
    <mergeCell ref="B226:B227"/>
    <mergeCell ref="B247:D247"/>
    <mergeCell ref="B248:D248"/>
    <mergeCell ref="B223:D223"/>
    <mergeCell ref="B224:D224"/>
    <mergeCell ref="B228:D228"/>
    <mergeCell ref="B243:D243"/>
    <mergeCell ref="B244:D244"/>
    <mergeCell ref="B235:D235"/>
    <mergeCell ref="B236:D236"/>
    <mergeCell ref="B231:D231"/>
    <mergeCell ref="B232:D232"/>
    <mergeCell ref="B229:D22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223"/>
  <sheetViews>
    <sheetView zoomScale="85" zoomScaleNormal="85" workbookViewId="0" topLeftCell="A196">
      <selection pane="topLeft" activeCell="G223" sqref="G223"/>
    </sheetView>
  </sheetViews>
  <sheetFormatPr defaultRowHeight="15"/>
  <cols>
    <col min="1" max="1" width="8.714285714285714" style="268" customWidth="1"/>
    <col min="2" max="2" width="48.857142857142854" style="268" customWidth="1"/>
    <col min="3" max="3" width="42.714285714285715" style="268" customWidth="1"/>
    <col min="4" max="4" width="22.571428571428573" style="268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 customHeight="1">
      <c r="B1" s="497">
        <v>44634</v>
      </c>
    </row>
    <row r="2" spans="2:9" ht="15" customHeight="1">
      <c r="B2" s="428" t="s">
        <v>1339</v>
      </c>
      <c r="F2" s="429" t="s">
        <v>22</v>
      </c>
      <c r="G2" s="268">
        <f>3583/1000</f>
        <v>3.5830000000000002</v>
      </c>
      <c r="H2" s="427" t="s">
        <v>23</v>
      </c>
      <c r="I2" s="268" t="s">
        <v>23</v>
      </c>
    </row>
    <row r="3" spans="3:5" ht="15" customHeight="1">
      <c r="C3" s="428"/>
      <c r="D3" s="428"/>
      <c r="E3" s="428"/>
    </row>
    <row r="4" spans="1:15" ht="65.25" customHeight="1">
      <c r="A4" s="13" t="s">
        <v>20</v>
      </c>
      <c r="B4" s="13" t="s">
        <v>0</v>
      </c>
      <c r="C4" s="13" t="s">
        <v>1</v>
      </c>
      <c r="D4" s="13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SUM(M6:M16)</f>
        <v>885.16266666666661</v>
      </c>
      <c r="N5" s="263"/>
      <c r="O5" s="264">
        <f>SUM(O6:O16)</f>
        <v>5.0293333333333337</v>
      </c>
    </row>
    <row r="6" spans="1:15" s="457" customFormat="1" ht="15">
      <c r="A6" s="459" t="s">
        <v>835</v>
      </c>
      <c r="B6" s="498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6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34</v>
      </c>
      <c r="L6" s="465">
        <f t="shared" si="1" ref="L6:L16">J6*K6</f>
        <v>0.66300000000000003</v>
      </c>
      <c r="M6" s="466">
        <f t="shared" si="2" ref="M6:M16">L6*N6</f>
        <v>116.688</v>
      </c>
      <c r="N6" s="466">
        <v>176</v>
      </c>
      <c r="O6" s="456">
        <f t="shared" si="3" ref="O6:O16">J6/I6*K6</f>
        <v>0.66300000000000003</v>
      </c>
    </row>
    <row r="7" spans="1:15" s="457" customFormat="1" ht="15">
      <c r="A7" s="459" t="s">
        <v>836</v>
      </c>
      <c r="B7" s="498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8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200</v>
      </c>
      <c r="H8" s="462">
        <v>10</v>
      </c>
      <c r="I8" s="463">
        <v>1</v>
      </c>
      <c r="J8" s="464">
        <f>3/60</f>
        <v>0.05</v>
      </c>
      <c r="K8" s="461">
        <v>2</v>
      </c>
      <c r="L8" s="465">
        <f t="shared" si="1"/>
        <v>0.10000000000000001</v>
      </c>
      <c r="M8" s="466">
        <f t="shared" si="2"/>
        <v>17.60</v>
      </c>
      <c r="N8" s="466">
        <v>176</v>
      </c>
      <c r="O8" s="456">
        <f t="shared" si="3"/>
        <v>0.10000000000000001</v>
      </c>
    </row>
    <row r="9" spans="1:15" s="457" customFormat="1" ht="15">
      <c r="A9" s="459" t="s">
        <v>838</v>
      </c>
      <c r="B9" s="498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3</v>
      </c>
      <c r="L9" s="465">
        <f t="shared" si="1"/>
        <v>0.051500000000000004</v>
      </c>
      <c r="M9" s="466">
        <f t="shared" si="2"/>
        <v>9.0640000000000001</v>
      </c>
      <c r="N9" s="466">
        <v>176</v>
      </c>
      <c r="O9" s="456">
        <f t="shared" si="3"/>
        <v>0.051500000000000004</v>
      </c>
    </row>
    <row r="10" spans="1:15" s="457" customFormat="1" ht="15">
      <c r="A10" s="459" t="s">
        <v>839</v>
      </c>
      <c r="B10" s="498" t="s">
        <v>957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88.888888888888886</v>
      </c>
      <c r="H10" s="462">
        <v>10</v>
      </c>
      <c r="I10" s="463">
        <v>1</v>
      </c>
      <c r="J10" s="464">
        <f>6.75/60</f>
        <v>0.1125</v>
      </c>
      <c r="K10" s="461">
        <v>2</v>
      </c>
      <c r="L10" s="465">
        <f t="shared" si="1"/>
        <v>0.225</v>
      </c>
      <c r="M10" s="466">
        <f t="shared" si="2"/>
        <v>39.60</v>
      </c>
      <c r="N10" s="466">
        <v>176</v>
      </c>
      <c r="O10" s="456">
        <f t="shared" si="3"/>
        <v>0.225</v>
      </c>
    </row>
    <row r="11" spans="1:15" s="457" customFormat="1" ht="15">
      <c r="A11" s="459" t="s">
        <v>840</v>
      </c>
      <c r="B11" s="498" t="s">
        <v>930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550.45871559633019</v>
      </c>
      <c r="H11" s="462">
        <v>10</v>
      </c>
      <c r="I11" s="463">
        <v>1</v>
      </c>
      <c r="J11" s="464">
        <f>1.09/60</f>
        <v>0.018166666666666668</v>
      </c>
      <c r="K11" s="461">
        <v>1</v>
      </c>
      <c r="L11" s="465">
        <f t="shared" si="1"/>
        <v>0.018166666666666668</v>
      </c>
      <c r="M11" s="466">
        <f t="shared" si="2"/>
        <v>3.1973333333333334</v>
      </c>
      <c r="N11" s="466">
        <v>176</v>
      </c>
      <c r="O11" s="456">
        <f t="shared" si="3"/>
        <v>0.018166666666666668</v>
      </c>
    </row>
    <row r="12" spans="1:15" s="457" customFormat="1" ht="15">
      <c r="A12" s="459" t="s">
        <v>841</v>
      </c>
      <c r="B12" s="498" t="s">
        <v>959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287.08133971291863</v>
      </c>
      <c r="H12" s="462">
        <v>10</v>
      </c>
      <c r="I12" s="463">
        <v>1</v>
      </c>
      <c r="J12" s="464">
        <f>2.09/60</f>
        <v>0.034833333333333334</v>
      </c>
      <c r="K12" s="461">
        <v>6</v>
      </c>
      <c r="L12" s="465">
        <f t="shared" si="1"/>
        <v>0.20900000000000002</v>
      </c>
      <c r="M12" s="466">
        <f t="shared" si="2"/>
        <v>36.784000000000006</v>
      </c>
      <c r="N12" s="466">
        <v>176</v>
      </c>
      <c r="O12" s="456">
        <f t="shared" si="3"/>
        <v>0.20900000000000002</v>
      </c>
    </row>
    <row r="13" spans="1:15" s="457" customFormat="1" ht="15">
      <c r="A13" s="459" t="s">
        <v>842</v>
      </c>
      <c r="B13" s="498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0.038833333333333338</v>
      </c>
      <c r="K13" s="461">
        <v>86</v>
      </c>
      <c r="L13" s="465">
        <f t="shared" si="1"/>
        <v>3.339666666666667</v>
      </c>
      <c r="M13" s="466">
        <f t="shared" si="2"/>
        <v>587.78133333333335</v>
      </c>
      <c r="N13" s="466">
        <v>176</v>
      </c>
      <c r="O13" s="456">
        <f t="shared" si="3"/>
        <v>3.339666666666667</v>
      </c>
    </row>
    <row r="14" spans="1:15" s="457" customFormat="1" ht="15">
      <c r="A14" s="459" t="s">
        <v>843</v>
      </c>
      <c r="B14" s="498" t="s">
        <v>854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631.57894736842115</v>
      </c>
      <c r="H14" s="462">
        <v>10</v>
      </c>
      <c r="I14" s="463">
        <v>1</v>
      </c>
      <c r="J14" s="464">
        <f>0.95/60</f>
        <v>0.015833333333333331</v>
      </c>
      <c r="K14" s="461">
        <v>8</v>
      </c>
      <c r="L14" s="465">
        <f t="shared" si="1"/>
        <v>0.12666666666666665</v>
      </c>
      <c r="M14" s="466">
        <f t="shared" si="2"/>
        <v>22.293333333333329</v>
      </c>
      <c r="N14" s="466">
        <v>176</v>
      </c>
      <c r="O14" s="456">
        <f t="shared" si="3"/>
        <v>0.12666666666666665</v>
      </c>
    </row>
    <row r="15" spans="1:15" s="457" customFormat="1" ht="15">
      <c r="A15" s="459" t="s">
        <v>844</v>
      </c>
      <c r="B15" s="498" t="s">
        <v>855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454.5454545454545</v>
      </c>
      <c r="H15" s="462">
        <v>10</v>
      </c>
      <c r="I15" s="463">
        <v>1</v>
      </c>
      <c r="J15" s="464">
        <f>1.32/60</f>
        <v>0.022000000000000002</v>
      </c>
      <c r="K15" s="461">
        <v>6</v>
      </c>
      <c r="L15" s="465">
        <f t="shared" si="1"/>
        <v>0.13200000000000001</v>
      </c>
      <c r="M15" s="466">
        <f t="shared" si="2"/>
        <v>23.231999999999999</v>
      </c>
      <c r="N15" s="466">
        <v>176</v>
      </c>
      <c r="O15" s="456">
        <f t="shared" si="3"/>
        <v>0.13200000000000001</v>
      </c>
    </row>
    <row r="16" spans="1:15" s="457" customFormat="1" ht="15">
      <c r="A16" s="459" t="s">
        <v>845</v>
      </c>
      <c r="B16" s="498" t="s">
        <v>960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179.1044776119403</v>
      </c>
      <c r="H16" s="462">
        <v>10</v>
      </c>
      <c r="I16" s="463">
        <v>1</v>
      </c>
      <c r="J16" s="464">
        <f>3.35/60</f>
        <v>0.055833333333333332</v>
      </c>
      <c r="K16" s="461">
        <v>2</v>
      </c>
      <c r="L16" s="465">
        <f t="shared" si="1"/>
        <v>0.11166666666666666</v>
      </c>
      <c r="M16" s="466">
        <f t="shared" si="2"/>
        <v>19.653333333333332</v>
      </c>
      <c r="N16" s="466">
        <v>176</v>
      </c>
      <c r="O16" s="456">
        <f t="shared" si="3"/>
        <v>0.11166666666666666</v>
      </c>
    </row>
    <row r="17" spans="1:15" ht="15" customHeight="1">
      <c r="A17" s="39"/>
      <c r="B17" s="649" t="s">
        <v>130</v>
      </c>
      <c r="C17" s="649"/>
      <c r="D17" s="649"/>
      <c r="E17" s="649"/>
      <c r="F17" s="649"/>
      <c r="G17" s="649"/>
      <c r="H17" s="649"/>
      <c r="I17" s="649"/>
      <c r="J17" s="649"/>
      <c r="K17" s="649"/>
      <c r="L17" s="265"/>
      <c r="M17" s="262">
        <f>SUM(M18:M71)</f>
        <v>9070.6277620241181</v>
      </c>
      <c r="N17" s="430"/>
      <c r="O17" s="264">
        <f>SUM(O18:O71)</f>
        <v>40.860499005200346</v>
      </c>
    </row>
    <row r="18" spans="1:15" s="0" customFormat="1" ht="15" customHeight="1">
      <c r="A18" s="642" t="s">
        <v>143</v>
      </c>
      <c r="B18" s="639" t="s">
        <v>144</v>
      </c>
      <c r="C18" s="13" t="s">
        <v>1340</v>
      </c>
      <c r="D18" s="13">
        <v>105</v>
      </c>
      <c r="E18" s="13"/>
      <c r="F18" s="17" t="s">
        <v>353</v>
      </c>
      <c r="G18" s="469">
        <v>14.60</v>
      </c>
      <c r="H18" s="252">
        <v>10</v>
      </c>
      <c r="I18" s="16">
        <v>1</v>
      </c>
      <c r="J18" s="253">
        <f>H18/G18*I18</f>
        <v>0.68493150684931503</v>
      </c>
      <c r="K18" s="52">
        <v>1</v>
      </c>
      <c r="L18" s="26">
        <f t="shared" si="4" ref="L18:L71">J18*K18</f>
        <v>0.68493150684931503</v>
      </c>
      <c r="M18" s="37">
        <f>L18*N18</f>
        <v>136.98630136986301</v>
      </c>
      <c r="N18" s="85">
        <v>200</v>
      </c>
      <c r="O18" s="8">
        <f>J18/I18*K18</f>
        <v>0.68493150684931503</v>
      </c>
    </row>
    <row r="19" spans="1:15" s="0" customFormat="1" ht="15" customHeight="1">
      <c r="A19" s="644"/>
      <c r="B19" s="641"/>
      <c r="C19" s="13" t="s">
        <v>962</v>
      </c>
      <c r="D19" s="13">
        <v>105</v>
      </c>
      <c r="E19" s="13"/>
      <c r="F19" s="17" t="s">
        <v>353</v>
      </c>
      <c r="G19" s="469">
        <v>14.60</v>
      </c>
      <c r="H19" s="252">
        <v>10</v>
      </c>
      <c r="I19" s="16">
        <v>1</v>
      </c>
      <c r="J19" s="253">
        <f>H19/G19*I19</f>
        <v>0.68493150684931503</v>
      </c>
      <c r="K19" s="52">
        <v>1</v>
      </c>
      <c r="L19" s="26">
        <f t="shared" si="4"/>
        <v>0.68493150684931503</v>
      </c>
      <c r="M19" s="37">
        <f>L19*N19</f>
        <v>136.98630136986301</v>
      </c>
      <c r="N19" s="85">
        <v>200</v>
      </c>
      <c r="O19" s="8">
        <f>J19/I19*K19</f>
        <v>0.68493150684931503</v>
      </c>
    </row>
    <row r="20" spans="1:15" s="0" customFormat="1" ht="15" customHeight="1">
      <c r="A20" s="642" t="s">
        <v>146</v>
      </c>
      <c r="B20" s="639" t="s">
        <v>411</v>
      </c>
      <c r="C20" s="13" t="s">
        <v>1341</v>
      </c>
      <c r="D20" s="54">
        <v>1109</v>
      </c>
      <c r="E20" s="645" t="s">
        <v>911</v>
      </c>
      <c r="F20" s="17" t="s">
        <v>10</v>
      </c>
      <c r="G20" s="16">
        <v>40</v>
      </c>
      <c r="H20" s="252">
        <v>10</v>
      </c>
      <c r="I20" s="16">
        <v>1</v>
      </c>
      <c r="J20" s="253">
        <f t="shared" si="5" ref="J20:J71">H20/G20*I20</f>
        <v>0.25</v>
      </c>
      <c r="K20" s="260">
        <f>880/1000+0.1</f>
        <v>0.98</v>
      </c>
      <c r="L20" s="26">
        <f t="shared" si="4"/>
        <v>0.245</v>
      </c>
      <c r="M20" s="43">
        <f t="shared" si="6" ref="M20:M71">L20*N20</f>
        <v>49</v>
      </c>
      <c r="N20" s="85">
        <v>200</v>
      </c>
      <c r="O20" s="8">
        <f t="shared" si="7" ref="O20:O71">J20/I20*K20</f>
        <v>0.245</v>
      </c>
    </row>
    <row r="21" spans="1:15" s="0" customFormat="1" ht="15" customHeight="1">
      <c r="A21" s="643"/>
      <c r="B21" s="640"/>
      <c r="C21" s="13" t="s">
        <v>1342</v>
      </c>
      <c r="D21" s="90">
        <v>109</v>
      </c>
      <c r="E21" s="647"/>
      <c r="F21" s="17" t="s">
        <v>10</v>
      </c>
      <c r="G21" s="16">
        <v>27</v>
      </c>
      <c r="H21" s="252">
        <v>10</v>
      </c>
      <c r="I21" s="16">
        <v>1</v>
      </c>
      <c r="J21" s="253">
        <f t="shared" si="5"/>
        <v>0.37037037037037035</v>
      </c>
      <c r="K21" s="260">
        <f>880/1000+0.1</f>
        <v>0.98</v>
      </c>
      <c r="L21" s="26">
        <f t="shared" si="4"/>
        <v>0.36296296296296293</v>
      </c>
      <c r="M21" s="43">
        <f t="shared" si="6"/>
        <v>72.592592592592581</v>
      </c>
      <c r="N21" s="85">
        <v>200</v>
      </c>
      <c r="O21" s="8">
        <f t="shared" si="7"/>
        <v>0.36296296296296293</v>
      </c>
    </row>
    <row r="22" spans="1:15" s="0" customFormat="1" ht="15" customHeight="1">
      <c r="A22" s="643"/>
      <c r="B22" s="640"/>
      <c r="C22" s="13" t="s">
        <v>965</v>
      </c>
      <c r="D22" s="54">
        <v>109</v>
      </c>
      <c r="E22" s="645" t="s">
        <v>911</v>
      </c>
      <c r="F22" s="17" t="s">
        <v>10</v>
      </c>
      <c r="G22" s="16">
        <v>40</v>
      </c>
      <c r="H22" s="252">
        <v>10</v>
      </c>
      <c r="I22" s="16">
        <v>1</v>
      </c>
      <c r="J22" s="253">
        <f t="shared" si="5"/>
        <v>0.25</v>
      </c>
      <c r="K22" s="260">
        <f>1480/1000+0.1</f>
        <v>1.58</v>
      </c>
      <c r="L22" s="26">
        <f t="shared" si="4"/>
        <v>0.395</v>
      </c>
      <c r="M22" s="43">
        <f t="shared" si="6"/>
        <v>79</v>
      </c>
      <c r="N22" s="85">
        <v>200</v>
      </c>
      <c r="O22" s="8">
        <f t="shared" si="7"/>
        <v>0.395</v>
      </c>
    </row>
    <row r="23" spans="1:15" s="0" customFormat="1" ht="15" customHeight="1">
      <c r="A23" s="644"/>
      <c r="B23" s="641"/>
      <c r="C23" s="13" t="s">
        <v>966</v>
      </c>
      <c r="D23" s="90">
        <v>109</v>
      </c>
      <c r="E23" s="647"/>
      <c r="F23" s="17" t="s">
        <v>10</v>
      </c>
      <c r="G23" s="16">
        <v>27</v>
      </c>
      <c r="H23" s="252">
        <v>10</v>
      </c>
      <c r="I23" s="16">
        <v>1</v>
      </c>
      <c r="J23" s="253">
        <f t="shared" si="5"/>
        <v>0.37037037037037035</v>
      </c>
      <c r="K23" s="260">
        <f>1480/1000+0.2</f>
        <v>1.68</v>
      </c>
      <c r="L23" s="26">
        <f t="shared" si="4"/>
        <v>0.62222222222222212</v>
      </c>
      <c r="M23" s="43">
        <f t="shared" si="6"/>
        <v>124.44444444444443</v>
      </c>
      <c r="N23" s="85">
        <v>200</v>
      </c>
      <c r="O23" s="8">
        <f t="shared" si="7"/>
        <v>0.62222222222222212</v>
      </c>
    </row>
    <row r="24" spans="1:15" s="0" customFormat="1" ht="15" customHeight="1">
      <c r="A24" s="642" t="s">
        <v>148</v>
      </c>
      <c r="B24" s="639" t="s">
        <v>412</v>
      </c>
      <c r="C24" s="13" t="s">
        <v>1343</v>
      </c>
      <c r="D24" s="13">
        <v>107</v>
      </c>
      <c r="E24" s="637" t="s">
        <v>43</v>
      </c>
      <c r="F24" s="17" t="s">
        <v>10</v>
      </c>
      <c r="G24" s="16">
        <v>40</v>
      </c>
      <c r="H24" s="252">
        <v>10</v>
      </c>
      <c r="I24" s="16">
        <v>1</v>
      </c>
      <c r="J24" s="253">
        <f t="shared" si="5"/>
        <v>0.25</v>
      </c>
      <c r="K24" s="30">
        <f>880/1000+0.1</f>
        <v>0.98</v>
      </c>
      <c r="L24" s="26">
        <f t="shared" si="4"/>
        <v>0.245</v>
      </c>
      <c r="M24" s="37">
        <f t="shared" si="6"/>
        <v>49</v>
      </c>
      <c r="N24" s="85">
        <v>200</v>
      </c>
      <c r="O24" s="8">
        <f t="shared" si="7"/>
        <v>0.245</v>
      </c>
    </row>
    <row r="25" spans="1:15" s="0" customFormat="1" ht="15" customHeight="1">
      <c r="A25" s="643"/>
      <c r="B25" s="640"/>
      <c r="C25" s="13" t="s">
        <v>1344</v>
      </c>
      <c r="D25" s="13">
        <v>107</v>
      </c>
      <c r="E25" s="637"/>
      <c r="F25" s="17" t="s">
        <v>10</v>
      </c>
      <c r="G25" s="16">
        <v>25</v>
      </c>
      <c r="H25" s="252">
        <v>10</v>
      </c>
      <c r="I25" s="16">
        <v>1</v>
      </c>
      <c r="J25" s="253">
        <f t="shared" si="5"/>
        <v>0.40</v>
      </c>
      <c r="K25" s="30">
        <f>880/1000</f>
        <v>0.88</v>
      </c>
      <c r="L25" s="26">
        <f t="shared" si="4"/>
        <v>0.35200000000000004</v>
      </c>
      <c r="M25" s="37">
        <f t="shared" si="6"/>
        <v>61.952000000000005</v>
      </c>
      <c r="N25" s="85">
        <v>176</v>
      </c>
      <c r="O25" s="8">
        <f t="shared" si="7"/>
        <v>0.35200000000000004</v>
      </c>
    </row>
    <row r="26" spans="1:15" s="0" customFormat="1" ht="15" customHeight="1">
      <c r="A26" s="643"/>
      <c r="B26" s="640"/>
      <c r="C26" s="13" t="s">
        <v>1345</v>
      </c>
      <c r="D26" s="13">
        <v>107</v>
      </c>
      <c r="E26" s="637"/>
      <c r="F26" s="17" t="s">
        <v>10</v>
      </c>
      <c r="G26" s="16">
        <v>28.50</v>
      </c>
      <c r="H26" s="252">
        <v>10</v>
      </c>
      <c r="I26" s="16">
        <v>1</v>
      </c>
      <c r="J26" s="253">
        <f t="shared" si="5"/>
        <v>0.35087719298245612</v>
      </c>
      <c r="K26" s="30">
        <f>880/1000+0.1</f>
        <v>0.98</v>
      </c>
      <c r="L26" s="26">
        <f t="shared" si="4"/>
        <v>0.34385964912280698</v>
      </c>
      <c r="M26" s="37">
        <f t="shared" si="6"/>
        <v>68.771929824561397</v>
      </c>
      <c r="N26" s="85">
        <v>200</v>
      </c>
      <c r="O26" s="8">
        <f t="shared" si="7"/>
        <v>0.34385964912280698</v>
      </c>
    </row>
    <row r="27" spans="1:15" s="0" customFormat="1" ht="15" customHeight="1">
      <c r="A27" s="643"/>
      <c r="B27" s="640"/>
      <c r="C27" s="13" t="s">
        <v>413</v>
      </c>
      <c r="D27" s="13">
        <v>107</v>
      </c>
      <c r="E27" s="637" t="s">
        <v>43</v>
      </c>
      <c r="F27" s="17" t="s">
        <v>10</v>
      </c>
      <c r="G27" s="16">
        <v>40</v>
      </c>
      <c r="H27" s="252">
        <v>10</v>
      </c>
      <c r="I27" s="16">
        <v>1</v>
      </c>
      <c r="J27" s="253">
        <f t="shared" si="5"/>
        <v>0.25</v>
      </c>
      <c r="K27" s="30">
        <f>1480/1000+0.1</f>
        <v>1.58</v>
      </c>
      <c r="L27" s="26">
        <f t="shared" si="4"/>
        <v>0.395</v>
      </c>
      <c r="M27" s="37">
        <f t="shared" si="6"/>
        <v>79</v>
      </c>
      <c r="N27" s="85">
        <v>200</v>
      </c>
      <c r="O27" s="8">
        <f t="shared" si="7"/>
        <v>0.395</v>
      </c>
    </row>
    <row r="28" spans="1:15" s="0" customFormat="1" ht="15" customHeight="1">
      <c r="A28" s="643"/>
      <c r="B28" s="640"/>
      <c r="C28" s="13" t="s">
        <v>414</v>
      </c>
      <c r="D28" s="13">
        <v>107</v>
      </c>
      <c r="E28" s="637"/>
      <c r="F28" s="17" t="s">
        <v>10</v>
      </c>
      <c r="G28" s="16">
        <v>25</v>
      </c>
      <c r="H28" s="252">
        <v>10</v>
      </c>
      <c r="I28" s="16">
        <v>1</v>
      </c>
      <c r="J28" s="253">
        <f t="shared" si="5"/>
        <v>0.40</v>
      </c>
      <c r="K28" s="30">
        <f>1480/1000</f>
        <v>1.48</v>
      </c>
      <c r="L28" s="26">
        <f t="shared" si="4"/>
        <v>0.59199999999999997</v>
      </c>
      <c r="M28" s="37">
        <f t="shared" si="6"/>
        <v>104.19199999999999</v>
      </c>
      <c r="N28" s="85">
        <v>176</v>
      </c>
      <c r="O28" s="8">
        <f t="shared" si="7"/>
        <v>0.59199999999999997</v>
      </c>
    </row>
    <row r="29" spans="1:15" s="0" customFormat="1" ht="15" customHeight="1">
      <c r="A29" s="644"/>
      <c r="B29" s="641"/>
      <c r="C29" s="13" t="s">
        <v>415</v>
      </c>
      <c r="D29" s="13">
        <v>107</v>
      </c>
      <c r="E29" s="637"/>
      <c r="F29" s="17" t="s">
        <v>10</v>
      </c>
      <c r="G29" s="16">
        <v>28.50</v>
      </c>
      <c r="H29" s="252">
        <v>10</v>
      </c>
      <c r="I29" s="16">
        <v>1</v>
      </c>
      <c r="J29" s="253">
        <f t="shared" si="5"/>
        <v>0.35087719298245612</v>
      </c>
      <c r="K29" s="30">
        <f>1480/1000+0.1</f>
        <v>1.58</v>
      </c>
      <c r="L29" s="26">
        <f t="shared" si="4"/>
        <v>0.55438596491228065</v>
      </c>
      <c r="M29" s="37">
        <f t="shared" si="6"/>
        <v>110.87719298245614</v>
      </c>
      <c r="N29" s="85">
        <v>200</v>
      </c>
      <c r="O29" s="8">
        <f t="shared" si="7"/>
        <v>0.55438596491228065</v>
      </c>
    </row>
    <row r="30" spans="1:15" s="0" customFormat="1" ht="15">
      <c r="A30" s="642" t="s">
        <v>421</v>
      </c>
      <c r="B30" s="639" t="s">
        <v>149</v>
      </c>
      <c r="C30" s="13" t="s">
        <v>1340</v>
      </c>
      <c r="D30" s="13">
        <v>105</v>
      </c>
      <c r="E30" s="13"/>
      <c r="F30" s="17" t="s">
        <v>353</v>
      </c>
      <c r="G30" s="469">
        <f>14.6/0.65</f>
        <v>22.46153846153846</v>
      </c>
      <c r="H30" s="252">
        <v>10</v>
      </c>
      <c r="I30" s="16">
        <v>1</v>
      </c>
      <c r="J30" s="253">
        <f>H30/G30*I30</f>
        <v>0.44520547945205485</v>
      </c>
      <c r="K30" s="52">
        <v>1</v>
      </c>
      <c r="L30" s="26">
        <f t="shared" si="4"/>
        <v>0.44520547945205485</v>
      </c>
      <c r="M30" s="37">
        <f>L30*N30</f>
        <v>89.041095890410972</v>
      </c>
      <c r="N30" s="85">
        <v>200</v>
      </c>
      <c r="O30" s="8">
        <f>J30/I30*K30</f>
        <v>0.44520547945205485</v>
      </c>
    </row>
    <row r="31" spans="1:15" s="0" customFormat="1" ht="15">
      <c r="A31" s="644"/>
      <c r="B31" s="641"/>
      <c r="C31" s="13" t="s">
        <v>962</v>
      </c>
      <c r="D31" s="13">
        <v>105</v>
      </c>
      <c r="E31" s="13"/>
      <c r="F31" s="17" t="s">
        <v>353</v>
      </c>
      <c r="G31" s="469">
        <f>14.6/0.65</f>
        <v>22.46153846153846</v>
      </c>
      <c r="H31" s="252">
        <v>10</v>
      </c>
      <c r="I31" s="16">
        <v>1</v>
      </c>
      <c r="J31" s="253">
        <f>H31/G31*I31</f>
        <v>0.44520547945205485</v>
      </c>
      <c r="K31" s="52">
        <v>1</v>
      </c>
      <c r="L31" s="26">
        <f t="shared" si="4"/>
        <v>0.44520547945205485</v>
      </c>
      <c r="M31" s="37">
        <f>L31*N31</f>
        <v>89.041095890410972</v>
      </c>
      <c r="N31" s="85">
        <v>200</v>
      </c>
      <c r="O31" s="8">
        <f>J31/I31*K31</f>
        <v>0.44520547945205485</v>
      </c>
    </row>
    <row r="32" spans="1:15" s="0" customFormat="1" ht="30">
      <c r="A32" s="529" t="s">
        <v>1662</v>
      </c>
      <c r="B32" s="522" t="s">
        <v>1661</v>
      </c>
      <c r="C32" s="523" t="s">
        <v>9</v>
      </c>
      <c r="D32" s="523">
        <v>109</v>
      </c>
      <c r="E32" s="523"/>
      <c r="F32" s="524" t="s">
        <v>10</v>
      </c>
      <c r="G32" s="525">
        <v>33</v>
      </c>
      <c r="H32" s="526">
        <v>10</v>
      </c>
      <c r="I32" s="527">
        <v>1</v>
      </c>
      <c r="J32" s="528">
        <f t="shared" si="8" ref="J32">H32/G32*I32</f>
        <v>0.30303030303030304</v>
      </c>
      <c r="K32" s="525">
        <f>(350*2)/1000</f>
        <v>0.70</v>
      </c>
      <c r="L32" s="267">
        <f t="shared" si="4"/>
        <v>0.21212121212121213</v>
      </c>
      <c r="M32" s="266">
        <f t="shared" si="9" ref="M32">L32*N32</f>
        <v>32.242424242424242</v>
      </c>
      <c r="N32" s="433">
        <v>152</v>
      </c>
      <c r="O32" s="267">
        <f t="shared" si="10" ref="O32">J32/I32*K32</f>
        <v>0.21212121212121213</v>
      </c>
    </row>
    <row r="33" spans="1:15" s="0" customFormat="1" ht="15">
      <c r="A33" s="57" t="s">
        <v>422</v>
      </c>
      <c r="B33" s="56" t="s">
        <v>423</v>
      </c>
      <c r="C33" s="13" t="s">
        <v>24</v>
      </c>
      <c r="D33" s="13">
        <v>108</v>
      </c>
      <c r="E33" s="13"/>
      <c r="F33" s="25" t="s">
        <v>45</v>
      </c>
      <c r="G33" s="16">
        <v>10</v>
      </c>
      <c r="H33" s="252">
        <v>10</v>
      </c>
      <c r="I33" s="16">
        <v>2</v>
      </c>
      <c r="J33" s="253">
        <f t="shared" si="11" ref="J33:J38">H33/G33*I33</f>
        <v>2</v>
      </c>
      <c r="K33" s="16">
        <v>1</v>
      </c>
      <c r="L33" s="26">
        <f t="shared" si="4"/>
        <v>2</v>
      </c>
      <c r="M33" s="43">
        <f t="shared" si="12" ref="M33:M38">L33*N33</f>
        <v>400</v>
      </c>
      <c r="N33" s="85">
        <v>200</v>
      </c>
      <c r="O33" s="8">
        <f t="shared" si="13" ref="O33:O38">J33/I33*K33</f>
        <v>1</v>
      </c>
    </row>
    <row r="34" spans="1:15" s="0" customFormat="1" ht="15">
      <c r="A34" s="642" t="s">
        <v>150</v>
      </c>
      <c r="B34" s="702" t="s">
        <v>424</v>
      </c>
      <c r="C34" s="13" t="s">
        <v>970</v>
      </c>
      <c r="D34" s="54">
        <v>109</v>
      </c>
      <c r="E34" s="645" t="s">
        <v>911</v>
      </c>
      <c r="F34" s="17" t="s">
        <v>10</v>
      </c>
      <c r="G34" s="16">
        <v>40</v>
      </c>
      <c r="H34" s="252">
        <v>10</v>
      </c>
      <c r="I34" s="16">
        <v>1</v>
      </c>
      <c r="J34" s="253">
        <f t="shared" si="11"/>
        <v>0.25</v>
      </c>
      <c r="K34" s="260">
        <f>824*3.1415/1000</f>
        <v>2.5885959999999999</v>
      </c>
      <c r="L34" s="26">
        <f t="shared" si="4"/>
        <v>0.64714899999999997</v>
      </c>
      <c r="M34" s="43">
        <f t="shared" si="12"/>
        <v>129.4298</v>
      </c>
      <c r="N34" s="85">
        <v>200</v>
      </c>
      <c r="O34" s="8">
        <f t="shared" si="13"/>
        <v>0.64714899999999997</v>
      </c>
    </row>
    <row r="35" spans="1:15" s="0" customFormat="1" ht="15">
      <c r="A35" s="644"/>
      <c r="B35" s="678"/>
      <c r="C35" s="13" t="s">
        <v>151</v>
      </c>
      <c r="D35" s="90">
        <v>109</v>
      </c>
      <c r="E35" s="647"/>
      <c r="F35" s="17" t="s">
        <v>10</v>
      </c>
      <c r="G35" s="16">
        <v>27</v>
      </c>
      <c r="H35" s="252">
        <v>10</v>
      </c>
      <c r="I35" s="16">
        <v>1</v>
      </c>
      <c r="J35" s="253">
        <f t="shared" si="11"/>
        <v>0.37037037037037035</v>
      </c>
      <c r="K35" s="30">
        <f>(824*3.1415)/1000</f>
        <v>2.5885959999999999</v>
      </c>
      <c r="L35" s="26">
        <f t="shared" si="4"/>
        <v>0.95873925925925918</v>
      </c>
      <c r="M35" s="43">
        <f t="shared" si="12"/>
        <v>191.74785185185183</v>
      </c>
      <c r="N35" s="85">
        <v>200</v>
      </c>
      <c r="O35" s="8">
        <f t="shared" si="13"/>
        <v>0.95873925925925918</v>
      </c>
    </row>
    <row r="36" spans="1:15" s="0" customFormat="1" ht="15">
      <c r="A36" s="650" t="s">
        <v>425</v>
      </c>
      <c r="B36" s="703" t="s">
        <v>426</v>
      </c>
      <c r="C36" s="13" t="s">
        <v>970</v>
      </c>
      <c r="D36" s="13">
        <v>107</v>
      </c>
      <c r="E36" s="637" t="s">
        <v>43</v>
      </c>
      <c r="F36" s="17" t="s">
        <v>10</v>
      </c>
      <c r="G36" s="16">
        <v>40</v>
      </c>
      <c r="H36" s="252">
        <v>10</v>
      </c>
      <c r="I36" s="16">
        <v>1</v>
      </c>
      <c r="J36" s="471">
        <f t="shared" si="11"/>
        <v>0.25</v>
      </c>
      <c r="K36" s="30">
        <f>(824*3.1415)/1000</f>
        <v>2.5885959999999999</v>
      </c>
      <c r="L36" s="26">
        <f t="shared" si="4"/>
        <v>0.64714899999999997</v>
      </c>
      <c r="M36" s="43">
        <f t="shared" si="12"/>
        <v>129.4298</v>
      </c>
      <c r="N36" s="85">
        <v>200</v>
      </c>
      <c r="O36" s="8">
        <f t="shared" si="13"/>
        <v>0.64714899999999997</v>
      </c>
    </row>
    <row r="37" spans="1:15" s="0" customFormat="1" ht="15">
      <c r="A37" s="650"/>
      <c r="B37" s="703"/>
      <c r="C37" s="13" t="s">
        <v>971</v>
      </c>
      <c r="D37" s="13">
        <v>107</v>
      </c>
      <c r="E37" s="637"/>
      <c r="F37" s="17" t="s">
        <v>10</v>
      </c>
      <c r="G37" s="16">
        <v>25</v>
      </c>
      <c r="H37" s="252">
        <v>10</v>
      </c>
      <c r="I37" s="16">
        <v>1</v>
      </c>
      <c r="J37" s="471">
        <f t="shared" si="11"/>
        <v>0.40</v>
      </c>
      <c r="K37" s="30">
        <f>(824*3.1415)/1000</f>
        <v>2.5885959999999999</v>
      </c>
      <c r="L37" s="26">
        <f t="shared" si="4"/>
        <v>1.0354384000000001</v>
      </c>
      <c r="M37" s="43">
        <f t="shared" si="12"/>
        <v>182.23715840000003</v>
      </c>
      <c r="N37" s="85">
        <v>176</v>
      </c>
      <c r="O37" s="8">
        <f t="shared" si="13"/>
        <v>1.0354384000000001</v>
      </c>
    </row>
    <row r="38" spans="1:15" s="0" customFormat="1" ht="15">
      <c r="A38" s="650"/>
      <c r="B38" s="703"/>
      <c r="C38" s="13" t="s">
        <v>972</v>
      </c>
      <c r="D38" s="13">
        <v>107</v>
      </c>
      <c r="E38" s="637"/>
      <c r="F38" s="17" t="s">
        <v>10</v>
      </c>
      <c r="G38" s="16">
        <v>28.50</v>
      </c>
      <c r="H38" s="252">
        <v>10</v>
      </c>
      <c r="I38" s="16">
        <v>1</v>
      </c>
      <c r="J38" s="471">
        <f t="shared" si="11"/>
        <v>0.35087719298245612</v>
      </c>
      <c r="K38" s="30">
        <f>(824*3.1415)/1000</f>
        <v>2.5885959999999999</v>
      </c>
      <c r="L38" s="26">
        <f t="shared" si="4"/>
        <v>0.90827929824561393</v>
      </c>
      <c r="M38" s="43">
        <f t="shared" si="12"/>
        <v>181.65585964912279</v>
      </c>
      <c r="N38" s="85">
        <v>200</v>
      </c>
      <c r="O38" s="8">
        <f t="shared" si="13"/>
        <v>0.90827929824561393</v>
      </c>
    </row>
    <row r="39" spans="1:15" ht="15">
      <c r="A39" s="57" t="s">
        <v>152</v>
      </c>
      <c r="B39" s="56" t="s">
        <v>153</v>
      </c>
      <c r="C39" s="13" t="s">
        <v>154</v>
      </c>
      <c r="D39" s="13">
        <v>124</v>
      </c>
      <c r="E39" s="13"/>
      <c r="F39" s="13" t="s">
        <v>354</v>
      </c>
      <c r="G39" s="442">
        <v>10</v>
      </c>
      <c r="H39" s="440">
        <v>10</v>
      </c>
      <c r="I39" s="28">
        <v>1</v>
      </c>
      <c r="J39" s="441">
        <f t="shared" si="5"/>
        <v>1</v>
      </c>
      <c r="K39" s="432">
        <v>1</v>
      </c>
      <c r="L39" s="267">
        <f t="shared" si="4"/>
        <v>1</v>
      </c>
      <c r="M39" s="433">
        <f t="shared" si="6"/>
        <v>200</v>
      </c>
      <c r="N39" s="434">
        <v>200</v>
      </c>
      <c r="O39" s="435">
        <f t="shared" si="7"/>
        <v>1</v>
      </c>
    </row>
    <row r="40" spans="1:15" ht="30">
      <c r="A40" s="57" t="s">
        <v>155</v>
      </c>
      <c r="B40" s="56" t="s">
        <v>156</v>
      </c>
      <c r="C40" s="13" t="s">
        <v>157</v>
      </c>
      <c r="D40" s="13" t="s">
        <v>1329</v>
      </c>
      <c r="E40" s="13"/>
      <c r="F40" s="13" t="s">
        <v>354</v>
      </c>
      <c r="G40" s="442">
        <v>4.3099999999999996</v>
      </c>
      <c r="H40" s="440">
        <v>10</v>
      </c>
      <c r="I40" s="28">
        <v>1</v>
      </c>
      <c r="J40" s="441">
        <f t="shared" si="5"/>
        <v>2.3201856148491879</v>
      </c>
      <c r="K40" s="432">
        <v>1</v>
      </c>
      <c r="L40" s="267">
        <f t="shared" si="4"/>
        <v>2.3201856148491879</v>
      </c>
      <c r="M40" s="433">
        <f t="shared" si="6"/>
        <v>464.03712296983758</v>
      </c>
      <c r="N40" s="434">
        <v>200</v>
      </c>
      <c r="O40" s="435">
        <f t="shared" si="7"/>
        <v>2.3201856148491879</v>
      </c>
    </row>
    <row r="41" spans="1:15" ht="30">
      <c r="A41" s="57" t="s">
        <v>158</v>
      </c>
      <c r="B41" s="56" t="s">
        <v>159</v>
      </c>
      <c r="C41" s="13" t="s">
        <v>160</v>
      </c>
      <c r="D41" s="13" t="s">
        <v>1331</v>
      </c>
      <c r="E41" s="13" t="s">
        <v>161</v>
      </c>
      <c r="F41" s="13" t="s">
        <v>10</v>
      </c>
      <c r="G41" s="439">
        <v>15.40</v>
      </c>
      <c r="H41" s="440">
        <v>10</v>
      </c>
      <c r="I41" s="28">
        <v>1</v>
      </c>
      <c r="J41" s="441">
        <f t="shared" si="5"/>
        <v>0.64935064935064934</v>
      </c>
      <c r="K41" s="436">
        <f>(61/1000)*3.1415*4</f>
        <v>0.76652600000000004</v>
      </c>
      <c r="L41" s="435">
        <f t="shared" si="4"/>
        <v>0.49774415584415588</v>
      </c>
      <c r="M41" s="266">
        <f t="shared" si="6"/>
        <v>99.548831168831171</v>
      </c>
      <c r="N41" s="433">
        <v>200</v>
      </c>
      <c r="O41" s="435">
        <f t="shared" si="7"/>
        <v>0.49774415584415588</v>
      </c>
    </row>
    <row r="42" spans="1:15" ht="15">
      <c r="A42" s="57" t="s">
        <v>427</v>
      </c>
      <c r="B42" s="273" t="s">
        <v>428</v>
      </c>
      <c r="C42" s="13" t="s">
        <v>24</v>
      </c>
      <c r="D42" s="13">
        <v>110</v>
      </c>
      <c r="E42" s="13"/>
      <c r="F42" s="4" t="s">
        <v>38</v>
      </c>
      <c r="G42" s="442">
        <v>10</v>
      </c>
      <c r="H42" s="440">
        <v>10</v>
      </c>
      <c r="I42" s="28">
        <v>2</v>
      </c>
      <c r="J42" s="441">
        <f t="shared" si="5"/>
        <v>2</v>
      </c>
      <c r="K42" s="28">
        <v>1</v>
      </c>
      <c r="L42" s="267">
        <f t="shared" si="4"/>
        <v>2</v>
      </c>
      <c r="M42" s="433">
        <f t="shared" si="6"/>
        <v>400</v>
      </c>
      <c r="N42" s="434">
        <v>200</v>
      </c>
      <c r="O42" s="435">
        <f t="shared" si="7"/>
        <v>1</v>
      </c>
    </row>
    <row r="43" spans="1:15" ht="15">
      <c r="A43" s="637" t="s">
        <v>162</v>
      </c>
      <c r="B43" s="638" t="s">
        <v>429</v>
      </c>
      <c r="C43" s="13" t="s">
        <v>1426</v>
      </c>
      <c r="D43" s="13">
        <v>109</v>
      </c>
      <c r="E43" s="637" t="s">
        <v>911</v>
      </c>
      <c r="F43" s="13" t="s">
        <v>10</v>
      </c>
      <c r="G43" s="28">
        <v>40</v>
      </c>
      <c r="H43" s="440">
        <v>10</v>
      </c>
      <c r="I43" s="28">
        <v>1</v>
      </c>
      <c r="J43" s="441">
        <f t="shared" si="5"/>
        <v>0.25</v>
      </c>
      <c r="K43" s="436">
        <f>824/1000*3.1415</f>
        <v>2.5885959999999999</v>
      </c>
      <c r="L43" s="267">
        <f t="shared" si="4"/>
        <v>0.64714899999999997</v>
      </c>
      <c r="M43" s="433">
        <f t="shared" si="6"/>
        <v>129.4298</v>
      </c>
      <c r="N43" s="434">
        <v>200</v>
      </c>
      <c r="O43" s="435">
        <f t="shared" si="7"/>
        <v>0.64714899999999997</v>
      </c>
    </row>
    <row r="44" spans="1:15" ht="15">
      <c r="A44" s="637"/>
      <c r="B44" s="638"/>
      <c r="C44" s="13" t="s">
        <v>1427</v>
      </c>
      <c r="D44" s="13">
        <v>109</v>
      </c>
      <c r="E44" s="637"/>
      <c r="F44" s="13" t="s">
        <v>10</v>
      </c>
      <c r="G44" s="28">
        <v>27</v>
      </c>
      <c r="H44" s="440">
        <v>10</v>
      </c>
      <c r="I44" s="28">
        <v>1</v>
      </c>
      <c r="J44" s="441">
        <f t="shared" si="5"/>
        <v>0.37037037037037035</v>
      </c>
      <c r="K44" s="436">
        <f>824/1000*3.1415</f>
        <v>2.5885959999999999</v>
      </c>
      <c r="L44" s="267">
        <f t="shared" si="4"/>
        <v>0.95873925925925918</v>
      </c>
      <c r="M44" s="433">
        <f t="shared" si="6"/>
        <v>191.74785185185183</v>
      </c>
      <c r="N44" s="434">
        <v>200</v>
      </c>
      <c r="O44" s="435">
        <f t="shared" si="7"/>
        <v>0.95873925925925918</v>
      </c>
    </row>
    <row r="45" spans="1:15" ht="15">
      <c r="A45" s="642" t="s">
        <v>430</v>
      </c>
      <c r="B45" s="639" t="s">
        <v>431</v>
      </c>
      <c r="C45" s="13" t="s">
        <v>1426</v>
      </c>
      <c r="D45" s="54">
        <v>107</v>
      </c>
      <c r="E45" s="645" t="s">
        <v>43</v>
      </c>
      <c r="F45" s="13" t="s">
        <v>10</v>
      </c>
      <c r="G45" s="28">
        <v>40</v>
      </c>
      <c r="H45" s="440">
        <v>10</v>
      </c>
      <c r="I45" s="28">
        <v>1</v>
      </c>
      <c r="J45" s="441">
        <f t="shared" si="5"/>
        <v>0.25</v>
      </c>
      <c r="K45" s="436">
        <f>824/1000*3.1415</f>
        <v>2.5885959999999999</v>
      </c>
      <c r="L45" s="267">
        <f t="shared" si="4"/>
        <v>0.64714899999999997</v>
      </c>
      <c r="M45" s="433">
        <f t="shared" si="6"/>
        <v>129.4298</v>
      </c>
      <c r="N45" s="434">
        <v>200</v>
      </c>
      <c r="O45" s="435">
        <f t="shared" si="7"/>
        <v>0.64714899999999997</v>
      </c>
    </row>
    <row r="46" spans="1:15" ht="15" customHeight="1">
      <c r="A46" s="643"/>
      <c r="B46" s="640"/>
      <c r="C46" s="13" t="s">
        <v>1428</v>
      </c>
      <c r="D46" s="274">
        <v>107</v>
      </c>
      <c r="E46" s="646"/>
      <c r="F46" s="13" t="s">
        <v>10</v>
      </c>
      <c r="G46" s="28">
        <v>25</v>
      </c>
      <c r="H46" s="440">
        <v>10</v>
      </c>
      <c r="I46" s="28">
        <v>1</v>
      </c>
      <c r="J46" s="453">
        <f t="shared" si="5"/>
        <v>0.40</v>
      </c>
      <c r="K46" s="436">
        <f>824*3.1415/1000</f>
        <v>2.5885959999999999</v>
      </c>
      <c r="L46" s="267">
        <f t="shared" si="4"/>
        <v>1.0354384000000001</v>
      </c>
      <c r="M46" s="433">
        <f t="shared" si="6"/>
        <v>182.23715840000003</v>
      </c>
      <c r="N46" s="434">
        <v>176</v>
      </c>
      <c r="O46" s="435">
        <f t="shared" si="7"/>
        <v>1.0354384000000001</v>
      </c>
    </row>
    <row r="47" spans="1:15" ht="15">
      <c r="A47" s="644"/>
      <c r="B47" s="641"/>
      <c r="C47" s="13" t="s">
        <v>1429</v>
      </c>
      <c r="D47" s="90">
        <v>107</v>
      </c>
      <c r="E47" s="647"/>
      <c r="F47" s="13" t="s">
        <v>10</v>
      </c>
      <c r="G47" s="28">
        <v>28.50</v>
      </c>
      <c r="H47" s="440">
        <v>10</v>
      </c>
      <c r="I47" s="28">
        <v>1</v>
      </c>
      <c r="J47" s="453">
        <f t="shared" si="5"/>
        <v>0.35087719298245612</v>
      </c>
      <c r="K47" s="436">
        <f>824*3.1415/1000</f>
        <v>2.5885959999999999</v>
      </c>
      <c r="L47" s="267">
        <f t="shared" si="4"/>
        <v>0.90827929824561393</v>
      </c>
      <c r="M47" s="433">
        <f t="shared" si="6"/>
        <v>181.65585964912279</v>
      </c>
      <c r="N47" s="434">
        <v>200</v>
      </c>
      <c r="O47" s="435">
        <f t="shared" si="7"/>
        <v>0.90827929824561393</v>
      </c>
    </row>
    <row r="48" spans="1:15" s="0" customFormat="1" ht="15">
      <c r="A48" s="650" t="s">
        <v>163</v>
      </c>
      <c r="B48" s="638" t="s">
        <v>164</v>
      </c>
      <c r="C48" s="13" t="s">
        <v>165</v>
      </c>
      <c r="D48" s="13">
        <v>123</v>
      </c>
      <c r="E48" s="13"/>
      <c r="F48" s="17" t="s">
        <v>973</v>
      </c>
      <c r="G48" s="16">
        <v>10.40</v>
      </c>
      <c r="H48" s="252">
        <v>10</v>
      </c>
      <c r="I48" s="16">
        <v>1</v>
      </c>
      <c r="J48" s="253">
        <f t="shared" si="5"/>
        <v>0.96153846153846145</v>
      </c>
      <c r="K48" s="52">
        <v>1</v>
      </c>
      <c r="L48" s="26">
        <f t="shared" si="4"/>
        <v>0.96153846153846145</v>
      </c>
      <c r="M48" s="43">
        <f t="shared" si="6"/>
        <v>192.30769230769229</v>
      </c>
      <c r="N48" s="85">
        <v>200</v>
      </c>
      <c r="O48" s="8">
        <f t="shared" si="7"/>
        <v>0.96153846153846145</v>
      </c>
    </row>
    <row r="49" spans="1:15" s="0" customFormat="1" ht="15">
      <c r="A49" s="650"/>
      <c r="B49" s="638"/>
      <c r="C49" s="13" t="s">
        <v>166</v>
      </c>
      <c r="D49" s="13">
        <v>123</v>
      </c>
      <c r="E49" s="13"/>
      <c r="F49" s="17" t="s">
        <v>973</v>
      </c>
      <c r="G49" s="16">
        <f>$G$48*2</f>
        <v>20.80</v>
      </c>
      <c r="H49" s="252">
        <v>10</v>
      </c>
      <c r="I49" s="16">
        <v>1</v>
      </c>
      <c r="J49" s="253">
        <f t="shared" si="5"/>
        <v>0.48076923076923073</v>
      </c>
      <c r="K49" s="52">
        <v>1</v>
      </c>
      <c r="L49" s="26">
        <f t="shared" si="4"/>
        <v>0.48076923076923073</v>
      </c>
      <c r="M49" s="43">
        <f t="shared" si="6"/>
        <v>96.153846153846146</v>
      </c>
      <c r="N49" s="85">
        <v>200</v>
      </c>
      <c r="O49" s="8">
        <f t="shared" si="7"/>
        <v>0.48076923076923073</v>
      </c>
    </row>
    <row r="50" spans="1:15" s="0" customFormat="1" ht="15">
      <c r="A50" s="650"/>
      <c r="B50" s="638"/>
      <c r="C50" s="13" t="s">
        <v>167</v>
      </c>
      <c r="D50" s="13">
        <v>122</v>
      </c>
      <c r="E50" s="13"/>
      <c r="F50" s="17" t="s">
        <v>973</v>
      </c>
      <c r="G50" s="16">
        <f>$G$48*2</f>
        <v>20.80</v>
      </c>
      <c r="H50" s="252">
        <v>10</v>
      </c>
      <c r="I50" s="16">
        <v>1</v>
      </c>
      <c r="J50" s="253">
        <f t="shared" si="5"/>
        <v>0.48076923076923073</v>
      </c>
      <c r="K50" s="52">
        <v>1</v>
      </c>
      <c r="L50" s="26">
        <f t="shared" si="4"/>
        <v>0.48076923076923073</v>
      </c>
      <c r="M50" s="43">
        <f t="shared" si="6"/>
        <v>96.153846153846146</v>
      </c>
      <c r="N50" s="85">
        <v>200</v>
      </c>
      <c r="O50" s="8">
        <f t="shared" si="7"/>
        <v>0.48076923076923073</v>
      </c>
    </row>
    <row r="51" spans="1:15" s="0" customFormat="1" ht="15">
      <c r="A51" s="650"/>
      <c r="B51" s="638"/>
      <c r="C51" s="13" t="s">
        <v>168</v>
      </c>
      <c r="D51" s="13" t="s">
        <v>1332</v>
      </c>
      <c r="E51" s="13"/>
      <c r="F51" s="17" t="s">
        <v>973</v>
      </c>
      <c r="G51" s="16">
        <f>$G$48*2</f>
        <v>20.80</v>
      </c>
      <c r="H51" s="252">
        <v>10</v>
      </c>
      <c r="I51" s="16">
        <v>1</v>
      </c>
      <c r="J51" s="253">
        <f t="shared" si="5"/>
        <v>0.48076923076923073</v>
      </c>
      <c r="K51" s="52">
        <v>1</v>
      </c>
      <c r="L51" s="26">
        <f t="shared" si="4"/>
        <v>0.48076923076923073</v>
      </c>
      <c r="M51" s="43">
        <f t="shared" si="6"/>
        <v>84.615384615384613</v>
      </c>
      <c r="N51" s="85">
        <v>176</v>
      </c>
      <c r="O51" s="8">
        <f t="shared" si="7"/>
        <v>0.48076923076923073</v>
      </c>
    </row>
    <row r="52" spans="1:15" s="0" customFormat="1" ht="15">
      <c r="A52" s="57" t="s">
        <v>514</v>
      </c>
      <c r="B52" s="213" t="s">
        <v>974</v>
      </c>
      <c r="C52" s="13" t="s">
        <v>975</v>
      </c>
      <c r="D52" s="13" t="s">
        <v>1332</v>
      </c>
      <c r="E52" s="13"/>
      <c r="F52" s="17" t="s">
        <v>973</v>
      </c>
      <c r="G52" s="16">
        <v>40</v>
      </c>
      <c r="H52" s="252">
        <v>10</v>
      </c>
      <c r="I52" s="16">
        <v>1</v>
      </c>
      <c r="J52" s="253">
        <f t="shared" si="5"/>
        <v>0.25</v>
      </c>
      <c r="K52" s="30">
        <f>824*3.1415/1000</f>
        <v>2.5885959999999999</v>
      </c>
      <c r="L52" s="26">
        <f t="shared" si="4"/>
        <v>0.64714899999999997</v>
      </c>
      <c r="M52" s="43">
        <f t="shared" si="6"/>
        <v>113.898224</v>
      </c>
      <c r="N52" s="85">
        <v>176</v>
      </c>
      <c r="O52" s="8">
        <f t="shared" si="7"/>
        <v>0.64714899999999997</v>
      </c>
    </row>
    <row r="53" spans="1:15" s="0" customFormat="1" ht="15">
      <c r="A53" s="57" t="s">
        <v>432</v>
      </c>
      <c r="B53" s="273" t="s">
        <v>433</v>
      </c>
      <c r="C53" s="13" t="s">
        <v>39</v>
      </c>
      <c r="D53" s="13">
        <v>110</v>
      </c>
      <c r="E53" s="13"/>
      <c r="F53" s="25" t="s">
        <v>170</v>
      </c>
      <c r="G53" s="16">
        <v>6.67</v>
      </c>
      <c r="H53" s="252">
        <v>10</v>
      </c>
      <c r="I53" s="16">
        <v>2</v>
      </c>
      <c r="J53" s="253">
        <f t="shared" si="5"/>
        <v>2.9985007496251876</v>
      </c>
      <c r="K53" s="16">
        <v>1</v>
      </c>
      <c r="L53" s="26">
        <f t="shared" si="4"/>
        <v>2.9985007496251876</v>
      </c>
      <c r="M53" s="43">
        <f t="shared" si="6"/>
        <v>599.70014992503752</v>
      </c>
      <c r="N53" s="43">
        <v>200</v>
      </c>
      <c r="O53" s="8">
        <f t="shared" si="7"/>
        <v>1.4992503748125938</v>
      </c>
    </row>
    <row r="54" spans="1:15" s="0" customFormat="1" ht="15">
      <c r="A54" s="650" t="s">
        <v>169</v>
      </c>
      <c r="B54" s="638" t="s">
        <v>435</v>
      </c>
      <c r="C54" s="13" t="s">
        <v>976</v>
      </c>
      <c r="D54" s="54">
        <v>109</v>
      </c>
      <c r="E54" s="645" t="s">
        <v>44</v>
      </c>
      <c r="F54" s="17" t="s">
        <v>10</v>
      </c>
      <c r="G54" s="16">
        <v>40</v>
      </c>
      <c r="H54" s="252">
        <v>10</v>
      </c>
      <c r="I54" s="16">
        <v>1</v>
      </c>
      <c r="J54" s="253">
        <f t="shared" si="5"/>
        <v>0.25</v>
      </c>
      <c r="K54" s="30">
        <f>0.824*3.1415</f>
        <v>2.5885959999999999</v>
      </c>
      <c r="L54" s="26">
        <f t="shared" si="4"/>
        <v>0.64714899999999997</v>
      </c>
      <c r="M54" s="43">
        <f t="shared" si="6"/>
        <v>129.4298</v>
      </c>
      <c r="N54" s="43">
        <v>200</v>
      </c>
      <c r="O54" s="8">
        <f t="shared" si="7"/>
        <v>0.64714899999999997</v>
      </c>
    </row>
    <row r="55" spans="1:15" s="0" customFormat="1" ht="15">
      <c r="A55" s="650"/>
      <c r="B55" s="638"/>
      <c r="C55" s="13" t="s">
        <v>977</v>
      </c>
      <c r="D55" s="90">
        <v>109</v>
      </c>
      <c r="E55" s="647"/>
      <c r="F55" s="17" t="s">
        <v>10</v>
      </c>
      <c r="G55" s="16">
        <v>27</v>
      </c>
      <c r="H55" s="252">
        <v>10</v>
      </c>
      <c r="I55" s="16">
        <v>1</v>
      </c>
      <c r="J55" s="253">
        <f t="shared" si="5"/>
        <v>0.37037037037037035</v>
      </c>
      <c r="K55" s="30">
        <f>0.824*3.1415*2</f>
        <v>5.1771919999999998</v>
      </c>
      <c r="L55" s="26">
        <f t="shared" si="4"/>
        <v>1.9174785185185184</v>
      </c>
      <c r="M55" s="43">
        <f t="shared" si="6"/>
        <v>383.49570370370367</v>
      </c>
      <c r="N55" s="43">
        <v>200</v>
      </c>
      <c r="O55" s="8">
        <f t="shared" si="7"/>
        <v>1.9174785185185184</v>
      </c>
    </row>
    <row r="56" spans="1:15" s="0" customFormat="1" ht="15">
      <c r="A56" s="650" t="s">
        <v>434</v>
      </c>
      <c r="B56" s="638" t="s">
        <v>436</v>
      </c>
      <c r="C56" s="13" t="s">
        <v>976</v>
      </c>
      <c r="D56" s="13">
        <v>107</v>
      </c>
      <c r="E56" s="637" t="s">
        <v>43</v>
      </c>
      <c r="F56" s="17" t="s">
        <v>10</v>
      </c>
      <c r="G56" s="16">
        <v>40</v>
      </c>
      <c r="H56" s="252">
        <v>10</v>
      </c>
      <c r="I56" s="16">
        <v>1</v>
      </c>
      <c r="J56" s="471">
        <f t="shared" si="5"/>
        <v>0.25</v>
      </c>
      <c r="K56" s="30">
        <f>(824*3.1415)/1000</f>
        <v>2.5885959999999999</v>
      </c>
      <c r="L56" s="26">
        <f t="shared" si="4"/>
        <v>0.64714899999999997</v>
      </c>
      <c r="M56" s="43">
        <f t="shared" si="6"/>
        <v>129.4298</v>
      </c>
      <c r="N56" s="85">
        <v>200</v>
      </c>
      <c r="O56" s="8">
        <f t="shared" si="7"/>
        <v>0.64714899999999997</v>
      </c>
    </row>
    <row r="57" spans="1:15" s="0" customFormat="1" ht="15">
      <c r="A57" s="650"/>
      <c r="B57" s="638"/>
      <c r="C57" s="13" t="s">
        <v>978</v>
      </c>
      <c r="D57" s="13">
        <v>107</v>
      </c>
      <c r="E57" s="637"/>
      <c r="F57" s="17" t="s">
        <v>10</v>
      </c>
      <c r="G57" s="16">
        <v>25</v>
      </c>
      <c r="H57" s="252">
        <v>10</v>
      </c>
      <c r="I57" s="16">
        <v>1</v>
      </c>
      <c r="J57" s="471">
        <f t="shared" si="5"/>
        <v>0.40</v>
      </c>
      <c r="K57" s="30">
        <f>(824*3.1415)/1000</f>
        <v>2.5885959999999999</v>
      </c>
      <c r="L57" s="26">
        <f t="shared" si="4"/>
        <v>1.0354384000000001</v>
      </c>
      <c r="M57" s="43">
        <f t="shared" si="6"/>
        <v>182.23715840000003</v>
      </c>
      <c r="N57" s="85">
        <v>176</v>
      </c>
      <c r="O57" s="8">
        <f t="shared" si="7"/>
        <v>1.0354384000000001</v>
      </c>
    </row>
    <row r="58" spans="1:15" s="0" customFormat="1" ht="15">
      <c r="A58" s="650"/>
      <c r="B58" s="638"/>
      <c r="C58" s="13" t="s">
        <v>979</v>
      </c>
      <c r="D58" s="13">
        <v>107</v>
      </c>
      <c r="E58" s="637"/>
      <c r="F58" s="17" t="s">
        <v>10</v>
      </c>
      <c r="G58" s="16">
        <v>28.50</v>
      </c>
      <c r="H58" s="252">
        <v>10</v>
      </c>
      <c r="I58" s="16">
        <v>1</v>
      </c>
      <c r="J58" s="471">
        <f t="shared" si="5"/>
        <v>0.35087719298245612</v>
      </c>
      <c r="K58" s="30">
        <f>(824*3.1415*2)/1000</f>
        <v>5.1771919999999998</v>
      </c>
      <c r="L58" s="26">
        <f t="shared" si="4"/>
        <v>1.8165585964912279</v>
      </c>
      <c r="M58" s="43">
        <f t="shared" si="6"/>
        <v>363.31171929824558</v>
      </c>
      <c r="N58" s="85">
        <v>200</v>
      </c>
      <c r="O58" s="8">
        <f t="shared" si="7"/>
        <v>1.8165585964912279</v>
      </c>
    </row>
    <row r="59" spans="1:15" ht="15">
      <c r="A59" s="57" t="s">
        <v>629</v>
      </c>
      <c r="B59" s="56" t="s">
        <v>1346</v>
      </c>
      <c r="C59" s="13" t="s">
        <v>862</v>
      </c>
      <c r="D59" s="13">
        <v>224</v>
      </c>
      <c r="E59" s="13"/>
      <c r="F59" s="17"/>
      <c r="G59" s="28">
        <f>(600-25)/10</f>
        <v>57.50</v>
      </c>
      <c r="H59" s="440">
        <v>10</v>
      </c>
      <c r="I59" s="28">
        <v>2</v>
      </c>
      <c r="J59" s="441">
        <f t="shared" si="5"/>
        <v>0.34782608695652173</v>
      </c>
      <c r="K59" s="28">
        <v>1</v>
      </c>
      <c r="L59" s="267">
        <f t="shared" si="4"/>
        <v>0.34782608695652173</v>
      </c>
      <c r="M59" s="433">
        <f t="shared" si="6"/>
        <v>69.565217391304344</v>
      </c>
      <c r="N59" s="434">
        <v>200</v>
      </c>
      <c r="O59" s="435">
        <f t="shared" si="7"/>
        <v>0.17391304347826086</v>
      </c>
    </row>
    <row r="60" spans="1:15" s="0" customFormat="1" ht="15" customHeight="1">
      <c r="A60" s="637" t="s">
        <v>172</v>
      </c>
      <c r="B60" s="638" t="s">
        <v>121</v>
      </c>
      <c r="C60" s="13" t="s">
        <v>24</v>
      </c>
      <c r="D60" s="13">
        <v>110</v>
      </c>
      <c r="E60" s="13"/>
      <c r="F60" s="25" t="s">
        <v>173</v>
      </c>
      <c r="G60" s="30">
        <v>13</v>
      </c>
      <c r="H60" s="252">
        <v>10</v>
      </c>
      <c r="I60" s="16">
        <v>2</v>
      </c>
      <c r="J60" s="253">
        <f t="shared" si="5"/>
        <v>1.5384615384615385</v>
      </c>
      <c r="K60" s="16">
        <v>1</v>
      </c>
      <c r="L60" s="26">
        <f t="shared" si="4"/>
        <v>1.5384615384615385</v>
      </c>
      <c r="M60" s="43">
        <f t="shared" si="6"/>
        <v>307.69230769230774</v>
      </c>
      <c r="N60" s="43">
        <v>200</v>
      </c>
      <c r="O60" s="8">
        <f t="shared" si="7"/>
        <v>0.76923076923076927</v>
      </c>
    </row>
    <row r="61" spans="1:15" s="0" customFormat="1" ht="15">
      <c r="A61" s="637"/>
      <c r="B61" s="638"/>
      <c r="C61" s="13" t="s">
        <v>25</v>
      </c>
      <c r="D61" s="13">
        <v>110</v>
      </c>
      <c r="E61" s="13" t="s">
        <v>122</v>
      </c>
      <c r="F61" s="25" t="s">
        <v>10</v>
      </c>
      <c r="G61" s="16">
        <v>40</v>
      </c>
      <c r="H61" s="252">
        <v>10</v>
      </c>
      <c r="I61" s="16">
        <v>1</v>
      </c>
      <c r="J61" s="253">
        <f t="shared" si="5"/>
        <v>0.25</v>
      </c>
      <c r="K61" s="30">
        <f>920*3.1415*2/1000</f>
        <v>5.7803600000000008</v>
      </c>
      <c r="L61" s="26">
        <f t="shared" si="4"/>
        <v>1.4450900000000002</v>
      </c>
      <c r="M61" s="42">
        <f t="shared" si="6"/>
        <v>289.01800000000003</v>
      </c>
      <c r="N61" s="43">
        <v>200</v>
      </c>
      <c r="O61" s="8">
        <f t="shared" si="7"/>
        <v>1.4450900000000002</v>
      </c>
    </row>
    <row r="62" spans="1:15" s="0" customFormat="1" ht="15">
      <c r="A62" s="637"/>
      <c r="B62" s="638"/>
      <c r="C62" s="13" t="s">
        <v>981</v>
      </c>
      <c r="D62" s="13">
        <v>110</v>
      </c>
      <c r="E62" s="13"/>
      <c r="F62" s="25" t="s">
        <v>10</v>
      </c>
      <c r="G62" s="16">
        <v>25</v>
      </c>
      <c r="H62" s="252">
        <v>10</v>
      </c>
      <c r="I62" s="16">
        <v>1</v>
      </c>
      <c r="J62" s="253">
        <f t="shared" si="5"/>
        <v>0.40</v>
      </c>
      <c r="K62" s="30">
        <f>920*3.1415/1000</f>
        <v>2.8901800000000004</v>
      </c>
      <c r="L62" s="26">
        <f t="shared" si="4"/>
        <v>1.1560720000000002</v>
      </c>
      <c r="M62" s="42">
        <f t="shared" si="6"/>
        <v>203.46867200000003</v>
      </c>
      <c r="N62" s="43">
        <v>176</v>
      </c>
      <c r="O62" s="8">
        <f t="shared" si="7"/>
        <v>1.1560720000000002</v>
      </c>
    </row>
    <row r="63" spans="1:15" s="0" customFormat="1" ht="15">
      <c r="A63" s="637"/>
      <c r="B63" s="638"/>
      <c r="C63" s="13" t="s">
        <v>1015</v>
      </c>
      <c r="D63" s="13">
        <v>110</v>
      </c>
      <c r="E63" s="13"/>
      <c r="F63" s="4" t="s">
        <v>10</v>
      </c>
      <c r="G63" s="28">
        <v>25</v>
      </c>
      <c r="H63" s="437">
        <v>10</v>
      </c>
      <c r="I63" s="28">
        <v>1</v>
      </c>
      <c r="J63" s="438">
        <f t="shared" si="5"/>
        <v>0.40</v>
      </c>
      <c r="K63" s="436">
        <f>(920*3.1415)/1000</f>
        <v>2.8901800000000004</v>
      </c>
      <c r="L63" s="435">
        <f t="shared" si="4"/>
        <v>1.1560720000000002</v>
      </c>
      <c r="M63" s="266">
        <f t="shared" si="6"/>
        <v>203.46867200000003</v>
      </c>
      <c r="N63" s="433">
        <v>176</v>
      </c>
      <c r="O63" s="435">
        <f t="shared" si="7"/>
        <v>1.1560720000000002</v>
      </c>
    </row>
    <row r="64" spans="1:15" ht="15">
      <c r="A64" s="57" t="s">
        <v>1285</v>
      </c>
      <c r="B64" s="56" t="s">
        <v>1347</v>
      </c>
      <c r="C64" s="13" t="s">
        <v>1432</v>
      </c>
      <c r="D64" s="13">
        <v>110</v>
      </c>
      <c r="E64" s="13"/>
      <c r="F64" s="13" t="s">
        <v>353</v>
      </c>
      <c r="G64" s="442">
        <v>18.10</v>
      </c>
      <c r="H64" s="440">
        <v>10</v>
      </c>
      <c r="I64" s="28">
        <v>1</v>
      </c>
      <c r="J64" s="441">
        <f t="shared" si="5"/>
        <v>0.55248618784530379</v>
      </c>
      <c r="K64" s="432">
        <v>1</v>
      </c>
      <c r="L64" s="435">
        <f t="shared" si="4"/>
        <v>0.55248618784530379</v>
      </c>
      <c r="M64" s="266">
        <f t="shared" si="6"/>
        <v>110.49723756906076</v>
      </c>
      <c r="N64" s="433">
        <v>200</v>
      </c>
      <c r="O64" s="435">
        <f t="shared" si="7"/>
        <v>0.55248618784530379</v>
      </c>
    </row>
    <row r="65" spans="1:15" ht="15" customHeight="1">
      <c r="A65" s="57" t="s">
        <v>648</v>
      </c>
      <c r="B65" s="499" t="s">
        <v>1348</v>
      </c>
      <c r="C65" s="13" t="s">
        <v>1433</v>
      </c>
      <c r="D65" s="13">
        <v>110</v>
      </c>
      <c r="E65" s="13"/>
      <c r="F65" s="13" t="s">
        <v>10</v>
      </c>
      <c r="G65" s="28">
        <v>40</v>
      </c>
      <c r="H65" s="440">
        <v>10</v>
      </c>
      <c r="I65" s="28">
        <v>1</v>
      </c>
      <c r="J65" s="453">
        <f t="shared" si="5"/>
        <v>0.25</v>
      </c>
      <c r="K65" s="436">
        <f>196*2/1000</f>
        <v>0.39200000000000002</v>
      </c>
      <c r="L65" s="267">
        <f t="shared" si="4"/>
        <v>0.098000000000000004</v>
      </c>
      <c r="M65" s="433">
        <f t="shared" si="6"/>
        <v>19.60</v>
      </c>
      <c r="N65" s="434">
        <v>200</v>
      </c>
      <c r="O65" s="435">
        <f t="shared" si="7"/>
        <v>0.098000000000000004</v>
      </c>
    </row>
    <row r="66" spans="1:15" ht="15">
      <c r="A66" s="57" t="s">
        <v>1288</v>
      </c>
      <c r="B66" s="56" t="s">
        <v>1349</v>
      </c>
      <c r="C66" s="13" t="s">
        <v>1432</v>
      </c>
      <c r="D66" s="13">
        <v>110</v>
      </c>
      <c r="E66" s="13"/>
      <c r="F66" s="13" t="s">
        <v>353</v>
      </c>
      <c r="G66" s="442">
        <f>18.1/0.65</f>
        <v>27.846153846153847</v>
      </c>
      <c r="H66" s="440">
        <v>10</v>
      </c>
      <c r="I66" s="28">
        <v>1</v>
      </c>
      <c r="J66" s="441">
        <f t="shared" si="5"/>
        <v>0.35911602209944748</v>
      </c>
      <c r="K66" s="432">
        <v>1</v>
      </c>
      <c r="L66" s="435">
        <f t="shared" si="4"/>
        <v>0.35911602209944748</v>
      </c>
      <c r="M66" s="266">
        <f t="shared" si="6"/>
        <v>71.823204419889493</v>
      </c>
      <c r="N66" s="433">
        <v>200</v>
      </c>
      <c r="O66" s="435">
        <f t="shared" si="7"/>
        <v>0.35911602209944748</v>
      </c>
    </row>
    <row r="67" spans="1:15" ht="15">
      <c r="A67" s="57" t="s">
        <v>176</v>
      </c>
      <c r="B67" s="56" t="s">
        <v>1350</v>
      </c>
      <c r="C67" s="13" t="s">
        <v>154</v>
      </c>
      <c r="D67" s="13">
        <v>124</v>
      </c>
      <c r="E67" s="13"/>
      <c r="F67" s="13" t="s">
        <v>354</v>
      </c>
      <c r="G67" s="442">
        <v>13</v>
      </c>
      <c r="H67" s="440">
        <v>10</v>
      </c>
      <c r="I67" s="28">
        <v>1</v>
      </c>
      <c r="J67" s="441">
        <f t="shared" si="5"/>
        <v>0.76923076923076927</v>
      </c>
      <c r="K67" s="432">
        <v>1</v>
      </c>
      <c r="L67" s="267">
        <f t="shared" si="4"/>
        <v>0.76923076923076927</v>
      </c>
      <c r="M67" s="433">
        <f t="shared" si="6"/>
        <v>153.84615384615387</v>
      </c>
      <c r="N67" s="434">
        <v>200</v>
      </c>
      <c r="O67" s="435">
        <f t="shared" si="7"/>
        <v>0.76923076923076927</v>
      </c>
    </row>
    <row r="68" spans="1:15" ht="30">
      <c r="A68" s="57" t="s">
        <v>1289</v>
      </c>
      <c r="B68" s="56" t="s">
        <v>1351</v>
      </c>
      <c r="C68" s="13" t="s">
        <v>24</v>
      </c>
      <c r="D68" s="13" t="s">
        <v>1352</v>
      </c>
      <c r="E68" s="13"/>
      <c r="F68" s="4" t="s">
        <v>38</v>
      </c>
      <c r="G68" s="442">
        <v>20</v>
      </c>
      <c r="H68" s="440">
        <v>10</v>
      </c>
      <c r="I68" s="28">
        <v>2</v>
      </c>
      <c r="J68" s="441">
        <f t="shared" si="5"/>
        <v>1</v>
      </c>
      <c r="K68" s="28">
        <v>1</v>
      </c>
      <c r="L68" s="267">
        <f t="shared" si="4"/>
        <v>1</v>
      </c>
      <c r="M68" s="433">
        <f t="shared" si="6"/>
        <v>200</v>
      </c>
      <c r="N68" s="434">
        <v>200</v>
      </c>
      <c r="O68" s="435">
        <f t="shared" si="7"/>
        <v>0.50</v>
      </c>
    </row>
    <row r="69" spans="1:15" ht="30">
      <c r="A69" s="13" t="s">
        <v>1290</v>
      </c>
      <c r="B69" s="56" t="s">
        <v>1353</v>
      </c>
      <c r="C69" s="13" t="s">
        <v>160</v>
      </c>
      <c r="D69" s="13" t="s">
        <v>1352</v>
      </c>
      <c r="E69" s="13" t="s">
        <v>869</v>
      </c>
      <c r="F69" s="13" t="s">
        <v>10</v>
      </c>
      <c r="G69" s="28">
        <v>40</v>
      </c>
      <c r="H69" s="440">
        <v>10</v>
      </c>
      <c r="I69" s="28">
        <v>1</v>
      </c>
      <c r="J69" s="441">
        <f t="shared" si="5"/>
        <v>0.25</v>
      </c>
      <c r="K69" s="436">
        <f>618*3.1415*2/1000</f>
        <v>3.8828940000000003</v>
      </c>
      <c r="L69" s="267">
        <f t="shared" si="4"/>
        <v>0.97072350000000007</v>
      </c>
      <c r="M69" s="433">
        <f t="shared" si="6"/>
        <v>194.1447</v>
      </c>
      <c r="N69" s="434">
        <v>200</v>
      </c>
      <c r="O69" s="435">
        <f t="shared" si="7"/>
        <v>0.97072350000000007</v>
      </c>
    </row>
    <row r="70" spans="1:15" ht="30">
      <c r="A70" s="57" t="s">
        <v>1291</v>
      </c>
      <c r="B70" s="56" t="s">
        <v>1354</v>
      </c>
      <c r="C70" s="13" t="s">
        <v>24</v>
      </c>
      <c r="D70" s="13">
        <v>110</v>
      </c>
      <c r="E70" s="13"/>
      <c r="F70" s="4" t="s">
        <v>38</v>
      </c>
      <c r="G70" s="442">
        <v>20</v>
      </c>
      <c r="H70" s="440">
        <v>10</v>
      </c>
      <c r="I70" s="28">
        <v>2</v>
      </c>
      <c r="J70" s="441">
        <f t="shared" si="5"/>
        <v>1</v>
      </c>
      <c r="K70" s="28">
        <v>1</v>
      </c>
      <c r="L70" s="267">
        <f t="shared" si="4"/>
        <v>1</v>
      </c>
      <c r="M70" s="433">
        <f t="shared" si="6"/>
        <v>200</v>
      </c>
      <c r="N70" s="434">
        <v>200</v>
      </c>
      <c r="O70" s="435">
        <f t="shared" si="7"/>
        <v>0.50</v>
      </c>
    </row>
    <row r="71" spans="1:15" ht="30">
      <c r="A71" s="13" t="s">
        <v>177</v>
      </c>
      <c r="B71" s="56" t="s">
        <v>1355</v>
      </c>
      <c r="C71" s="13" t="s">
        <v>160</v>
      </c>
      <c r="D71" s="13">
        <v>110</v>
      </c>
      <c r="E71" s="13" t="s">
        <v>869</v>
      </c>
      <c r="F71" s="13" t="s">
        <v>10</v>
      </c>
      <c r="G71" s="28">
        <v>40</v>
      </c>
      <c r="H71" s="440">
        <v>10</v>
      </c>
      <c r="I71" s="28">
        <v>1</v>
      </c>
      <c r="J71" s="441">
        <f t="shared" si="5"/>
        <v>0.25</v>
      </c>
      <c r="K71" s="436">
        <f>640*3.1415*2/1000</f>
        <v>4.0211200000000007</v>
      </c>
      <c r="L71" s="267">
        <f t="shared" si="4"/>
        <v>1.0052800000000002</v>
      </c>
      <c r="M71" s="433">
        <f t="shared" si="6"/>
        <v>201.05600000000004</v>
      </c>
      <c r="N71" s="434">
        <v>200</v>
      </c>
      <c r="O71" s="435">
        <f t="shared" si="7"/>
        <v>1.0052800000000002</v>
      </c>
    </row>
    <row r="72" spans="1:15" ht="15">
      <c r="A72" s="39"/>
      <c r="B72" s="649" t="s">
        <v>131</v>
      </c>
      <c r="C72" s="649"/>
      <c r="D72" s="649"/>
      <c r="E72" s="649"/>
      <c r="F72" s="649"/>
      <c r="G72" s="649"/>
      <c r="H72" s="649"/>
      <c r="I72" s="649"/>
      <c r="J72" s="649"/>
      <c r="K72" s="649"/>
      <c r="L72" s="267"/>
      <c r="M72" s="262">
        <f>SUM(M73:M93)</f>
        <v>5544.1344263763185</v>
      </c>
      <c r="N72" s="263"/>
      <c r="O72" s="264">
        <f>SUM(O73:O93)</f>
        <v>22.719292161574071</v>
      </c>
    </row>
    <row r="73" spans="1:15" s="0" customFormat="1" ht="15">
      <c r="A73" s="650" t="s">
        <v>182</v>
      </c>
      <c r="B73" s="638" t="s">
        <v>183</v>
      </c>
      <c r="C73" s="13" t="s">
        <v>184</v>
      </c>
      <c r="D73" s="13">
        <v>105</v>
      </c>
      <c r="E73" s="13"/>
      <c r="F73" s="17" t="s">
        <v>353</v>
      </c>
      <c r="G73" s="16">
        <v>10.25</v>
      </c>
      <c r="H73" s="252">
        <v>10</v>
      </c>
      <c r="I73" s="16">
        <v>1</v>
      </c>
      <c r="J73" s="253">
        <f t="shared" si="14" ref="J73:J93">H73/G73*I73</f>
        <v>0.97560975609756095</v>
      </c>
      <c r="K73" s="52">
        <v>1</v>
      </c>
      <c r="L73" s="8">
        <f t="shared" si="15" ref="L73:L93">J73*K73</f>
        <v>0.97560975609756095</v>
      </c>
      <c r="M73" s="42">
        <f t="shared" si="16" ref="M73:M93">L73*N73</f>
        <v>195.1219512195122</v>
      </c>
      <c r="N73" s="43">
        <v>200</v>
      </c>
      <c r="O73" s="8">
        <f t="shared" si="17" ref="O73:O93">J73/I73*K73</f>
        <v>0.97560975609756095</v>
      </c>
    </row>
    <row r="74" spans="1:15" s="0" customFormat="1" ht="15">
      <c r="A74" s="650"/>
      <c r="B74" s="638"/>
      <c r="C74" s="13" t="s">
        <v>1356</v>
      </c>
      <c r="D74" s="13">
        <v>105</v>
      </c>
      <c r="E74" s="13"/>
      <c r="F74" s="17" t="s">
        <v>353</v>
      </c>
      <c r="G74" s="16">
        <v>10.25</v>
      </c>
      <c r="H74" s="252">
        <v>10</v>
      </c>
      <c r="I74" s="16">
        <v>1</v>
      </c>
      <c r="J74" s="253">
        <f t="shared" si="14"/>
        <v>0.97560975609756095</v>
      </c>
      <c r="K74" s="52">
        <v>1</v>
      </c>
      <c r="L74" s="8">
        <f t="shared" si="15"/>
        <v>0.97560975609756095</v>
      </c>
      <c r="M74" s="42">
        <f t="shared" si="16"/>
        <v>195.1219512195122</v>
      </c>
      <c r="N74" s="43">
        <v>200</v>
      </c>
      <c r="O74" s="8">
        <f t="shared" si="17"/>
        <v>0.97560975609756095</v>
      </c>
    </row>
    <row r="75" spans="1:15" ht="30">
      <c r="A75" s="57" t="s">
        <v>185</v>
      </c>
      <c r="B75" s="56" t="s">
        <v>186</v>
      </c>
      <c r="C75" s="13" t="s">
        <v>187</v>
      </c>
      <c r="D75" s="13">
        <v>105</v>
      </c>
      <c r="E75" s="13"/>
      <c r="F75" s="13" t="s">
        <v>522</v>
      </c>
      <c r="G75" s="28">
        <v>55</v>
      </c>
      <c r="H75" s="440">
        <v>10</v>
      </c>
      <c r="I75" s="28">
        <v>1</v>
      </c>
      <c r="J75" s="441">
        <f t="shared" si="14"/>
        <v>0.18181818181818182</v>
      </c>
      <c r="K75" s="432">
        <v>5</v>
      </c>
      <c r="L75" s="435">
        <f t="shared" si="15"/>
        <v>0.90909090909090917</v>
      </c>
      <c r="M75" s="266">
        <f t="shared" si="16"/>
        <v>181.81818181818184</v>
      </c>
      <c r="N75" s="433">
        <v>200</v>
      </c>
      <c r="O75" s="435">
        <f t="shared" si="17"/>
        <v>0.90909090909090917</v>
      </c>
    </row>
    <row r="76" spans="1:15" ht="15">
      <c r="A76" s="642" t="s">
        <v>188</v>
      </c>
      <c r="B76" s="699" t="s">
        <v>438</v>
      </c>
      <c r="C76" s="13" t="s">
        <v>983</v>
      </c>
      <c r="D76" s="13">
        <v>109</v>
      </c>
      <c r="E76" s="637" t="s">
        <v>44</v>
      </c>
      <c r="F76" s="13" t="s">
        <v>10</v>
      </c>
      <c r="G76" s="28">
        <v>40</v>
      </c>
      <c r="H76" s="440">
        <v>10</v>
      </c>
      <c r="I76" s="28">
        <v>1</v>
      </c>
      <c r="J76" s="453">
        <f t="shared" si="14"/>
        <v>0.25</v>
      </c>
      <c r="K76" s="436">
        <f>(1480)/1000</f>
        <v>1.48</v>
      </c>
      <c r="L76" s="267">
        <f t="shared" si="15"/>
        <v>0.37</v>
      </c>
      <c r="M76" s="433">
        <f t="shared" si="16"/>
        <v>74</v>
      </c>
      <c r="N76" s="434">
        <v>200</v>
      </c>
      <c r="O76" s="435">
        <f t="shared" si="17"/>
        <v>0.37</v>
      </c>
    </row>
    <row r="77" spans="1:15" ht="15">
      <c r="A77" s="643"/>
      <c r="B77" s="700"/>
      <c r="C77" s="13" t="s">
        <v>189</v>
      </c>
      <c r="D77" s="13">
        <v>109</v>
      </c>
      <c r="E77" s="637"/>
      <c r="F77" s="13" t="s">
        <v>10</v>
      </c>
      <c r="G77" s="28">
        <v>27</v>
      </c>
      <c r="H77" s="440">
        <v>10</v>
      </c>
      <c r="I77" s="28">
        <v>1</v>
      </c>
      <c r="J77" s="441">
        <f t="shared" si="14"/>
        <v>0.37037037037037035</v>
      </c>
      <c r="K77" s="436">
        <f>(1480*2)/1000+0.2</f>
        <v>3.16</v>
      </c>
      <c r="L77" s="435">
        <f t="shared" si="15"/>
        <v>1.1703703703703703</v>
      </c>
      <c r="M77" s="266">
        <f t="shared" si="16"/>
        <v>234.07407407407405</v>
      </c>
      <c r="N77" s="433">
        <v>200</v>
      </c>
      <c r="O77" s="435">
        <f t="shared" si="17"/>
        <v>1.1703703703703703</v>
      </c>
    </row>
    <row r="78" spans="1:15" ht="15" customHeight="1">
      <c r="A78" s="643"/>
      <c r="B78" s="700"/>
      <c r="C78" s="13" t="s">
        <v>1357</v>
      </c>
      <c r="D78" s="13">
        <v>109</v>
      </c>
      <c r="E78" s="637" t="s">
        <v>44</v>
      </c>
      <c r="F78" s="13" t="s">
        <v>10</v>
      </c>
      <c r="G78" s="28">
        <v>40</v>
      </c>
      <c r="H78" s="440">
        <v>10</v>
      </c>
      <c r="I78" s="28">
        <v>1</v>
      </c>
      <c r="J78" s="453">
        <f t="shared" si="14"/>
        <v>0.25</v>
      </c>
      <c r="K78" s="436">
        <f>(1240)/1000</f>
        <v>1.24</v>
      </c>
      <c r="L78" s="267">
        <f t="shared" si="15"/>
        <v>0.31</v>
      </c>
      <c r="M78" s="433">
        <f t="shared" si="16"/>
        <v>62</v>
      </c>
      <c r="N78" s="434">
        <v>200</v>
      </c>
      <c r="O78" s="435">
        <f t="shared" si="17"/>
        <v>0.31</v>
      </c>
    </row>
    <row r="79" spans="1:15" ht="15">
      <c r="A79" s="644"/>
      <c r="B79" s="701"/>
      <c r="C79" s="13" t="s">
        <v>1358</v>
      </c>
      <c r="D79" s="13">
        <v>109</v>
      </c>
      <c r="E79" s="637"/>
      <c r="F79" s="13" t="s">
        <v>10</v>
      </c>
      <c r="G79" s="28">
        <v>27</v>
      </c>
      <c r="H79" s="440">
        <v>10</v>
      </c>
      <c r="I79" s="28">
        <v>1</v>
      </c>
      <c r="J79" s="441">
        <f t="shared" si="14"/>
        <v>0.37037037037037035</v>
      </c>
      <c r="K79" s="436">
        <f>(1240*2)/1000+0.2</f>
        <v>2.68</v>
      </c>
      <c r="L79" s="435">
        <f t="shared" si="15"/>
        <v>0.99259259259259258</v>
      </c>
      <c r="M79" s="266">
        <f t="shared" si="16"/>
        <v>198.5185185185185</v>
      </c>
      <c r="N79" s="433">
        <v>200</v>
      </c>
      <c r="O79" s="435">
        <f t="shared" si="17"/>
        <v>0.99259259259259258</v>
      </c>
    </row>
    <row r="80" spans="1:15" ht="15">
      <c r="A80" s="642" t="s">
        <v>437</v>
      </c>
      <c r="B80" s="639" t="s">
        <v>439</v>
      </c>
      <c r="C80" s="13" t="s">
        <v>986</v>
      </c>
      <c r="D80" s="13">
        <v>107</v>
      </c>
      <c r="E80" s="637" t="s">
        <v>43</v>
      </c>
      <c r="F80" s="13" t="s">
        <v>10</v>
      </c>
      <c r="G80" s="28">
        <v>25</v>
      </c>
      <c r="H80" s="440">
        <v>10</v>
      </c>
      <c r="I80" s="28">
        <v>1</v>
      </c>
      <c r="J80" s="453">
        <f t="shared" si="14"/>
        <v>0.40</v>
      </c>
      <c r="K80" s="436">
        <f>(1480*2)/1000</f>
        <v>2.96</v>
      </c>
      <c r="L80" s="267">
        <f t="shared" si="15"/>
        <v>1.1839999999999999</v>
      </c>
      <c r="M80" s="433">
        <f t="shared" si="16"/>
        <v>208.38399999999999</v>
      </c>
      <c r="N80" s="434">
        <v>176</v>
      </c>
      <c r="O80" s="435">
        <f t="shared" si="17"/>
        <v>1.1839999999999999</v>
      </c>
    </row>
    <row r="81" spans="1:15" ht="15">
      <c r="A81" s="643"/>
      <c r="B81" s="640"/>
      <c r="C81" s="13" t="s">
        <v>987</v>
      </c>
      <c r="D81" s="13">
        <v>107</v>
      </c>
      <c r="E81" s="637"/>
      <c r="F81" s="13" t="s">
        <v>10</v>
      </c>
      <c r="G81" s="28">
        <v>28.50</v>
      </c>
      <c r="H81" s="440">
        <v>10</v>
      </c>
      <c r="I81" s="28">
        <v>1</v>
      </c>
      <c r="J81" s="453">
        <f t="shared" si="14"/>
        <v>0.35087719298245612</v>
      </c>
      <c r="K81" s="436">
        <f>1480*2/1000+0.2</f>
        <v>3.16</v>
      </c>
      <c r="L81" s="267">
        <f t="shared" si="15"/>
        <v>1.1087719298245613</v>
      </c>
      <c r="M81" s="433">
        <f t="shared" si="16"/>
        <v>221.75438596491227</v>
      </c>
      <c r="N81" s="434">
        <v>200</v>
      </c>
      <c r="O81" s="435">
        <f t="shared" si="17"/>
        <v>1.1087719298245613</v>
      </c>
    </row>
    <row r="82" spans="1:15" ht="15">
      <c r="A82" s="643"/>
      <c r="B82" s="640"/>
      <c r="C82" s="13" t="s">
        <v>1359</v>
      </c>
      <c r="D82" s="13">
        <v>107</v>
      </c>
      <c r="E82" s="637" t="s">
        <v>43</v>
      </c>
      <c r="F82" s="13" t="s">
        <v>10</v>
      </c>
      <c r="G82" s="28">
        <v>25</v>
      </c>
      <c r="H82" s="440">
        <v>10</v>
      </c>
      <c r="I82" s="28">
        <v>1</v>
      </c>
      <c r="J82" s="453">
        <f t="shared" si="14"/>
        <v>0.40</v>
      </c>
      <c r="K82" s="436">
        <f>(1240*2)/1000</f>
        <v>2.48</v>
      </c>
      <c r="L82" s="267">
        <f t="shared" si="15"/>
        <v>0.99199999999999999</v>
      </c>
      <c r="M82" s="433">
        <f t="shared" si="16"/>
        <v>174.59199999999998</v>
      </c>
      <c r="N82" s="434">
        <v>176</v>
      </c>
      <c r="O82" s="435">
        <f t="shared" si="17"/>
        <v>0.99199999999999999</v>
      </c>
    </row>
    <row r="83" spans="1:15" ht="15">
      <c r="A83" s="644"/>
      <c r="B83" s="641"/>
      <c r="C83" s="13" t="s">
        <v>1360</v>
      </c>
      <c r="D83" s="13">
        <v>107</v>
      </c>
      <c r="E83" s="637"/>
      <c r="F83" s="13" t="s">
        <v>10</v>
      </c>
      <c r="G83" s="28">
        <v>28.50</v>
      </c>
      <c r="H83" s="440">
        <v>10</v>
      </c>
      <c r="I83" s="28">
        <v>1</v>
      </c>
      <c r="J83" s="453">
        <f t="shared" si="14"/>
        <v>0.35087719298245612</v>
      </c>
      <c r="K83" s="436">
        <f>1240*2/1000+0.2</f>
        <v>2.68</v>
      </c>
      <c r="L83" s="267">
        <f t="shared" si="15"/>
        <v>0.94035087719298249</v>
      </c>
      <c r="M83" s="433">
        <f t="shared" si="16"/>
        <v>188.07017543859649</v>
      </c>
      <c r="N83" s="434">
        <v>200</v>
      </c>
      <c r="O83" s="435">
        <f t="shared" si="17"/>
        <v>0.94035087719298249</v>
      </c>
    </row>
    <row r="84" spans="1:15" s="0" customFormat="1" ht="15" customHeight="1">
      <c r="A84" s="650" t="s">
        <v>190</v>
      </c>
      <c r="B84" s="638" t="s">
        <v>191</v>
      </c>
      <c r="C84" s="13" t="s">
        <v>24</v>
      </c>
      <c r="D84" s="13">
        <v>111</v>
      </c>
      <c r="E84" s="13"/>
      <c r="F84" s="25" t="s">
        <v>45</v>
      </c>
      <c r="G84" s="16">
        <v>6.15</v>
      </c>
      <c r="H84" s="252">
        <v>10</v>
      </c>
      <c r="I84" s="16">
        <v>2</v>
      </c>
      <c r="J84" s="253">
        <f t="shared" si="14"/>
        <v>3.2520325203252032</v>
      </c>
      <c r="K84" s="16">
        <v>1</v>
      </c>
      <c r="L84" s="26">
        <f t="shared" si="15"/>
        <v>3.2520325203252032</v>
      </c>
      <c r="M84" s="43">
        <f t="shared" si="16"/>
        <v>650.40650406504062</v>
      </c>
      <c r="N84" s="85">
        <v>200</v>
      </c>
      <c r="O84" s="8">
        <f t="shared" si="17"/>
        <v>1.6260162601626016</v>
      </c>
    </row>
    <row r="85" spans="1:15" s="0" customFormat="1" ht="15" customHeight="1">
      <c r="A85" s="650"/>
      <c r="B85" s="638"/>
      <c r="C85" s="13" t="s">
        <v>106</v>
      </c>
      <c r="D85" s="54">
        <v>111</v>
      </c>
      <c r="E85" s="645" t="s">
        <v>122</v>
      </c>
      <c r="F85" s="17" t="s">
        <v>10</v>
      </c>
      <c r="G85" s="16">
        <v>40</v>
      </c>
      <c r="H85" s="252">
        <v>10</v>
      </c>
      <c r="I85" s="16">
        <v>1</v>
      </c>
      <c r="J85" s="253">
        <f t="shared" si="14"/>
        <v>0.25</v>
      </c>
      <c r="K85" s="16">
        <v>4.2519999999999998</v>
      </c>
      <c r="L85" s="26">
        <f t="shared" si="15"/>
        <v>1.0629999999999999</v>
      </c>
      <c r="M85" s="43">
        <f t="shared" si="16"/>
        <v>212.60</v>
      </c>
      <c r="N85" s="85">
        <v>200</v>
      </c>
      <c r="O85" s="8">
        <f t="shared" si="17"/>
        <v>1.0629999999999999</v>
      </c>
    </row>
    <row r="86" spans="1:15" s="0" customFormat="1" ht="15" customHeight="1">
      <c r="A86" s="650"/>
      <c r="B86" s="638"/>
      <c r="C86" s="4" t="s">
        <v>511</v>
      </c>
      <c r="D86" s="487">
        <v>111</v>
      </c>
      <c r="E86" s="646"/>
      <c r="F86" s="25" t="s">
        <v>10</v>
      </c>
      <c r="G86" s="16">
        <v>25</v>
      </c>
      <c r="H86" s="252">
        <v>10</v>
      </c>
      <c r="I86" s="16">
        <v>1</v>
      </c>
      <c r="J86" s="253">
        <f t="shared" si="14"/>
        <v>0.40</v>
      </c>
      <c r="K86" s="16">
        <v>4.2519999999999998</v>
      </c>
      <c r="L86" s="26">
        <f t="shared" si="15"/>
        <v>1.7008000000000001</v>
      </c>
      <c r="M86" s="42">
        <f t="shared" si="16"/>
        <v>299.3408</v>
      </c>
      <c r="N86" s="43">
        <v>176</v>
      </c>
      <c r="O86" s="8">
        <f t="shared" si="17"/>
        <v>1.7008000000000001</v>
      </c>
    </row>
    <row r="87" spans="1:15" s="0" customFormat="1" ht="15">
      <c r="A87" s="650"/>
      <c r="B87" s="638"/>
      <c r="C87" s="13" t="s">
        <v>990</v>
      </c>
      <c r="D87" s="90">
        <v>111</v>
      </c>
      <c r="E87" s="647"/>
      <c r="F87" s="17" t="s">
        <v>10</v>
      </c>
      <c r="G87" s="16">
        <v>40</v>
      </c>
      <c r="H87" s="252">
        <v>10</v>
      </c>
      <c r="I87" s="16">
        <v>1</v>
      </c>
      <c r="J87" s="253">
        <f t="shared" si="14"/>
        <v>0.25</v>
      </c>
      <c r="K87" s="16">
        <f>4.252*2</f>
        <v>8.5039999999999996</v>
      </c>
      <c r="L87" s="26">
        <f t="shared" si="15"/>
        <v>2.1259999999999999</v>
      </c>
      <c r="M87" s="43">
        <f t="shared" si="16"/>
        <v>425.20</v>
      </c>
      <c r="N87" s="85">
        <v>200</v>
      </c>
      <c r="O87" s="8">
        <f t="shared" si="17"/>
        <v>2.1259999999999999</v>
      </c>
    </row>
    <row r="88" spans="1:15" s="0" customFormat="1" ht="15">
      <c r="A88" s="57" t="s">
        <v>1361</v>
      </c>
      <c r="B88" s="56" t="s">
        <v>1007</v>
      </c>
      <c r="C88" s="17" t="s">
        <v>523</v>
      </c>
      <c r="D88" s="17">
        <v>224</v>
      </c>
      <c r="E88" s="13"/>
      <c r="F88" s="17" t="s">
        <v>353</v>
      </c>
      <c r="G88" s="16">
        <v>60</v>
      </c>
      <c r="H88" s="252">
        <v>10</v>
      </c>
      <c r="I88" s="16">
        <v>1</v>
      </c>
      <c r="J88" s="253">
        <f t="shared" si="14"/>
        <v>0.16666666666666666</v>
      </c>
      <c r="K88" s="52">
        <v>3</v>
      </c>
      <c r="L88" s="8">
        <f t="shared" si="15"/>
        <v>0.50</v>
      </c>
      <c r="M88" s="42">
        <f t="shared" si="16"/>
        <v>100</v>
      </c>
      <c r="N88" s="43">
        <v>200</v>
      </c>
      <c r="O88" s="8">
        <f t="shared" si="17"/>
        <v>0.50</v>
      </c>
    </row>
    <row r="89" spans="1:15" ht="15">
      <c r="A89" s="57" t="s">
        <v>325</v>
      </c>
      <c r="B89" s="56" t="s">
        <v>327</v>
      </c>
      <c r="C89" s="13" t="s">
        <v>326</v>
      </c>
      <c r="D89" s="13">
        <v>112</v>
      </c>
      <c r="E89" s="13"/>
      <c r="F89" s="13" t="s">
        <v>513</v>
      </c>
      <c r="G89" s="28">
        <v>10</v>
      </c>
      <c r="H89" s="440">
        <v>10</v>
      </c>
      <c r="I89" s="28">
        <v>2</v>
      </c>
      <c r="J89" s="441">
        <f t="shared" si="14"/>
        <v>2</v>
      </c>
      <c r="K89" s="432">
        <v>1</v>
      </c>
      <c r="L89" s="435">
        <f t="shared" si="15"/>
        <v>2</v>
      </c>
      <c r="M89" s="266">
        <f t="shared" si="16"/>
        <v>400</v>
      </c>
      <c r="N89" s="433">
        <v>200</v>
      </c>
      <c r="O89" s="435">
        <f t="shared" si="17"/>
        <v>1</v>
      </c>
    </row>
    <row r="90" spans="1:15" s="0" customFormat="1" ht="15" customHeight="1">
      <c r="A90" s="637" t="s">
        <v>197</v>
      </c>
      <c r="B90" s="638" t="s">
        <v>110</v>
      </c>
      <c r="C90" s="13" t="s">
        <v>47</v>
      </c>
      <c r="D90" s="13">
        <v>112</v>
      </c>
      <c r="E90" s="13"/>
      <c r="F90" s="25" t="s">
        <v>111</v>
      </c>
      <c r="G90" s="16">
        <v>6</v>
      </c>
      <c r="H90" s="252">
        <v>10</v>
      </c>
      <c r="I90" s="16">
        <v>2</v>
      </c>
      <c r="J90" s="253">
        <f t="shared" si="14"/>
        <v>3.3333333333333335</v>
      </c>
      <c r="K90" s="16">
        <v>1</v>
      </c>
      <c r="L90" s="26">
        <f t="shared" si="15"/>
        <v>3.3333333333333335</v>
      </c>
      <c r="M90" s="43">
        <f t="shared" si="16"/>
        <v>666.66666666666674</v>
      </c>
      <c r="N90" s="46">
        <v>200</v>
      </c>
      <c r="O90" s="8">
        <f t="shared" si="17"/>
        <v>1.6666666666666667</v>
      </c>
    </row>
    <row r="91" spans="1:15" s="0" customFormat="1" ht="30">
      <c r="A91" s="637"/>
      <c r="B91" s="638"/>
      <c r="C91" s="13" t="s">
        <v>48</v>
      </c>
      <c r="D91" s="13">
        <v>112</v>
      </c>
      <c r="E91" s="4" t="s">
        <v>520</v>
      </c>
      <c r="F91" s="17" t="s">
        <v>10</v>
      </c>
      <c r="G91" s="16">
        <v>40</v>
      </c>
      <c r="H91" s="252">
        <v>10</v>
      </c>
      <c r="I91" s="16">
        <v>1</v>
      </c>
      <c r="J91" s="253">
        <f t="shared" si="14"/>
        <v>0.25</v>
      </c>
      <c r="K91" s="30">
        <f>((1990*2+487*2)+(928*2)+(928))/1000</f>
        <v>7.7380000000000004</v>
      </c>
      <c r="L91" s="26">
        <f t="shared" si="15"/>
        <v>1.9345000000000001</v>
      </c>
      <c r="M91" s="43">
        <f t="shared" si="16"/>
        <v>386.90</v>
      </c>
      <c r="N91" s="46">
        <v>200</v>
      </c>
      <c r="O91" s="8">
        <f t="shared" si="17"/>
        <v>1.9345000000000001</v>
      </c>
    </row>
    <row r="92" spans="1:15" ht="15">
      <c r="A92" s="54" t="s">
        <v>888</v>
      </c>
      <c r="B92" s="56" t="s">
        <v>1362</v>
      </c>
      <c r="C92" s="13" t="s">
        <v>862</v>
      </c>
      <c r="D92" s="13">
        <v>224</v>
      </c>
      <c r="E92" s="13"/>
      <c r="F92" s="17"/>
      <c r="G92" s="28">
        <f>(600-25)/10</f>
        <v>57.50</v>
      </c>
      <c r="H92" s="440">
        <v>10</v>
      </c>
      <c r="I92" s="28">
        <v>2</v>
      </c>
      <c r="J92" s="441">
        <f t="shared" si="14"/>
        <v>0.34782608695652173</v>
      </c>
      <c r="K92" s="28">
        <v>1</v>
      </c>
      <c r="L92" s="267">
        <f t="shared" si="15"/>
        <v>0.34782608695652173</v>
      </c>
      <c r="M92" s="433">
        <f t="shared" si="16"/>
        <v>69.565217391304344</v>
      </c>
      <c r="N92" s="434">
        <v>200</v>
      </c>
      <c r="O92" s="435">
        <f t="shared" si="17"/>
        <v>0.17391304347826086</v>
      </c>
    </row>
    <row r="93" spans="1:15" ht="15" customHeight="1">
      <c r="A93" s="13" t="s">
        <v>199</v>
      </c>
      <c r="B93" s="27" t="s">
        <v>890</v>
      </c>
      <c r="C93" s="13" t="s">
        <v>47</v>
      </c>
      <c r="D93" s="13">
        <v>112</v>
      </c>
      <c r="E93" s="13"/>
      <c r="F93" s="4" t="s">
        <v>870</v>
      </c>
      <c r="G93" s="28">
        <v>10</v>
      </c>
      <c r="H93" s="440">
        <v>10</v>
      </c>
      <c r="I93" s="28">
        <v>2</v>
      </c>
      <c r="J93" s="441">
        <f t="shared" si="14"/>
        <v>2</v>
      </c>
      <c r="K93" s="28">
        <v>1</v>
      </c>
      <c r="L93" s="267">
        <f t="shared" si="15"/>
        <v>2</v>
      </c>
      <c r="M93" s="433">
        <f t="shared" si="16"/>
        <v>400</v>
      </c>
      <c r="N93" s="434">
        <v>200</v>
      </c>
      <c r="O93" s="435">
        <f t="shared" si="17"/>
        <v>1</v>
      </c>
    </row>
    <row r="94" spans="1:15" ht="15">
      <c r="A94" s="39"/>
      <c r="B94" s="649" t="s">
        <v>132</v>
      </c>
      <c r="C94" s="649"/>
      <c r="D94" s="649"/>
      <c r="E94" s="649"/>
      <c r="F94" s="649"/>
      <c r="G94" s="649"/>
      <c r="H94" s="649"/>
      <c r="I94" s="649"/>
      <c r="J94" s="649"/>
      <c r="K94" s="649"/>
      <c r="L94" s="267"/>
      <c r="M94" s="262">
        <f>SUM(M95:M106)</f>
        <v>7859.9094772590615</v>
      </c>
      <c r="N94" s="263"/>
      <c r="O94" s="264">
        <f>SUM(O95:O106)</f>
        <v>29.777866668212791</v>
      </c>
    </row>
    <row r="95" spans="1:15" ht="15">
      <c r="A95" s="650" t="s">
        <v>200</v>
      </c>
      <c r="B95" s="638" t="s">
        <v>871</v>
      </c>
      <c r="C95" s="13" t="s">
        <v>993</v>
      </c>
      <c r="D95" s="13">
        <v>224</v>
      </c>
      <c r="E95" s="13"/>
      <c r="F95" s="13" t="s">
        <v>353</v>
      </c>
      <c r="G95" s="442">
        <f>600/10</f>
        <v>60</v>
      </c>
      <c r="H95" s="440">
        <v>10</v>
      </c>
      <c r="I95" s="28">
        <v>1</v>
      </c>
      <c r="J95" s="441">
        <f t="shared" si="18" ref="J95:J106">H95/G95*I95</f>
        <v>0.16666666666666666</v>
      </c>
      <c r="K95" s="432">
        <v>2</v>
      </c>
      <c r="L95" s="435">
        <f t="shared" si="19" ref="L95:L98">J95*K95</f>
        <v>0.33333333333333331</v>
      </c>
      <c r="M95" s="266">
        <f t="shared" si="20" ref="M95:M106">L95*N95</f>
        <v>66.666666666666657</v>
      </c>
      <c r="N95" s="433">
        <v>200</v>
      </c>
      <c r="O95" s="435">
        <f t="shared" si="21" ref="O95:O106">J95/I95*K95</f>
        <v>0.33333333333333331</v>
      </c>
    </row>
    <row r="96" spans="1:15" ht="15">
      <c r="A96" s="650"/>
      <c r="B96" s="638"/>
      <c r="C96" s="13" t="s">
        <v>994</v>
      </c>
      <c r="D96" s="13">
        <v>224</v>
      </c>
      <c r="E96" s="13"/>
      <c r="F96" s="13" t="s">
        <v>353</v>
      </c>
      <c r="G96" s="442">
        <v>120</v>
      </c>
      <c r="H96" s="440">
        <v>10</v>
      </c>
      <c r="I96" s="28">
        <v>1</v>
      </c>
      <c r="J96" s="441">
        <f t="shared" si="18"/>
        <v>0.083333333333333329</v>
      </c>
      <c r="K96" s="432">
        <v>2</v>
      </c>
      <c r="L96" s="435">
        <f t="shared" si="19"/>
        <v>0.16666666666666666</v>
      </c>
      <c r="M96" s="266">
        <f t="shared" si="20"/>
        <v>33.333333333333329</v>
      </c>
      <c r="N96" s="433">
        <v>200</v>
      </c>
      <c r="O96" s="435">
        <f t="shared" si="21"/>
        <v>0.16666666666666666</v>
      </c>
    </row>
    <row r="97" spans="1:15" ht="15">
      <c r="A97" s="650"/>
      <c r="B97" s="638"/>
      <c r="C97" s="13" t="s">
        <v>873</v>
      </c>
      <c r="D97" s="13">
        <v>224</v>
      </c>
      <c r="E97" s="13"/>
      <c r="F97" s="13" t="s">
        <v>353</v>
      </c>
      <c r="G97" s="442">
        <f>600/5</f>
        <v>120</v>
      </c>
      <c r="H97" s="440">
        <v>10</v>
      </c>
      <c r="I97" s="28">
        <v>1</v>
      </c>
      <c r="J97" s="441">
        <f t="shared" si="18"/>
        <v>0.083333333333333329</v>
      </c>
      <c r="K97" s="432">
        <v>2</v>
      </c>
      <c r="L97" s="435">
        <f t="shared" si="19"/>
        <v>0.16666666666666666</v>
      </c>
      <c r="M97" s="266">
        <f t="shared" si="20"/>
        <v>33.333333333333329</v>
      </c>
      <c r="N97" s="433">
        <v>200</v>
      </c>
      <c r="O97" s="435">
        <f t="shared" si="21"/>
        <v>0.16666666666666666</v>
      </c>
    </row>
    <row r="98" spans="1:15" ht="15">
      <c r="A98" s="57" t="s">
        <v>662</v>
      </c>
      <c r="B98" s="56" t="s">
        <v>1363</v>
      </c>
      <c r="C98" s="13" t="s">
        <v>862</v>
      </c>
      <c r="D98" s="13">
        <v>224</v>
      </c>
      <c r="E98" s="13"/>
      <c r="F98" s="17"/>
      <c r="G98" s="442">
        <f>(600-25)/10</f>
        <v>57.50</v>
      </c>
      <c r="H98" s="440">
        <v>10</v>
      </c>
      <c r="I98" s="28">
        <v>2</v>
      </c>
      <c r="J98" s="441">
        <f t="shared" si="18"/>
        <v>0.34782608695652173</v>
      </c>
      <c r="K98" s="28">
        <v>1</v>
      </c>
      <c r="L98" s="267">
        <f t="shared" si="19"/>
        <v>0.34782608695652173</v>
      </c>
      <c r="M98" s="433">
        <f t="shared" si="20"/>
        <v>69.565217391304344</v>
      </c>
      <c r="N98" s="434">
        <v>200</v>
      </c>
      <c r="O98" s="435">
        <f t="shared" si="21"/>
        <v>0.17391304347826086</v>
      </c>
    </row>
    <row r="99" spans="1:15" ht="15">
      <c r="A99" s="13" t="s">
        <v>205</v>
      </c>
      <c r="B99" s="27" t="s">
        <v>875</v>
      </c>
      <c r="C99" s="13" t="s">
        <v>138</v>
      </c>
      <c r="D99" s="13">
        <v>117</v>
      </c>
      <c r="E99" s="13"/>
      <c r="F99" s="4" t="s">
        <v>13</v>
      </c>
      <c r="G99" s="442">
        <f>1.15*1.4</f>
        <v>1.61</v>
      </c>
      <c r="H99" s="440">
        <v>10</v>
      </c>
      <c r="I99" s="28">
        <v>2</v>
      </c>
      <c r="J99" s="441">
        <f t="shared" si="18"/>
        <v>12.422360248447205</v>
      </c>
      <c r="K99" s="28">
        <v>1</v>
      </c>
      <c r="L99" s="267">
        <f>J99*K99</f>
        <v>12.422360248447205</v>
      </c>
      <c r="M99" s="433">
        <f t="shared" si="20"/>
        <v>2484.4720496894411</v>
      </c>
      <c r="N99" s="434">
        <v>200</v>
      </c>
      <c r="O99" s="435">
        <f t="shared" si="21"/>
        <v>6.2111801242236027</v>
      </c>
    </row>
    <row r="100" spans="1:15" ht="15">
      <c r="A100" s="13" t="s">
        <v>877</v>
      </c>
      <c r="B100" s="27" t="s">
        <v>876</v>
      </c>
      <c r="C100" s="13" t="s">
        <v>160</v>
      </c>
      <c r="D100" s="13">
        <v>117</v>
      </c>
      <c r="E100" s="13"/>
      <c r="F100" s="4" t="s">
        <v>13</v>
      </c>
      <c r="G100" s="442">
        <v>40</v>
      </c>
      <c r="H100" s="440">
        <v>10</v>
      </c>
      <c r="I100" s="28">
        <v>1</v>
      </c>
      <c r="J100" s="441">
        <f t="shared" si="18"/>
        <v>0.25</v>
      </c>
      <c r="K100" s="442">
        <f>(4527+4180+4146+1177*2+16*3.1415*34+426*3.1415+30*3)/1000</f>
        <v>18.344254999999997</v>
      </c>
      <c r="L100" s="267">
        <f>J100*K100</f>
        <v>4.5860637499999992</v>
      </c>
      <c r="M100" s="433">
        <f t="shared" si="20"/>
        <v>917.2127499999998</v>
      </c>
      <c r="N100" s="434">
        <v>200</v>
      </c>
      <c r="O100" s="435">
        <f t="shared" si="21"/>
        <v>4.5860637499999992</v>
      </c>
    </row>
    <row r="101" spans="1:15" ht="15">
      <c r="A101" s="13" t="s">
        <v>206</v>
      </c>
      <c r="B101" s="27" t="s">
        <v>94</v>
      </c>
      <c r="C101" s="13" t="s">
        <v>160</v>
      </c>
      <c r="D101" s="13">
        <v>114</v>
      </c>
      <c r="E101" s="13"/>
      <c r="F101" s="4" t="s">
        <v>13</v>
      </c>
      <c r="G101" s="442">
        <v>40</v>
      </c>
      <c r="H101" s="440">
        <v>10</v>
      </c>
      <c r="I101" s="28">
        <v>1</v>
      </c>
      <c r="J101" s="441">
        <f t="shared" si="18"/>
        <v>0.25</v>
      </c>
      <c r="K101" s="442">
        <f>(4527*2+120*5+16*3.1415*34+426*3.1415+4180+4345+4382+19*3.1415*2+23*3.1415*2+4146)/1000</f>
        <v>30.018141000000004</v>
      </c>
      <c r="L101" s="267">
        <f>J101*K101</f>
        <v>7.5045352500000009</v>
      </c>
      <c r="M101" s="433">
        <f t="shared" si="20"/>
        <v>1500.9070500000003</v>
      </c>
      <c r="N101" s="434">
        <v>200</v>
      </c>
      <c r="O101" s="435">
        <f t="shared" si="21"/>
        <v>7.5045352500000009</v>
      </c>
    </row>
    <row r="102" spans="1:15" ht="15">
      <c r="A102" s="13" t="s">
        <v>207</v>
      </c>
      <c r="B102" s="56" t="s">
        <v>55</v>
      </c>
      <c r="C102" s="13" t="s">
        <v>29</v>
      </c>
      <c r="D102" s="13">
        <v>120</v>
      </c>
      <c r="E102" s="13"/>
      <c r="F102" s="13" t="s">
        <v>13</v>
      </c>
      <c r="G102" s="31">
        <v>7.70</v>
      </c>
      <c r="H102" s="440">
        <v>10</v>
      </c>
      <c r="I102" s="28">
        <v>1</v>
      </c>
      <c r="J102" s="441">
        <f t="shared" si="18"/>
        <v>1.2987012987012987</v>
      </c>
      <c r="K102" s="28">
        <v>1</v>
      </c>
      <c r="L102" s="267">
        <f t="shared" si="22" ref="L102:L105">J102*K102</f>
        <v>1.2987012987012987</v>
      </c>
      <c r="M102" s="433">
        <f t="shared" si="20"/>
        <v>228.57142857142856</v>
      </c>
      <c r="N102" s="434">
        <v>176</v>
      </c>
      <c r="O102" s="435">
        <f t="shared" si="21"/>
        <v>1.2987012987012987</v>
      </c>
    </row>
    <row r="103" spans="1:15" ht="15">
      <c r="A103" s="13" t="s">
        <v>208</v>
      </c>
      <c r="B103" s="56" t="s">
        <v>56</v>
      </c>
      <c r="C103" s="13" t="s">
        <v>29</v>
      </c>
      <c r="D103" s="13">
        <v>120</v>
      </c>
      <c r="E103" s="13"/>
      <c r="F103" s="13" t="s">
        <v>13</v>
      </c>
      <c r="G103" s="31">
        <v>7.70</v>
      </c>
      <c r="H103" s="440">
        <v>10</v>
      </c>
      <c r="I103" s="28">
        <v>1</v>
      </c>
      <c r="J103" s="441">
        <f t="shared" si="18"/>
        <v>1.2987012987012987</v>
      </c>
      <c r="K103" s="28">
        <v>1</v>
      </c>
      <c r="L103" s="267">
        <f t="shared" si="22"/>
        <v>1.2987012987012987</v>
      </c>
      <c r="M103" s="433">
        <f t="shared" si="20"/>
        <v>228.57142857142856</v>
      </c>
      <c r="N103" s="434">
        <v>176</v>
      </c>
      <c r="O103" s="435">
        <f t="shared" si="21"/>
        <v>1.2987012987012987</v>
      </c>
    </row>
    <row r="104" spans="1:16" ht="15">
      <c r="A104" s="13" t="s">
        <v>209</v>
      </c>
      <c r="B104" s="28" t="s">
        <v>892</v>
      </c>
      <c r="C104" s="13" t="s">
        <v>14</v>
      </c>
      <c r="D104" s="13">
        <v>119</v>
      </c>
      <c r="E104" s="13"/>
      <c r="F104" s="13" t="s">
        <v>58</v>
      </c>
      <c r="G104" s="16">
        <v>61</v>
      </c>
      <c r="H104" s="440">
        <v>10</v>
      </c>
      <c r="I104" s="28">
        <v>1</v>
      </c>
      <c r="J104" s="441">
        <f t="shared" si="18"/>
        <v>0.16393442622950818</v>
      </c>
      <c r="K104" s="28">
        <v>3.10</v>
      </c>
      <c r="L104" s="267">
        <f t="shared" si="22"/>
        <v>0.50819672131147542</v>
      </c>
      <c r="M104" s="433">
        <f t="shared" si="20"/>
        <v>101.63934426229508</v>
      </c>
      <c r="N104" s="434">
        <v>200</v>
      </c>
      <c r="O104" s="435">
        <f t="shared" si="21"/>
        <v>0.50819672131147542</v>
      </c>
      <c r="P104" s="22"/>
    </row>
    <row r="105" spans="1:16" ht="30">
      <c r="A105" s="13" t="s">
        <v>210</v>
      </c>
      <c r="B105" s="27" t="s">
        <v>114</v>
      </c>
      <c r="C105" s="13" t="s">
        <v>54</v>
      </c>
      <c r="D105" s="13">
        <v>116</v>
      </c>
      <c r="E105" s="13"/>
      <c r="F105" s="13" t="s">
        <v>13</v>
      </c>
      <c r="G105" s="469">
        <v>2.90</v>
      </c>
      <c r="H105" s="440">
        <v>10</v>
      </c>
      <c r="I105" s="28">
        <v>2</v>
      </c>
      <c r="J105" s="441">
        <f t="shared" si="18"/>
        <v>6.8965517241379315</v>
      </c>
      <c r="K105" s="28">
        <v>1</v>
      </c>
      <c r="L105" s="267">
        <f t="shared" si="22"/>
        <v>6.8965517241379315</v>
      </c>
      <c r="M105" s="433">
        <f t="shared" si="20"/>
        <v>1379.3103448275863</v>
      </c>
      <c r="N105" s="434">
        <v>200</v>
      </c>
      <c r="O105" s="435">
        <f t="shared" si="21"/>
        <v>3.4482758620689657</v>
      </c>
      <c r="P105" s="22"/>
    </row>
    <row r="106" spans="1:15" ht="30">
      <c r="A106" s="13" t="s">
        <v>211</v>
      </c>
      <c r="B106" s="56" t="s">
        <v>60</v>
      </c>
      <c r="C106" s="13" t="s">
        <v>14</v>
      </c>
      <c r="D106" s="13">
        <v>226</v>
      </c>
      <c r="E106" s="13"/>
      <c r="F106" s="4" t="s">
        <v>58</v>
      </c>
      <c r="G106" s="470">
        <v>2.4500000000000002</v>
      </c>
      <c r="H106" s="440">
        <v>10</v>
      </c>
      <c r="I106" s="28">
        <v>1</v>
      </c>
      <c r="J106" s="441">
        <f t="shared" si="18"/>
        <v>4.0816326530612246</v>
      </c>
      <c r="K106" s="28">
        <v>1</v>
      </c>
      <c r="L106" s="267">
        <f>J106*K106</f>
        <v>4.0816326530612246</v>
      </c>
      <c r="M106" s="433">
        <f t="shared" si="20"/>
        <v>816.32653061224494</v>
      </c>
      <c r="N106" s="434">
        <v>200</v>
      </c>
      <c r="O106" s="435">
        <f t="shared" si="21"/>
        <v>4.0816326530612246</v>
      </c>
    </row>
    <row r="107" spans="1:15" ht="15">
      <c r="A107" s="39"/>
      <c r="B107" s="649" t="s">
        <v>140</v>
      </c>
      <c r="C107" s="649"/>
      <c r="D107" s="649"/>
      <c r="E107" s="649"/>
      <c r="F107" s="649"/>
      <c r="G107" s="649"/>
      <c r="H107" s="649"/>
      <c r="I107" s="649"/>
      <c r="J107" s="649"/>
      <c r="K107" s="649"/>
      <c r="L107" s="267"/>
      <c r="M107" s="262">
        <f>SUM(M108:M113)</f>
        <v>2924.6248962037721</v>
      </c>
      <c r="N107" s="263"/>
      <c r="O107" s="264">
        <f>SUM(O108:O113)</f>
        <v>9.6388666099543929</v>
      </c>
    </row>
    <row r="108" spans="1:15" ht="15">
      <c r="A108" s="57" t="s">
        <v>893</v>
      </c>
      <c r="B108" s="27" t="s">
        <v>881</v>
      </c>
      <c r="C108" s="13" t="s">
        <v>880</v>
      </c>
      <c r="D108" s="13">
        <v>224</v>
      </c>
      <c r="E108" s="13"/>
      <c r="F108" s="13" t="s">
        <v>353</v>
      </c>
      <c r="G108" s="436">
        <f>600/20</f>
        <v>30</v>
      </c>
      <c r="H108" s="440">
        <v>10</v>
      </c>
      <c r="I108" s="28">
        <v>1</v>
      </c>
      <c r="J108" s="441">
        <f t="shared" si="23" ref="J108:J113">H108/G108*I108</f>
        <v>0.33333333333333331</v>
      </c>
      <c r="K108" s="432">
        <v>1</v>
      </c>
      <c r="L108" s="435">
        <f t="shared" si="24" ref="L108:L113">J108*K108</f>
        <v>0.33333333333333331</v>
      </c>
      <c r="M108" s="266">
        <f t="shared" si="25" ref="M108:M113">L108*N108</f>
        <v>66.666666666666657</v>
      </c>
      <c r="N108" s="433">
        <v>200</v>
      </c>
      <c r="O108" s="435">
        <f t="shared" si="26" ref="O108:O113">J108/I108*K108</f>
        <v>0.33333333333333331</v>
      </c>
    </row>
    <row r="109" spans="1:15" ht="15">
      <c r="A109" s="57" t="s">
        <v>212</v>
      </c>
      <c r="B109" s="56" t="s">
        <v>1364</v>
      </c>
      <c r="C109" s="13" t="s">
        <v>862</v>
      </c>
      <c r="D109" s="13">
        <v>224</v>
      </c>
      <c r="E109" s="13"/>
      <c r="F109" s="17"/>
      <c r="G109" s="28">
        <f>(600-25)/10</f>
        <v>57.50</v>
      </c>
      <c r="H109" s="440">
        <v>10</v>
      </c>
      <c r="I109" s="28">
        <v>2</v>
      </c>
      <c r="J109" s="441">
        <f t="shared" si="23"/>
        <v>0.34782608695652173</v>
      </c>
      <c r="K109" s="28">
        <v>1</v>
      </c>
      <c r="L109" s="267">
        <f t="shared" si="24"/>
        <v>0.34782608695652173</v>
      </c>
      <c r="M109" s="433">
        <f t="shared" si="25"/>
        <v>69.565217391304344</v>
      </c>
      <c r="N109" s="434">
        <v>200</v>
      </c>
      <c r="O109" s="435">
        <f t="shared" si="26"/>
        <v>0.17391304347826086</v>
      </c>
    </row>
    <row r="110" spans="1:15" ht="15">
      <c r="A110" s="57" t="s">
        <v>878</v>
      </c>
      <c r="B110" s="27" t="s">
        <v>882</v>
      </c>
      <c r="C110" s="13" t="s">
        <v>1011</v>
      </c>
      <c r="D110" s="13">
        <v>117</v>
      </c>
      <c r="E110" s="13"/>
      <c r="F110" s="13" t="s">
        <v>353</v>
      </c>
      <c r="G110" s="28">
        <v>34.60</v>
      </c>
      <c r="H110" s="440">
        <v>10</v>
      </c>
      <c r="I110" s="28">
        <v>1</v>
      </c>
      <c r="J110" s="441">
        <f t="shared" si="23"/>
        <v>0.28901734104046239</v>
      </c>
      <c r="K110" s="432">
        <v>1</v>
      </c>
      <c r="L110" s="435">
        <f t="shared" si="24"/>
        <v>0.28901734104046239</v>
      </c>
      <c r="M110" s="266">
        <f t="shared" si="25"/>
        <v>57.803468208092482</v>
      </c>
      <c r="N110" s="433">
        <v>200</v>
      </c>
      <c r="O110" s="435">
        <f t="shared" si="26"/>
        <v>0.28901734104046239</v>
      </c>
    </row>
    <row r="111" spans="1:15" ht="15">
      <c r="A111" s="57" t="s">
        <v>214</v>
      </c>
      <c r="B111" s="56" t="s">
        <v>883</v>
      </c>
      <c r="C111" s="13" t="s">
        <v>33</v>
      </c>
      <c r="D111" s="13">
        <v>118</v>
      </c>
      <c r="E111" s="13"/>
      <c r="F111" s="13" t="s">
        <v>510</v>
      </c>
      <c r="G111" s="28">
        <v>40</v>
      </c>
      <c r="H111" s="440">
        <v>10</v>
      </c>
      <c r="I111" s="28">
        <v>2</v>
      </c>
      <c r="J111" s="441">
        <f t="shared" si="23"/>
        <v>0.50</v>
      </c>
      <c r="K111" s="432">
        <v>2</v>
      </c>
      <c r="L111" s="267">
        <f t="shared" si="24"/>
        <v>1</v>
      </c>
      <c r="M111" s="433">
        <f t="shared" si="25"/>
        <v>200</v>
      </c>
      <c r="N111" s="434">
        <v>200</v>
      </c>
      <c r="O111" s="435">
        <f t="shared" si="26"/>
        <v>0.50</v>
      </c>
    </row>
    <row r="112" spans="1:15" ht="15">
      <c r="A112" s="13" t="s">
        <v>219</v>
      </c>
      <c r="B112" s="56" t="s">
        <v>91</v>
      </c>
      <c r="C112" s="13" t="s">
        <v>54</v>
      </c>
      <c r="D112" s="13">
        <v>118</v>
      </c>
      <c r="E112" s="13"/>
      <c r="F112" s="4" t="s">
        <v>59</v>
      </c>
      <c r="G112" s="30">
        <v>2.3199999999999998</v>
      </c>
      <c r="H112" s="440">
        <v>10</v>
      </c>
      <c r="I112" s="28">
        <v>2</v>
      </c>
      <c r="J112" s="441">
        <f t="shared" si="23"/>
        <v>8.6206896551724146</v>
      </c>
      <c r="K112" s="432">
        <v>1</v>
      </c>
      <c r="L112" s="267">
        <f t="shared" si="24"/>
        <v>8.6206896551724146</v>
      </c>
      <c r="M112" s="433">
        <f t="shared" si="25"/>
        <v>1724.137931034483</v>
      </c>
      <c r="N112" s="434">
        <v>200</v>
      </c>
      <c r="O112" s="435">
        <f t="shared" si="26"/>
        <v>4.3103448275862073</v>
      </c>
    </row>
    <row r="113" spans="1:15" ht="15">
      <c r="A113" s="13" t="s">
        <v>220</v>
      </c>
      <c r="B113" s="56" t="s">
        <v>92</v>
      </c>
      <c r="C113" s="13" t="s">
        <v>54</v>
      </c>
      <c r="D113" s="13">
        <v>118</v>
      </c>
      <c r="E113" s="13"/>
      <c r="F113" s="4" t="s">
        <v>59</v>
      </c>
      <c r="G113" s="30">
        <v>2.48</v>
      </c>
      <c r="H113" s="440">
        <v>10</v>
      </c>
      <c r="I113" s="28">
        <v>1</v>
      </c>
      <c r="J113" s="441">
        <f t="shared" si="23"/>
        <v>4.032258064516129</v>
      </c>
      <c r="K113" s="432">
        <v>1</v>
      </c>
      <c r="L113" s="267">
        <f t="shared" si="24"/>
        <v>4.032258064516129</v>
      </c>
      <c r="M113" s="433">
        <f t="shared" si="25"/>
        <v>806.45161290322585</v>
      </c>
      <c r="N113" s="434">
        <v>200</v>
      </c>
      <c r="O113" s="435">
        <f t="shared" si="26"/>
        <v>4.032258064516129</v>
      </c>
    </row>
    <row r="114" spans="1:15" ht="15">
      <c r="A114" s="39"/>
      <c r="B114" s="649" t="s">
        <v>135</v>
      </c>
      <c r="C114" s="649"/>
      <c r="D114" s="649"/>
      <c r="E114" s="649"/>
      <c r="F114" s="649"/>
      <c r="G114" s="649"/>
      <c r="H114" s="649"/>
      <c r="I114" s="649"/>
      <c r="J114" s="649"/>
      <c r="K114" s="649"/>
      <c r="L114" s="435"/>
      <c r="M114" s="262">
        <f>SUM(M115:M117)</f>
        <v>542.1416234887738</v>
      </c>
      <c r="N114" s="263"/>
      <c r="O114" s="264">
        <f>SUM(O115:O117)</f>
        <v>1.4607081174438687</v>
      </c>
    </row>
    <row r="115" spans="1:15" ht="15">
      <c r="A115" s="13" t="s">
        <v>136</v>
      </c>
      <c r="B115" s="56" t="s">
        <v>137</v>
      </c>
      <c r="C115" s="13" t="s">
        <v>138</v>
      </c>
      <c r="D115" s="13">
        <v>117</v>
      </c>
      <c r="E115" s="13"/>
      <c r="F115" s="4" t="s">
        <v>139</v>
      </c>
      <c r="G115" s="28">
        <v>10</v>
      </c>
      <c r="H115" s="440">
        <v>10</v>
      </c>
      <c r="I115" s="28">
        <v>2</v>
      </c>
      <c r="J115" s="441">
        <f>H115/G115*I115</f>
        <v>2</v>
      </c>
      <c r="K115" s="28">
        <v>1</v>
      </c>
      <c r="L115" s="435">
        <f t="shared" si="27" ref="L115:L117">J115*K115</f>
        <v>2</v>
      </c>
      <c r="M115" s="266">
        <f>L115*N115</f>
        <v>400</v>
      </c>
      <c r="N115" s="433">
        <v>200</v>
      </c>
      <c r="O115" s="435">
        <f>J115/I115*K115</f>
        <v>1</v>
      </c>
    </row>
    <row r="116" spans="1:15" ht="15">
      <c r="A116" s="13" t="s">
        <v>346</v>
      </c>
      <c r="B116" s="56" t="s">
        <v>347</v>
      </c>
      <c r="C116" s="13" t="s">
        <v>14</v>
      </c>
      <c r="D116" s="13">
        <v>226</v>
      </c>
      <c r="E116" s="13"/>
      <c r="F116" s="13" t="s">
        <v>58</v>
      </c>
      <c r="G116" s="28">
        <v>23.16</v>
      </c>
      <c r="H116" s="440">
        <v>10</v>
      </c>
      <c r="I116" s="28">
        <v>1</v>
      </c>
      <c r="J116" s="441">
        <f>H116/G116*I116</f>
        <v>0.43177892918825561</v>
      </c>
      <c r="K116" s="28">
        <f>0.122*4</f>
        <v>0.48799999999999999</v>
      </c>
      <c r="L116" s="435">
        <f t="shared" si="27"/>
        <v>0.21070811744386872</v>
      </c>
      <c r="M116" s="266">
        <f>L116*N116</f>
        <v>42.141623488773746</v>
      </c>
      <c r="N116" s="433">
        <v>200</v>
      </c>
      <c r="O116" s="435">
        <f>J116/I116*K116</f>
        <v>0.21070811744386872</v>
      </c>
    </row>
    <row r="117" spans="1:15" ht="15">
      <c r="A117" s="13" t="s">
        <v>344</v>
      </c>
      <c r="B117" s="56" t="s">
        <v>345</v>
      </c>
      <c r="C117" s="13" t="s">
        <v>24</v>
      </c>
      <c r="D117" s="13">
        <v>219</v>
      </c>
      <c r="E117" s="13"/>
      <c r="F117" s="4" t="s">
        <v>139</v>
      </c>
      <c r="G117" s="28">
        <v>40</v>
      </c>
      <c r="H117" s="440">
        <v>10</v>
      </c>
      <c r="I117" s="28">
        <v>2</v>
      </c>
      <c r="J117" s="441">
        <f>H117/G117*I117</f>
        <v>0.50</v>
      </c>
      <c r="K117" s="28">
        <v>1</v>
      </c>
      <c r="L117" s="435">
        <f t="shared" si="27"/>
        <v>0.50</v>
      </c>
      <c r="M117" s="266">
        <f>L117*N117</f>
        <v>100</v>
      </c>
      <c r="N117" s="433">
        <v>200</v>
      </c>
      <c r="O117" s="435">
        <f>J117/I117*K117</f>
        <v>0.25</v>
      </c>
    </row>
    <row r="118" spans="1:15" ht="15">
      <c r="A118" s="39"/>
      <c r="B118" s="649" t="s">
        <v>133</v>
      </c>
      <c r="C118" s="649"/>
      <c r="D118" s="649"/>
      <c r="E118" s="649"/>
      <c r="F118" s="649"/>
      <c r="G118" s="649"/>
      <c r="H118" s="649"/>
      <c r="I118" s="649"/>
      <c r="J118" s="649"/>
      <c r="K118" s="649"/>
      <c r="L118" s="267"/>
      <c r="M118" s="262">
        <f>SUM(M119:M166)</f>
        <v>23204.400165733754</v>
      </c>
      <c r="N118" s="263"/>
      <c r="O118" s="264">
        <f>SUM(O119:O166)</f>
        <v>76.173052518117544</v>
      </c>
    </row>
    <row r="119" spans="1:15" ht="30" customHeight="1">
      <c r="A119" s="13" t="s">
        <v>221</v>
      </c>
      <c r="B119" s="56" t="s">
        <v>715</v>
      </c>
      <c r="C119" s="13" t="s">
        <v>24</v>
      </c>
      <c r="D119" s="13">
        <v>112</v>
      </c>
      <c r="E119" s="13"/>
      <c r="F119" s="13" t="s">
        <v>11</v>
      </c>
      <c r="G119" s="432">
        <v>6</v>
      </c>
      <c r="H119" s="440">
        <v>10</v>
      </c>
      <c r="I119" s="28">
        <v>2</v>
      </c>
      <c r="J119" s="441">
        <f t="shared" si="28" ref="J119:J166">H119/G119*I119</f>
        <v>3.3333333333333335</v>
      </c>
      <c r="K119" s="28">
        <v>1</v>
      </c>
      <c r="L119" s="267">
        <f t="shared" si="29" ref="L119:L166">J119*K119</f>
        <v>3.3333333333333335</v>
      </c>
      <c r="M119" s="433">
        <f t="shared" si="30" ref="M119:M166">L119*N119</f>
        <v>666.66666666666674</v>
      </c>
      <c r="N119" s="434">
        <v>200</v>
      </c>
      <c r="O119" s="435">
        <f t="shared" si="31" ref="O119:O166">J119/I119*K119</f>
        <v>1.6666666666666667</v>
      </c>
    </row>
    <row r="120" spans="1:15" ht="30">
      <c r="A120" s="13" t="s">
        <v>225</v>
      </c>
      <c r="B120" s="27" t="s">
        <v>230</v>
      </c>
      <c r="C120" s="13" t="s">
        <v>226</v>
      </c>
      <c r="D120" s="13">
        <v>302</v>
      </c>
      <c r="E120" s="13"/>
      <c r="F120" s="13" t="s">
        <v>227</v>
      </c>
      <c r="G120" s="28">
        <f>600/2.5</f>
        <v>240</v>
      </c>
      <c r="H120" s="440">
        <v>10</v>
      </c>
      <c r="I120" s="28">
        <v>2</v>
      </c>
      <c r="J120" s="441">
        <f t="shared" si="28"/>
        <v>0.083333333333333329</v>
      </c>
      <c r="K120" s="28">
        <v>86</v>
      </c>
      <c r="L120" s="435">
        <f t="shared" si="29"/>
        <v>7.1666666666666661</v>
      </c>
      <c r="M120" s="433">
        <f t="shared" si="30"/>
        <v>1433.3333333333333</v>
      </c>
      <c r="N120" s="433">
        <v>200</v>
      </c>
      <c r="O120" s="435">
        <f t="shared" si="31"/>
        <v>3.583333333333333</v>
      </c>
    </row>
    <row r="121" spans="1:15" ht="30">
      <c r="A121" s="13" t="s">
        <v>228</v>
      </c>
      <c r="B121" s="27" t="s">
        <v>1282</v>
      </c>
      <c r="C121" s="13" t="s">
        <v>24</v>
      </c>
      <c r="D121" s="13">
        <v>110</v>
      </c>
      <c r="E121" s="13"/>
      <c r="F121" s="13" t="s">
        <v>63</v>
      </c>
      <c r="G121" s="28">
        <f>10*40</f>
        <v>400</v>
      </c>
      <c r="H121" s="440">
        <v>10</v>
      </c>
      <c r="I121" s="28">
        <v>2</v>
      </c>
      <c r="J121" s="441">
        <f t="shared" si="28"/>
        <v>0.05</v>
      </c>
      <c r="K121" s="28">
        <v>86</v>
      </c>
      <c r="L121" s="435">
        <f t="shared" si="29"/>
        <v>4.30</v>
      </c>
      <c r="M121" s="433">
        <f t="shared" si="30"/>
        <v>653.60</v>
      </c>
      <c r="N121" s="433">
        <v>152</v>
      </c>
      <c r="O121" s="435">
        <f t="shared" si="31"/>
        <v>2.15</v>
      </c>
    </row>
    <row r="122" spans="1:15" ht="14.1" customHeight="1">
      <c r="A122" s="13" t="s">
        <v>232</v>
      </c>
      <c r="B122" s="27" t="s">
        <v>61</v>
      </c>
      <c r="C122" s="13" t="s">
        <v>62</v>
      </c>
      <c r="D122" s="13">
        <v>112</v>
      </c>
      <c r="E122" s="13"/>
      <c r="F122" s="13" t="s">
        <v>63</v>
      </c>
      <c r="G122" s="28">
        <v>200</v>
      </c>
      <c r="H122" s="440">
        <v>10</v>
      </c>
      <c r="I122" s="28">
        <v>2</v>
      </c>
      <c r="J122" s="441">
        <f t="shared" si="28"/>
        <v>0.10000000000000001</v>
      </c>
      <c r="K122" s="28">
        <v>86</v>
      </c>
      <c r="L122" s="267">
        <f t="shared" si="29"/>
        <v>8.60</v>
      </c>
      <c r="M122" s="433">
        <f t="shared" si="30"/>
        <v>1307.20</v>
      </c>
      <c r="N122" s="434">
        <v>152</v>
      </c>
      <c r="O122" s="435">
        <f t="shared" si="31"/>
        <v>4.30</v>
      </c>
    </row>
    <row r="123" spans="1:15" ht="14.1" customHeight="1">
      <c r="A123" s="13" t="s">
        <v>536</v>
      </c>
      <c r="B123" s="27" t="s">
        <v>537</v>
      </c>
      <c r="C123" s="13" t="s">
        <v>538</v>
      </c>
      <c r="D123" s="13">
        <v>115</v>
      </c>
      <c r="E123" s="13"/>
      <c r="F123" s="13" t="s">
        <v>63</v>
      </c>
      <c r="G123" s="28">
        <v>1200</v>
      </c>
      <c r="H123" s="440">
        <v>10</v>
      </c>
      <c r="I123" s="28">
        <v>1</v>
      </c>
      <c r="J123" s="441">
        <f t="shared" si="28"/>
        <v>0.0083333333333333332</v>
      </c>
      <c r="K123" s="28">
        <v>86</v>
      </c>
      <c r="L123" s="267">
        <f t="shared" si="29"/>
        <v>0.71666666666666667</v>
      </c>
      <c r="M123" s="433">
        <f t="shared" si="30"/>
        <v>143.33333333333334</v>
      </c>
      <c r="N123" s="434">
        <v>200</v>
      </c>
      <c r="O123" s="435">
        <f t="shared" si="31"/>
        <v>0.71666666666666667</v>
      </c>
    </row>
    <row r="124" spans="1:15" ht="14.1" customHeight="1">
      <c r="A124" s="13" t="s">
        <v>233</v>
      </c>
      <c r="B124" s="28" t="s">
        <v>66</v>
      </c>
      <c r="C124" s="13" t="s">
        <v>48</v>
      </c>
      <c r="D124" s="13">
        <v>112</v>
      </c>
      <c r="E124" s="13"/>
      <c r="F124" s="13" t="s">
        <v>67</v>
      </c>
      <c r="G124" s="28">
        <v>80</v>
      </c>
      <c r="H124" s="440">
        <v>10</v>
      </c>
      <c r="I124" s="28">
        <v>2</v>
      </c>
      <c r="J124" s="441">
        <f t="shared" si="28"/>
        <v>0.25</v>
      </c>
      <c r="K124" s="28">
        <v>4</v>
      </c>
      <c r="L124" s="267">
        <f t="shared" si="29"/>
        <v>1</v>
      </c>
      <c r="M124" s="433">
        <f t="shared" si="30"/>
        <v>200</v>
      </c>
      <c r="N124" s="434">
        <v>200</v>
      </c>
      <c r="O124" s="435">
        <f t="shared" si="31"/>
        <v>0.50</v>
      </c>
    </row>
    <row r="125" spans="1:15" ht="15" customHeight="1">
      <c r="A125" s="637" t="s">
        <v>234</v>
      </c>
      <c r="B125" s="648" t="s">
        <v>235</v>
      </c>
      <c r="C125" s="13" t="s">
        <v>72</v>
      </c>
      <c r="D125" s="13">
        <v>115</v>
      </c>
      <c r="E125" s="13"/>
      <c r="F125" s="13" t="s">
        <v>236</v>
      </c>
      <c r="G125" s="28">
        <v>30</v>
      </c>
      <c r="H125" s="440">
        <v>10</v>
      </c>
      <c r="I125" s="28">
        <v>2</v>
      </c>
      <c r="J125" s="441">
        <f t="shared" si="28"/>
        <v>0.66666666666666663</v>
      </c>
      <c r="K125" s="28">
        <v>5</v>
      </c>
      <c r="L125" s="267">
        <f t="shared" si="29"/>
        <v>3.333333333333333</v>
      </c>
      <c r="M125" s="433">
        <f t="shared" si="30"/>
        <v>666.66666666666663</v>
      </c>
      <c r="N125" s="434">
        <v>200</v>
      </c>
      <c r="O125" s="435">
        <f t="shared" si="31"/>
        <v>1.6666666666666665</v>
      </c>
    </row>
    <row r="126" spans="1:15" ht="15.75" customHeight="1">
      <c r="A126" s="637"/>
      <c r="B126" s="648"/>
      <c r="C126" s="13" t="s">
        <v>48</v>
      </c>
      <c r="D126" s="13">
        <v>115</v>
      </c>
      <c r="E126" s="13" t="s">
        <v>73</v>
      </c>
      <c r="F126" s="13" t="s">
        <v>10</v>
      </c>
      <c r="G126" s="28">
        <v>40</v>
      </c>
      <c r="H126" s="440">
        <v>10</v>
      </c>
      <c r="I126" s="28">
        <v>1</v>
      </c>
      <c r="J126" s="441">
        <f t="shared" si="28"/>
        <v>0.25</v>
      </c>
      <c r="K126" s="442">
        <f>(750+1028+1615+288+996)*2/1000</f>
        <v>9.3539999999999992</v>
      </c>
      <c r="L126" s="267">
        <f t="shared" si="29"/>
        <v>2.3384999999999998</v>
      </c>
      <c r="M126" s="433">
        <f t="shared" si="30"/>
        <v>467.69999999999993</v>
      </c>
      <c r="N126" s="434">
        <v>200</v>
      </c>
      <c r="O126" s="435">
        <f t="shared" si="31"/>
        <v>2.3384999999999998</v>
      </c>
    </row>
    <row r="127" spans="1:15" ht="14.1" customHeight="1">
      <c r="A127" s="13" t="s">
        <v>237</v>
      </c>
      <c r="B127" s="56" t="s">
        <v>238</v>
      </c>
      <c r="C127" s="13" t="s">
        <v>69</v>
      </c>
      <c r="D127" s="13">
        <v>110</v>
      </c>
      <c r="E127" s="13"/>
      <c r="F127" s="13" t="s">
        <v>34</v>
      </c>
      <c r="G127" s="28">
        <v>10</v>
      </c>
      <c r="H127" s="440">
        <v>10</v>
      </c>
      <c r="I127" s="28">
        <v>2</v>
      </c>
      <c r="J127" s="441">
        <f t="shared" si="28"/>
        <v>2</v>
      </c>
      <c r="K127" s="28">
        <v>1</v>
      </c>
      <c r="L127" s="267">
        <f t="shared" si="29"/>
        <v>2</v>
      </c>
      <c r="M127" s="433">
        <f t="shared" si="30"/>
        <v>400</v>
      </c>
      <c r="N127" s="434">
        <v>200</v>
      </c>
      <c r="O127" s="435">
        <f t="shared" si="31"/>
        <v>1</v>
      </c>
    </row>
    <row r="128" spans="1:15" ht="30">
      <c r="A128" s="13" t="s">
        <v>896</v>
      </c>
      <c r="B128" s="56" t="s">
        <v>894</v>
      </c>
      <c r="C128" s="13" t="s">
        <v>138</v>
      </c>
      <c r="D128" s="13">
        <v>110</v>
      </c>
      <c r="E128" s="13"/>
      <c r="F128" s="13" t="s">
        <v>12</v>
      </c>
      <c r="G128" s="28">
        <v>12</v>
      </c>
      <c r="H128" s="440">
        <v>10</v>
      </c>
      <c r="I128" s="28">
        <v>2</v>
      </c>
      <c r="J128" s="441">
        <f t="shared" si="28"/>
        <v>1.6666666666666667</v>
      </c>
      <c r="K128" s="28">
        <v>1</v>
      </c>
      <c r="L128" s="267">
        <f t="shared" si="29"/>
        <v>1.6666666666666667</v>
      </c>
      <c r="M128" s="433">
        <f t="shared" si="30"/>
        <v>333.33333333333337</v>
      </c>
      <c r="N128" s="434">
        <v>200</v>
      </c>
      <c r="O128" s="435">
        <f t="shared" si="31"/>
        <v>0.83333333333333337</v>
      </c>
    </row>
    <row r="129" spans="1:15" ht="30">
      <c r="A129" s="13" t="s">
        <v>243</v>
      </c>
      <c r="B129" s="56" t="s">
        <v>244</v>
      </c>
      <c r="C129" s="13" t="s">
        <v>25</v>
      </c>
      <c r="D129" s="13">
        <v>110</v>
      </c>
      <c r="E129" s="13" t="s">
        <v>53</v>
      </c>
      <c r="F129" s="13" t="s">
        <v>10</v>
      </c>
      <c r="G129" s="28">
        <v>40</v>
      </c>
      <c r="H129" s="440">
        <v>10</v>
      </c>
      <c r="I129" s="28">
        <v>1</v>
      </c>
      <c r="J129" s="441">
        <f t="shared" si="28"/>
        <v>0.25</v>
      </c>
      <c r="K129" s="28">
        <f>4252*2/1000</f>
        <v>8.5039999999999996</v>
      </c>
      <c r="L129" s="267">
        <f t="shared" si="29"/>
        <v>2.1259999999999999</v>
      </c>
      <c r="M129" s="433">
        <f t="shared" si="30"/>
        <v>425.20</v>
      </c>
      <c r="N129" s="434">
        <v>200</v>
      </c>
      <c r="O129" s="435">
        <f t="shared" si="31"/>
        <v>2.1259999999999999</v>
      </c>
    </row>
    <row r="130" spans="1:15" ht="14.1" customHeight="1">
      <c r="A130" s="13" t="s">
        <v>237</v>
      </c>
      <c r="B130" s="56" t="s">
        <v>71</v>
      </c>
      <c r="C130" s="13" t="s">
        <v>68</v>
      </c>
      <c r="D130" s="13">
        <v>110</v>
      </c>
      <c r="E130" s="13"/>
      <c r="F130" s="13" t="s">
        <v>34</v>
      </c>
      <c r="G130" s="28">
        <v>20</v>
      </c>
      <c r="H130" s="440">
        <v>10</v>
      </c>
      <c r="I130" s="28">
        <v>2</v>
      </c>
      <c r="J130" s="441">
        <f t="shared" si="28"/>
        <v>1</v>
      </c>
      <c r="K130" s="28">
        <v>1</v>
      </c>
      <c r="L130" s="267">
        <f t="shared" si="29"/>
        <v>1</v>
      </c>
      <c r="M130" s="433">
        <f t="shared" si="30"/>
        <v>200</v>
      </c>
      <c r="N130" s="434">
        <v>200</v>
      </c>
      <c r="O130" s="435">
        <f t="shared" si="31"/>
        <v>0.50</v>
      </c>
    </row>
    <row r="131" spans="1:15" ht="30">
      <c r="A131" s="13" t="s">
        <v>897</v>
      </c>
      <c r="B131" s="56" t="s">
        <v>895</v>
      </c>
      <c r="C131" s="13" t="s">
        <v>138</v>
      </c>
      <c r="D131" s="13">
        <v>110</v>
      </c>
      <c r="E131" s="13"/>
      <c r="F131" s="13" t="s">
        <v>12</v>
      </c>
      <c r="G131" s="28">
        <v>12</v>
      </c>
      <c r="H131" s="440">
        <v>10</v>
      </c>
      <c r="I131" s="28">
        <v>2</v>
      </c>
      <c r="J131" s="441">
        <f t="shared" si="28"/>
        <v>1.6666666666666667</v>
      </c>
      <c r="K131" s="28">
        <v>1</v>
      </c>
      <c r="L131" s="267">
        <f t="shared" si="29"/>
        <v>1.6666666666666667</v>
      </c>
      <c r="M131" s="433">
        <f t="shared" si="30"/>
        <v>333.33333333333337</v>
      </c>
      <c r="N131" s="434">
        <v>200</v>
      </c>
      <c r="O131" s="435">
        <f t="shared" si="31"/>
        <v>0.83333333333333337</v>
      </c>
    </row>
    <row r="132" spans="1:15" ht="30">
      <c r="A132" s="13" t="s">
        <v>249</v>
      </c>
      <c r="B132" s="56" t="s">
        <v>248</v>
      </c>
      <c r="C132" s="13" t="s">
        <v>25</v>
      </c>
      <c r="D132" s="13">
        <v>110</v>
      </c>
      <c r="E132" s="13" t="s">
        <v>53</v>
      </c>
      <c r="F132" s="13" t="s">
        <v>10</v>
      </c>
      <c r="G132" s="28">
        <v>40</v>
      </c>
      <c r="H132" s="440">
        <v>10</v>
      </c>
      <c r="I132" s="28">
        <v>1</v>
      </c>
      <c r="J132" s="441">
        <f t="shared" si="28"/>
        <v>0.25</v>
      </c>
      <c r="K132" s="28">
        <f>4252*2/1000</f>
        <v>8.5039999999999996</v>
      </c>
      <c r="L132" s="267">
        <f t="shared" si="29"/>
        <v>2.1259999999999999</v>
      </c>
      <c r="M132" s="433">
        <f t="shared" si="30"/>
        <v>425.20</v>
      </c>
      <c r="N132" s="434">
        <v>200</v>
      </c>
      <c r="O132" s="435">
        <f t="shared" si="31"/>
        <v>2.1259999999999999</v>
      </c>
    </row>
    <row r="133" spans="1:15" ht="14.1" customHeight="1">
      <c r="A133" s="13" t="s">
        <v>237</v>
      </c>
      <c r="B133" s="56" t="s">
        <v>71</v>
      </c>
      <c r="C133" s="13" t="s">
        <v>68</v>
      </c>
      <c r="D133" s="13">
        <v>110</v>
      </c>
      <c r="E133" s="13"/>
      <c r="F133" s="13" t="s">
        <v>34</v>
      </c>
      <c r="G133" s="28">
        <v>20</v>
      </c>
      <c r="H133" s="440">
        <v>10</v>
      </c>
      <c r="I133" s="28">
        <v>2</v>
      </c>
      <c r="J133" s="441">
        <f t="shared" si="28"/>
        <v>1</v>
      </c>
      <c r="K133" s="28">
        <v>1</v>
      </c>
      <c r="L133" s="267">
        <f t="shared" si="29"/>
        <v>1</v>
      </c>
      <c r="M133" s="433">
        <f t="shared" si="30"/>
        <v>200</v>
      </c>
      <c r="N133" s="434">
        <v>200</v>
      </c>
      <c r="O133" s="435">
        <f t="shared" si="31"/>
        <v>0.50</v>
      </c>
    </row>
    <row r="134" spans="1:15" ht="30">
      <c r="A134" s="13" t="s">
        <v>239</v>
      </c>
      <c r="B134" s="56" t="s">
        <v>240</v>
      </c>
      <c r="C134" s="13" t="s">
        <v>25</v>
      </c>
      <c r="D134" s="13">
        <v>113</v>
      </c>
      <c r="E134" s="13"/>
      <c r="F134" s="13" t="s">
        <v>63</v>
      </c>
      <c r="G134" s="432">
        <v>112</v>
      </c>
      <c r="H134" s="440">
        <v>10</v>
      </c>
      <c r="I134" s="28">
        <v>1</v>
      </c>
      <c r="J134" s="441">
        <f t="shared" si="28"/>
        <v>0.089285714285714288</v>
      </c>
      <c r="K134" s="28">
        <v>86</v>
      </c>
      <c r="L134" s="267">
        <f t="shared" si="29"/>
        <v>7.6785714285714288</v>
      </c>
      <c r="M134" s="433">
        <f t="shared" si="30"/>
        <v>1996.4285714285716</v>
      </c>
      <c r="N134" s="434">
        <v>260</v>
      </c>
      <c r="O134" s="435">
        <f t="shared" si="31"/>
        <v>7.6785714285714288</v>
      </c>
    </row>
    <row r="135" spans="1:15" ht="30">
      <c r="A135" s="13" t="s">
        <v>317</v>
      </c>
      <c r="B135" s="56" t="s">
        <v>242</v>
      </c>
      <c r="C135" s="13" t="s">
        <v>25</v>
      </c>
      <c r="D135" s="13">
        <v>113</v>
      </c>
      <c r="E135" s="13" t="s">
        <v>70</v>
      </c>
      <c r="F135" s="13" t="s">
        <v>10</v>
      </c>
      <c r="G135" s="28">
        <v>40</v>
      </c>
      <c r="H135" s="440">
        <v>10</v>
      </c>
      <c r="I135" s="28">
        <v>1</v>
      </c>
      <c r="J135" s="441">
        <f t="shared" si="28"/>
        <v>0.25</v>
      </c>
      <c r="K135" s="436">
        <f>920/1000*3.1415</f>
        <v>2.8901800000000004</v>
      </c>
      <c r="L135" s="267">
        <f t="shared" si="29"/>
        <v>0.7225450000000001</v>
      </c>
      <c r="M135" s="433">
        <f t="shared" si="30"/>
        <v>144.50900000000001</v>
      </c>
      <c r="N135" s="434">
        <v>200</v>
      </c>
      <c r="O135" s="435">
        <f t="shared" si="31"/>
        <v>0.7225450000000001</v>
      </c>
    </row>
    <row r="136" spans="1:15" ht="30">
      <c r="A136" s="13" t="s">
        <v>245</v>
      </c>
      <c r="B136" s="56" t="s">
        <v>246</v>
      </c>
      <c r="C136" s="13" t="s">
        <v>25</v>
      </c>
      <c r="D136" s="13">
        <v>113</v>
      </c>
      <c r="E136" s="13"/>
      <c r="F136" s="13" t="s">
        <v>63</v>
      </c>
      <c r="G136" s="432">
        <v>112</v>
      </c>
      <c r="H136" s="440">
        <v>10</v>
      </c>
      <c r="I136" s="28">
        <v>1</v>
      </c>
      <c r="J136" s="441">
        <f t="shared" si="28"/>
        <v>0.089285714285714288</v>
      </c>
      <c r="K136" s="28">
        <v>86</v>
      </c>
      <c r="L136" s="267">
        <f t="shared" si="29"/>
        <v>7.6785714285714288</v>
      </c>
      <c r="M136" s="433">
        <f t="shared" si="30"/>
        <v>1996.4285714285716</v>
      </c>
      <c r="N136" s="434">
        <v>260</v>
      </c>
      <c r="O136" s="435">
        <f t="shared" si="31"/>
        <v>7.6785714285714288</v>
      </c>
    </row>
    <row r="137" spans="1:15" ht="14.1" customHeight="1">
      <c r="A137" s="13" t="s">
        <v>741</v>
      </c>
      <c r="B137" s="56" t="s">
        <v>1281</v>
      </c>
      <c r="C137" s="13" t="s">
        <v>33</v>
      </c>
      <c r="D137" s="13">
        <v>115</v>
      </c>
      <c r="E137" s="13"/>
      <c r="F137" s="13"/>
      <c r="G137" s="28">
        <v>5</v>
      </c>
      <c r="H137" s="440">
        <v>10</v>
      </c>
      <c r="I137" s="28">
        <v>1</v>
      </c>
      <c r="J137" s="441">
        <f t="shared" si="28"/>
        <v>2</v>
      </c>
      <c r="K137" s="28">
        <v>1</v>
      </c>
      <c r="L137" s="267">
        <f t="shared" si="29"/>
        <v>2</v>
      </c>
      <c r="M137" s="433">
        <f t="shared" si="30"/>
        <v>400</v>
      </c>
      <c r="N137" s="434">
        <v>200</v>
      </c>
      <c r="O137" s="435">
        <f t="shared" si="31"/>
        <v>2</v>
      </c>
    </row>
    <row r="138" spans="1:15" ht="15" customHeight="1">
      <c r="A138" s="645" t="s">
        <v>254</v>
      </c>
      <c r="B138" s="639" t="s">
        <v>884</v>
      </c>
      <c r="C138" s="13" t="s">
        <v>76</v>
      </c>
      <c r="D138" s="13">
        <v>115</v>
      </c>
      <c r="E138" s="13"/>
      <c r="F138" s="13" t="s">
        <v>78</v>
      </c>
      <c r="G138" s="28">
        <v>20</v>
      </c>
      <c r="H138" s="440">
        <v>10</v>
      </c>
      <c r="I138" s="28">
        <v>2</v>
      </c>
      <c r="J138" s="441">
        <f t="shared" si="28"/>
        <v>1</v>
      </c>
      <c r="K138" s="28">
        <v>2</v>
      </c>
      <c r="L138" s="267">
        <f t="shared" si="29"/>
        <v>2</v>
      </c>
      <c r="M138" s="433">
        <f t="shared" si="30"/>
        <v>400</v>
      </c>
      <c r="N138" s="434">
        <v>200</v>
      </c>
      <c r="O138" s="435">
        <f t="shared" si="31"/>
        <v>1</v>
      </c>
    </row>
    <row r="139" spans="1:15" ht="15">
      <c r="A139" s="647"/>
      <c r="B139" s="641"/>
      <c r="C139" s="13" t="s">
        <v>77</v>
      </c>
      <c r="D139" s="13">
        <v>115</v>
      </c>
      <c r="E139" s="13" t="s">
        <v>79</v>
      </c>
      <c r="F139" s="13" t="s">
        <v>10</v>
      </c>
      <c r="G139" s="28">
        <v>40</v>
      </c>
      <c r="H139" s="440">
        <v>10</v>
      </c>
      <c r="I139" s="28">
        <v>1</v>
      </c>
      <c r="J139" s="441">
        <f t="shared" si="28"/>
        <v>0.25</v>
      </c>
      <c r="K139" s="442">
        <f>(116*2*6+130*4)/1000</f>
        <v>1.9119999999999999</v>
      </c>
      <c r="L139" s="267">
        <f t="shared" si="29"/>
        <v>0.47799999999999998</v>
      </c>
      <c r="M139" s="433">
        <f t="shared" si="30"/>
        <v>95.60</v>
      </c>
      <c r="N139" s="434">
        <v>200</v>
      </c>
      <c r="O139" s="435">
        <f t="shared" si="31"/>
        <v>0.47799999999999998</v>
      </c>
    </row>
    <row r="140" spans="1:15" ht="15">
      <c r="A140" s="637" t="s">
        <v>257</v>
      </c>
      <c r="B140" s="638" t="s">
        <v>258</v>
      </c>
      <c r="C140" s="13" t="s">
        <v>259</v>
      </c>
      <c r="D140" s="13">
        <v>107</v>
      </c>
      <c r="E140" s="13" t="s">
        <v>260</v>
      </c>
      <c r="F140" s="13" t="s">
        <v>261</v>
      </c>
      <c r="G140" s="442">
        <f>8*2</f>
        <v>16</v>
      </c>
      <c r="H140" s="468">
        <v>10</v>
      </c>
      <c r="I140" s="432">
        <v>2</v>
      </c>
      <c r="J140" s="468">
        <f t="shared" si="28"/>
        <v>1.25</v>
      </c>
      <c r="K140" s="442">
        <v>1</v>
      </c>
      <c r="L140" s="267">
        <f t="shared" si="29"/>
        <v>1.25</v>
      </c>
      <c r="M140" s="266">
        <f t="shared" si="30"/>
        <v>250</v>
      </c>
      <c r="N140" s="433">
        <v>200</v>
      </c>
      <c r="O140" s="267">
        <f t="shared" si="31"/>
        <v>0.625</v>
      </c>
    </row>
    <row r="141" spans="1:15" ht="15">
      <c r="A141" s="637"/>
      <c r="B141" s="638"/>
      <c r="C141" s="13" t="s">
        <v>262</v>
      </c>
      <c r="D141" s="13">
        <v>107</v>
      </c>
      <c r="E141" s="13" t="s">
        <v>260</v>
      </c>
      <c r="F141" s="13" t="s">
        <v>261</v>
      </c>
      <c r="G141" s="442">
        <v>32</v>
      </c>
      <c r="H141" s="472">
        <v>10</v>
      </c>
      <c r="I141" s="432">
        <v>2</v>
      </c>
      <c r="J141" s="472">
        <f t="shared" si="28"/>
        <v>0.625</v>
      </c>
      <c r="K141" s="442">
        <v>2</v>
      </c>
      <c r="L141" s="435">
        <f t="shared" si="29"/>
        <v>1.25</v>
      </c>
      <c r="M141" s="266">
        <f t="shared" si="30"/>
        <v>250</v>
      </c>
      <c r="N141" s="433">
        <v>200</v>
      </c>
      <c r="O141" s="435">
        <f t="shared" si="31"/>
        <v>0.625</v>
      </c>
    </row>
    <row r="142" spans="1:15" ht="15">
      <c r="A142" s="637"/>
      <c r="B142" s="638"/>
      <c r="C142" s="13" t="s">
        <v>263</v>
      </c>
      <c r="D142" s="13">
        <v>116</v>
      </c>
      <c r="E142" s="13" t="s">
        <v>260</v>
      </c>
      <c r="F142" s="13" t="s">
        <v>261</v>
      </c>
      <c r="G142" s="442">
        <v>90</v>
      </c>
      <c r="H142" s="431">
        <v>10</v>
      </c>
      <c r="I142" s="28">
        <v>2</v>
      </c>
      <c r="J142" s="473">
        <f t="shared" si="28"/>
        <v>0.22222222222222221</v>
      </c>
      <c r="K142" s="442">
        <v>2</v>
      </c>
      <c r="L142" s="435">
        <f t="shared" si="29"/>
        <v>0.44444444444444442</v>
      </c>
      <c r="M142" s="266">
        <f t="shared" si="30"/>
        <v>88.888888888888886</v>
      </c>
      <c r="N142" s="433">
        <v>200</v>
      </c>
      <c r="O142" s="435">
        <f t="shared" si="31"/>
        <v>0.22222222222222221</v>
      </c>
    </row>
    <row r="143" spans="1:15" ht="15">
      <c r="A143" s="637" t="s">
        <v>265</v>
      </c>
      <c r="B143" s="638" t="s">
        <v>266</v>
      </c>
      <c r="C143" s="13" t="s">
        <v>76</v>
      </c>
      <c r="D143" s="13">
        <v>116</v>
      </c>
      <c r="E143" s="13"/>
      <c r="F143" s="13" t="s">
        <v>82</v>
      </c>
      <c r="G143" s="28">
        <v>6</v>
      </c>
      <c r="H143" s="440">
        <v>10</v>
      </c>
      <c r="I143" s="28">
        <v>2</v>
      </c>
      <c r="J143" s="441">
        <f t="shared" si="28"/>
        <v>3.3333333333333335</v>
      </c>
      <c r="K143" s="28">
        <v>1</v>
      </c>
      <c r="L143" s="267">
        <f t="shared" si="29"/>
        <v>3.3333333333333335</v>
      </c>
      <c r="M143" s="433">
        <f t="shared" si="30"/>
        <v>666.66666666666674</v>
      </c>
      <c r="N143" s="434">
        <v>200</v>
      </c>
      <c r="O143" s="435">
        <f t="shared" si="31"/>
        <v>1.6666666666666667</v>
      </c>
    </row>
    <row r="144" spans="1:15" ht="15">
      <c r="A144" s="637"/>
      <c r="B144" s="638"/>
      <c r="C144" s="13" t="s">
        <v>77</v>
      </c>
      <c r="D144" s="13">
        <v>116</v>
      </c>
      <c r="E144" s="13" t="s">
        <v>264</v>
      </c>
      <c r="F144" s="13" t="s">
        <v>10</v>
      </c>
      <c r="G144" s="28">
        <v>40</v>
      </c>
      <c r="H144" s="440">
        <v>10</v>
      </c>
      <c r="I144" s="28">
        <v>1</v>
      </c>
      <c r="J144" s="441">
        <f t="shared" si="28"/>
        <v>0.25</v>
      </c>
      <c r="K144" s="442">
        <f>(133*3.1415*2+273*3.1415)*2/1000</f>
        <v>3.3865370000000001</v>
      </c>
      <c r="L144" s="267">
        <f t="shared" si="29"/>
        <v>0.84663425000000003</v>
      </c>
      <c r="M144" s="433">
        <f t="shared" si="30"/>
        <v>169.32685000000001</v>
      </c>
      <c r="N144" s="434">
        <v>200</v>
      </c>
      <c r="O144" s="435">
        <f t="shared" si="31"/>
        <v>0.84663425000000003</v>
      </c>
    </row>
    <row r="145" spans="1:15" ht="30">
      <c r="A145" s="13" t="s">
        <v>267</v>
      </c>
      <c r="B145" s="27" t="s">
        <v>519</v>
      </c>
      <c r="C145" s="13" t="s">
        <v>77</v>
      </c>
      <c r="D145" s="13">
        <v>116</v>
      </c>
      <c r="E145" s="13"/>
      <c r="F145" s="13" t="s">
        <v>67</v>
      </c>
      <c r="G145" s="28">
        <v>10</v>
      </c>
      <c r="H145" s="440">
        <v>10</v>
      </c>
      <c r="I145" s="28">
        <v>2</v>
      </c>
      <c r="J145" s="441">
        <f t="shared" si="28"/>
        <v>2</v>
      </c>
      <c r="K145" s="28">
        <v>1</v>
      </c>
      <c r="L145" s="267">
        <f t="shared" si="29"/>
        <v>2</v>
      </c>
      <c r="M145" s="433">
        <f t="shared" si="30"/>
        <v>400</v>
      </c>
      <c r="N145" s="434">
        <v>200</v>
      </c>
      <c r="O145" s="435">
        <f t="shared" si="31"/>
        <v>1</v>
      </c>
    </row>
    <row r="146" spans="1:15" ht="14.1" customHeight="1">
      <c r="A146" s="13" t="s">
        <v>268</v>
      </c>
      <c r="B146" s="27" t="s">
        <v>334</v>
      </c>
      <c r="C146" s="13" t="s">
        <v>83</v>
      </c>
      <c r="D146" s="13">
        <v>116</v>
      </c>
      <c r="E146" s="13"/>
      <c r="F146" s="4" t="s">
        <v>84</v>
      </c>
      <c r="G146" s="16">
        <v>10</v>
      </c>
      <c r="H146" s="440">
        <v>10</v>
      </c>
      <c r="I146" s="28">
        <v>2</v>
      </c>
      <c r="J146" s="441">
        <f t="shared" si="28"/>
        <v>2</v>
      </c>
      <c r="K146" s="28">
        <v>1</v>
      </c>
      <c r="L146" s="267">
        <f t="shared" si="29"/>
        <v>2</v>
      </c>
      <c r="M146" s="433">
        <f t="shared" si="30"/>
        <v>400</v>
      </c>
      <c r="N146" s="434">
        <v>200</v>
      </c>
      <c r="O146" s="435">
        <f t="shared" si="31"/>
        <v>1</v>
      </c>
    </row>
    <row r="147" spans="1:15" ht="14.1" customHeight="1">
      <c r="A147" s="13" t="s">
        <v>335</v>
      </c>
      <c r="B147" s="27" t="s">
        <v>336</v>
      </c>
      <c r="C147" s="13" t="s">
        <v>83</v>
      </c>
      <c r="D147" s="13">
        <v>116</v>
      </c>
      <c r="E147" s="13"/>
      <c r="F147" s="4" t="s">
        <v>84</v>
      </c>
      <c r="G147" s="16">
        <v>5</v>
      </c>
      <c r="H147" s="440">
        <v>10</v>
      </c>
      <c r="I147" s="28">
        <v>2</v>
      </c>
      <c r="J147" s="441">
        <f t="shared" si="28"/>
        <v>4</v>
      </c>
      <c r="K147" s="28">
        <v>1</v>
      </c>
      <c r="L147" s="267">
        <f t="shared" si="29"/>
        <v>4</v>
      </c>
      <c r="M147" s="433">
        <f t="shared" si="30"/>
        <v>800</v>
      </c>
      <c r="N147" s="434">
        <v>200</v>
      </c>
      <c r="O147" s="435">
        <f t="shared" si="31"/>
        <v>2</v>
      </c>
    </row>
    <row r="148" spans="1:15" ht="14.1" customHeight="1">
      <c r="A148" s="13" t="s">
        <v>526</v>
      </c>
      <c r="B148" s="56" t="s">
        <v>524</v>
      </c>
      <c r="C148" s="13" t="s">
        <v>523</v>
      </c>
      <c r="D148" s="13">
        <v>224</v>
      </c>
      <c r="E148" s="13"/>
      <c r="F148" s="4" t="s">
        <v>525</v>
      </c>
      <c r="G148" s="28">
        <v>600</v>
      </c>
      <c r="H148" s="431">
        <v>10</v>
      </c>
      <c r="I148" s="28">
        <v>1</v>
      </c>
      <c r="J148" s="441">
        <f t="shared" si="28"/>
        <v>0.016666666666666666</v>
      </c>
      <c r="K148" s="28">
        <v>4</v>
      </c>
      <c r="L148" s="267">
        <f t="shared" si="29"/>
        <v>0.066666666666666666</v>
      </c>
      <c r="M148" s="433">
        <f t="shared" si="30"/>
        <v>11.733333333333333</v>
      </c>
      <c r="N148" s="434">
        <v>176</v>
      </c>
      <c r="O148" s="435">
        <f t="shared" si="31"/>
        <v>0.066666666666666666</v>
      </c>
    </row>
    <row r="149" spans="1:15" ht="14.1" customHeight="1">
      <c r="A149" s="13" t="s">
        <v>269</v>
      </c>
      <c r="B149" s="56" t="s">
        <v>270</v>
      </c>
      <c r="C149" s="13" t="s">
        <v>523</v>
      </c>
      <c r="D149" s="13">
        <v>224</v>
      </c>
      <c r="E149" s="13"/>
      <c r="F149" s="4" t="s">
        <v>88</v>
      </c>
      <c r="G149" s="28">
        <v>300</v>
      </c>
      <c r="H149" s="431">
        <v>10</v>
      </c>
      <c r="I149" s="28">
        <v>1</v>
      </c>
      <c r="J149" s="441">
        <f t="shared" si="28"/>
        <v>0.033333333333333333</v>
      </c>
      <c r="K149" s="28">
        <v>2</v>
      </c>
      <c r="L149" s="267">
        <f t="shared" si="29"/>
        <v>0.066666666666666666</v>
      </c>
      <c r="M149" s="433">
        <f t="shared" si="30"/>
        <v>11.733333333333333</v>
      </c>
      <c r="N149" s="434">
        <v>176</v>
      </c>
      <c r="O149" s="435">
        <f t="shared" si="31"/>
        <v>0.066666666666666666</v>
      </c>
    </row>
    <row r="150" spans="1:15" ht="14.1" customHeight="1">
      <c r="A150" s="13" t="s">
        <v>918</v>
      </c>
      <c r="B150" s="56" t="s">
        <v>898</v>
      </c>
      <c r="C150" s="13" t="s">
        <v>523</v>
      </c>
      <c r="D150" s="13">
        <v>224</v>
      </c>
      <c r="E150" s="13"/>
      <c r="F150" s="4" t="s">
        <v>88</v>
      </c>
      <c r="G150" s="28">
        <v>600</v>
      </c>
      <c r="H150" s="431">
        <v>10</v>
      </c>
      <c r="I150" s="28">
        <v>1</v>
      </c>
      <c r="J150" s="441">
        <f t="shared" si="28"/>
        <v>0.016666666666666666</v>
      </c>
      <c r="K150" s="28">
        <v>1</v>
      </c>
      <c r="L150" s="267">
        <f t="shared" si="29"/>
        <v>0.016666666666666666</v>
      </c>
      <c r="M150" s="433">
        <f t="shared" si="30"/>
        <v>2.9333333333333331</v>
      </c>
      <c r="N150" s="434">
        <v>176</v>
      </c>
      <c r="O150" s="435">
        <f t="shared" si="31"/>
        <v>0.016666666666666666</v>
      </c>
    </row>
    <row r="151" spans="1:15" ht="30" customHeight="1">
      <c r="A151" s="13" t="s">
        <v>271</v>
      </c>
      <c r="B151" s="56" t="s">
        <v>85</v>
      </c>
      <c r="C151" s="13" t="s">
        <v>83</v>
      </c>
      <c r="D151" s="13">
        <v>116</v>
      </c>
      <c r="E151" s="13"/>
      <c r="F151" s="13" t="s">
        <v>12</v>
      </c>
      <c r="G151" s="28">
        <v>2</v>
      </c>
      <c r="H151" s="440">
        <v>10</v>
      </c>
      <c r="I151" s="28">
        <v>2</v>
      </c>
      <c r="J151" s="441">
        <f t="shared" si="28"/>
        <v>10</v>
      </c>
      <c r="K151" s="28">
        <v>1</v>
      </c>
      <c r="L151" s="267">
        <f t="shared" si="29"/>
        <v>10</v>
      </c>
      <c r="M151" s="433">
        <f t="shared" si="30"/>
        <v>2000</v>
      </c>
      <c r="N151" s="434">
        <v>200</v>
      </c>
      <c r="O151" s="435">
        <f t="shared" si="31"/>
        <v>5</v>
      </c>
    </row>
    <row r="152" spans="1:15" ht="14.1" customHeight="1">
      <c r="A152" s="13" t="s">
        <v>272</v>
      </c>
      <c r="B152" s="27" t="s">
        <v>337</v>
      </c>
      <c r="C152" s="13" t="s">
        <v>83</v>
      </c>
      <c r="D152" s="13">
        <v>116</v>
      </c>
      <c r="E152" s="13"/>
      <c r="F152" s="4" t="s">
        <v>89</v>
      </c>
      <c r="G152" s="28">
        <v>10</v>
      </c>
      <c r="H152" s="440">
        <v>10</v>
      </c>
      <c r="I152" s="28">
        <v>2</v>
      </c>
      <c r="J152" s="441">
        <f t="shared" si="28"/>
        <v>2</v>
      </c>
      <c r="K152" s="28">
        <v>1</v>
      </c>
      <c r="L152" s="267">
        <f t="shared" si="29"/>
        <v>2</v>
      </c>
      <c r="M152" s="433">
        <f t="shared" si="30"/>
        <v>400</v>
      </c>
      <c r="N152" s="434">
        <v>200</v>
      </c>
      <c r="O152" s="435">
        <f t="shared" si="31"/>
        <v>1</v>
      </c>
    </row>
    <row r="153" spans="1:15" ht="30">
      <c r="A153" s="13" t="s">
        <v>339</v>
      </c>
      <c r="B153" s="27" t="s">
        <v>338</v>
      </c>
      <c r="C153" s="13" t="s">
        <v>83</v>
      </c>
      <c r="D153" s="13">
        <v>116</v>
      </c>
      <c r="E153" s="13"/>
      <c r="F153" s="4" t="s">
        <v>89</v>
      </c>
      <c r="G153" s="28">
        <v>5.30</v>
      </c>
      <c r="H153" s="440">
        <v>10</v>
      </c>
      <c r="I153" s="28">
        <v>2</v>
      </c>
      <c r="J153" s="441">
        <f t="shared" si="28"/>
        <v>3.7735849056603774</v>
      </c>
      <c r="K153" s="28">
        <v>1</v>
      </c>
      <c r="L153" s="267">
        <f t="shared" si="29"/>
        <v>3.7735849056603774</v>
      </c>
      <c r="M153" s="433">
        <f t="shared" si="30"/>
        <v>754.71698113207549</v>
      </c>
      <c r="N153" s="434">
        <v>200</v>
      </c>
      <c r="O153" s="435">
        <f t="shared" si="31"/>
        <v>1.8867924528301887</v>
      </c>
    </row>
    <row r="154" spans="1:15" ht="30" customHeight="1">
      <c r="A154" s="13" t="s">
        <v>273</v>
      </c>
      <c r="B154" s="27" t="s">
        <v>125</v>
      </c>
      <c r="C154" s="13" t="s">
        <v>54</v>
      </c>
      <c r="D154" s="13">
        <v>116</v>
      </c>
      <c r="E154" s="13"/>
      <c r="F154" s="4" t="s">
        <v>88</v>
      </c>
      <c r="G154" s="28">
        <v>14</v>
      </c>
      <c r="H154" s="440">
        <v>10</v>
      </c>
      <c r="I154" s="28">
        <v>2</v>
      </c>
      <c r="J154" s="441">
        <f t="shared" si="28"/>
        <v>1.4285714285714286</v>
      </c>
      <c r="K154" s="28">
        <v>2</v>
      </c>
      <c r="L154" s="267">
        <f t="shared" si="29"/>
        <v>2.8571428571428572</v>
      </c>
      <c r="M154" s="433">
        <f t="shared" si="30"/>
        <v>571.42857142857144</v>
      </c>
      <c r="N154" s="434">
        <v>200</v>
      </c>
      <c r="O154" s="435">
        <f t="shared" si="31"/>
        <v>1.4285714285714286</v>
      </c>
    </row>
    <row r="155" spans="1:15" ht="30" customHeight="1">
      <c r="A155" s="523" t="s">
        <v>1668</v>
      </c>
      <c r="B155" s="522" t="s">
        <v>1670</v>
      </c>
      <c r="C155" s="523" t="s">
        <v>33</v>
      </c>
      <c r="D155" s="523">
        <v>116</v>
      </c>
      <c r="E155" s="523"/>
      <c r="F155" s="523" t="s">
        <v>1666</v>
      </c>
      <c r="G155" s="527">
        <v>10</v>
      </c>
      <c r="H155" s="530">
        <v>10</v>
      </c>
      <c r="I155" s="527">
        <v>2</v>
      </c>
      <c r="J155" s="531">
        <f t="shared" si="28"/>
        <v>2</v>
      </c>
      <c r="K155" s="527">
        <v>1</v>
      </c>
      <c r="L155" s="267">
        <f t="shared" si="29"/>
        <v>2</v>
      </c>
      <c r="M155" s="433">
        <f t="shared" si="30"/>
        <v>400</v>
      </c>
      <c r="N155" s="434">
        <v>200</v>
      </c>
      <c r="O155" s="435">
        <f t="shared" si="31"/>
        <v>1</v>
      </c>
    </row>
    <row r="156" spans="1:15" ht="30" customHeight="1">
      <c r="A156" s="523" t="s">
        <v>1669</v>
      </c>
      <c r="B156" s="522" t="s">
        <v>1671</v>
      </c>
      <c r="C156" s="523" t="s">
        <v>33</v>
      </c>
      <c r="D156" s="523">
        <v>116</v>
      </c>
      <c r="E156" s="523"/>
      <c r="F156" s="523" t="s">
        <v>10</v>
      </c>
      <c r="G156" s="527">
        <v>40</v>
      </c>
      <c r="H156" s="530">
        <v>10</v>
      </c>
      <c r="I156" s="527">
        <v>1</v>
      </c>
      <c r="J156" s="531">
        <f t="shared" si="28"/>
        <v>0.25</v>
      </c>
      <c r="K156" s="525">
        <f>4441/1000</f>
        <v>4.4409999999999998</v>
      </c>
      <c r="L156" s="267">
        <f t="shared" si="29"/>
        <v>1.11025</v>
      </c>
      <c r="M156" s="433">
        <f t="shared" si="30"/>
        <v>222.04999999999998</v>
      </c>
      <c r="N156" s="434">
        <v>200</v>
      </c>
      <c r="O156" s="435">
        <f t="shared" si="31"/>
        <v>1.11025</v>
      </c>
    </row>
    <row r="157" spans="1:15" ht="14.1" customHeight="1">
      <c r="A157" s="13" t="s">
        <v>274</v>
      </c>
      <c r="B157" s="27" t="s">
        <v>275</v>
      </c>
      <c r="C157" s="13" t="s">
        <v>83</v>
      </c>
      <c r="D157" s="13">
        <v>116</v>
      </c>
      <c r="E157" s="13"/>
      <c r="F157" s="4" t="s">
        <v>276</v>
      </c>
      <c r="G157" s="28">
        <v>20</v>
      </c>
      <c r="H157" s="440">
        <v>10</v>
      </c>
      <c r="I157" s="28">
        <v>2</v>
      </c>
      <c r="J157" s="441">
        <f t="shared" si="28"/>
        <v>1</v>
      </c>
      <c r="K157" s="28">
        <v>1</v>
      </c>
      <c r="L157" s="267">
        <f t="shared" si="29"/>
        <v>1</v>
      </c>
      <c r="M157" s="433">
        <f t="shared" si="30"/>
        <v>200</v>
      </c>
      <c r="N157" s="434">
        <v>200</v>
      </c>
      <c r="O157" s="435">
        <f t="shared" si="31"/>
        <v>0.50</v>
      </c>
    </row>
    <row r="158" spans="1:15" ht="14.1" customHeight="1">
      <c r="A158" s="13" t="s">
        <v>277</v>
      </c>
      <c r="B158" s="27" t="s">
        <v>278</v>
      </c>
      <c r="C158" s="13" t="s">
        <v>83</v>
      </c>
      <c r="D158" s="13">
        <v>116</v>
      </c>
      <c r="E158" s="13"/>
      <c r="F158" s="4" t="s">
        <v>90</v>
      </c>
      <c r="G158" s="28">
        <v>15</v>
      </c>
      <c r="H158" s="440">
        <v>10</v>
      </c>
      <c r="I158" s="28">
        <v>2</v>
      </c>
      <c r="J158" s="441">
        <f t="shared" si="28"/>
        <v>1.3333333333333333</v>
      </c>
      <c r="K158" s="28">
        <v>1</v>
      </c>
      <c r="L158" s="267">
        <f t="shared" si="29"/>
        <v>1.3333333333333333</v>
      </c>
      <c r="M158" s="433">
        <f t="shared" si="30"/>
        <v>266.66666666666663</v>
      </c>
      <c r="N158" s="434">
        <v>200</v>
      </c>
      <c r="O158" s="435">
        <f t="shared" si="31"/>
        <v>0.66666666666666663</v>
      </c>
    </row>
    <row r="159" spans="1:15" ht="14.1" customHeight="1">
      <c r="A159" s="13" t="s">
        <v>279</v>
      </c>
      <c r="B159" s="27" t="s">
        <v>280</v>
      </c>
      <c r="C159" s="13" t="s">
        <v>29</v>
      </c>
      <c r="D159" s="13">
        <v>120</v>
      </c>
      <c r="E159" s="13"/>
      <c r="F159" s="13" t="s">
        <v>12</v>
      </c>
      <c r="G159" s="28">
        <v>10</v>
      </c>
      <c r="H159" s="440">
        <v>10</v>
      </c>
      <c r="I159" s="28">
        <v>1</v>
      </c>
      <c r="J159" s="441">
        <f t="shared" si="28"/>
        <v>1</v>
      </c>
      <c r="K159" s="28">
        <v>1</v>
      </c>
      <c r="L159" s="435">
        <f t="shared" si="29"/>
        <v>1</v>
      </c>
      <c r="M159" s="266">
        <f t="shared" si="30"/>
        <v>176</v>
      </c>
      <c r="N159" s="433">
        <v>176</v>
      </c>
      <c r="O159" s="435">
        <f t="shared" si="31"/>
        <v>1</v>
      </c>
    </row>
    <row r="160" spans="1:15" ht="14.1" customHeight="1">
      <c r="A160" s="13" t="s">
        <v>281</v>
      </c>
      <c r="B160" s="56" t="s">
        <v>30</v>
      </c>
      <c r="C160" s="13" t="s">
        <v>29</v>
      </c>
      <c r="D160" s="13">
        <v>120</v>
      </c>
      <c r="E160" s="13"/>
      <c r="F160" s="13" t="s">
        <v>12</v>
      </c>
      <c r="G160" s="436">
        <v>3.33</v>
      </c>
      <c r="H160" s="440">
        <v>10</v>
      </c>
      <c r="I160" s="28">
        <v>1</v>
      </c>
      <c r="J160" s="441">
        <f t="shared" si="28"/>
        <v>3.0030030030030028</v>
      </c>
      <c r="K160" s="28">
        <v>1</v>
      </c>
      <c r="L160" s="267">
        <f t="shared" si="29"/>
        <v>3.0030030030030028</v>
      </c>
      <c r="M160" s="433">
        <f t="shared" si="30"/>
        <v>528.52852852852845</v>
      </c>
      <c r="N160" s="434">
        <v>176</v>
      </c>
      <c r="O160" s="435">
        <f t="shared" si="31"/>
        <v>3.0030030030030028</v>
      </c>
    </row>
    <row r="161" spans="1:15" ht="30">
      <c r="A161" s="13" t="s">
        <v>282</v>
      </c>
      <c r="B161" s="56" t="s">
        <v>283</v>
      </c>
      <c r="C161" s="13" t="s">
        <v>29</v>
      </c>
      <c r="D161" s="13">
        <v>120</v>
      </c>
      <c r="E161" s="13"/>
      <c r="F161" s="13" t="s">
        <v>12</v>
      </c>
      <c r="G161" s="436">
        <v>3.68</v>
      </c>
      <c r="H161" s="440">
        <v>10</v>
      </c>
      <c r="I161" s="28">
        <v>1</v>
      </c>
      <c r="J161" s="441">
        <f t="shared" si="28"/>
        <v>2.7173913043478262</v>
      </c>
      <c r="K161" s="28">
        <v>1</v>
      </c>
      <c r="L161" s="267">
        <f t="shared" si="29"/>
        <v>2.7173913043478262</v>
      </c>
      <c r="M161" s="433">
        <f t="shared" si="30"/>
        <v>478.26086956521738</v>
      </c>
      <c r="N161" s="434">
        <v>176</v>
      </c>
      <c r="O161" s="435">
        <f t="shared" si="31"/>
        <v>2.7173913043478262</v>
      </c>
    </row>
    <row r="162" spans="1:15" ht="15">
      <c r="A162" s="13" t="s">
        <v>902</v>
      </c>
      <c r="B162" s="56" t="s">
        <v>1365</v>
      </c>
      <c r="C162" s="13" t="s">
        <v>523</v>
      </c>
      <c r="D162" s="13">
        <v>224</v>
      </c>
      <c r="E162" s="13"/>
      <c r="F162" s="4" t="s">
        <v>900</v>
      </c>
      <c r="G162" s="28">
        <v>600</v>
      </c>
      <c r="H162" s="431">
        <v>10</v>
      </c>
      <c r="I162" s="28">
        <v>1</v>
      </c>
      <c r="J162" s="441">
        <f t="shared" si="28"/>
        <v>0.016666666666666666</v>
      </c>
      <c r="K162" s="28">
        <v>1</v>
      </c>
      <c r="L162" s="267">
        <f t="shared" si="29"/>
        <v>0.016666666666666666</v>
      </c>
      <c r="M162" s="433">
        <f t="shared" si="30"/>
        <v>2.9333333333333331</v>
      </c>
      <c r="N162" s="434">
        <v>176</v>
      </c>
      <c r="O162" s="435">
        <f t="shared" si="31"/>
        <v>0.016666666666666666</v>
      </c>
    </row>
    <row r="163" spans="1:15" ht="14.1" customHeight="1">
      <c r="A163" s="13" t="s">
        <v>285</v>
      </c>
      <c r="B163" s="56" t="s">
        <v>901</v>
      </c>
      <c r="C163" s="13" t="s">
        <v>83</v>
      </c>
      <c r="D163" s="13">
        <v>116</v>
      </c>
      <c r="E163" s="13"/>
      <c r="F163" s="13" t="s">
        <v>12</v>
      </c>
      <c r="G163" s="28">
        <v>8</v>
      </c>
      <c r="H163" s="440">
        <v>10</v>
      </c>
      <c r="I163" s="28">
        <v>2</v>
      </c>
      <c r="J163" s="441">
        <f t="shared" si="28"/>
        <v>2.50</v>
      </c>
      <c r="K163" s="28">
        <v>1</v>
      </c>
      <c r="L163" s="267">
        <f t="shared" si="29"/>
        <v>2.50</v>
      </c>
      <c r="M163" s="433">
        <f t="shared" si="30"/>
        <v>500</v>
      </c>
      <c r="N163" s="434">
        <v>200</v>
      </c>
      <c r="O163" s="435">
        <f t="shared" si="31"/>
        <v>1.25</v>
      </c>
    </row>
    <row r="164" spans="1:15" ht="14.1" customHeight="1">
      <c r="A164" s="645" t="s">
        <v>997</v>
      </c>
      <c r="B164" s="639" t="s">
        <v>998</v>
      </c>
      <c r="C164" s="13" t="s">
        <v>76</v>
      </c>
      <c r="D164" s="13">
        <v>116</v>
      </c>
      <c r="E164" s="13"/>
      <c r="F164" s="13" t="s">
        <v>78</v>
      </c>
      <c r="G164" s="28">
        <v>40</v>
      </c>
      <c r="H164" s="440">
        <v>10</v>
      </c>
      <c r="I164" s="28">
        <v>2</v>
      </c>
      <c r="J164" s="441">
        <f t="shared" si="28"/>
        <v>0.50</v>
      </c>
      <c r="K164" s="28">
        <v>4</v>
      </c>
      <c r="L164" s="267">
        <f t="shared" si="29"/>
        <v>2</v>
      </c>
      <c r="M164" s="433">
        <f t="shared" si="30"/>
        <v>400</v>
      </c>
      <c r="N164" s="434">
        <v>200</v>
      </c>
      <c r="O164" s="435">
        <f t="shared" si="31"/>
        <v>1</v>
      </c>
    </row>
    <row r="165" spans="1:15" ht="14.1" customHeight="1">
      <c r="A165" s="647"/>
      <c r="B165" s="641"/>
      <c r="C165" s="13" t="s">
        <v>77</v>
      </c>
      <c r="D165" s="13">
        <v>116</v>
      </c>
      <c r="E165" s="13" t="s">
        <v>999</v>
      </c>
      <c r="F165" s="13" t="s">
        <v>10</v>
      </c>
      <c r="G165" s="28">
        <v>40</v>
      </c>
      <c r="H165" s="440">
        <v>10</v>
      </c>
      <c r="I165" s="28">
        <v>1</v>
      </c>
      <c r="J165" s="441">
        <f t="shared" si="28"/>
        <v>0.25</v>
      </c>
      <c r="K165" s="442">
        <f>(530*4*2)/1000</f>
        <v>4.24</v>
      </c>
      <c r="L165" s="267">
        <f t="shared" si="29"/>
        <v>1.0600000000000001</v>
      </c>
      <c r="M165" s="433">
        <f t="shared" si="30"/>
        <v>212</v>
      </c>
      <c r="N165" s="434">
        <v>200</v>
      </c>
      <c r="O165" s="435">
        <f t="shared" si="31"/>
        <v>1.0600000000000001</v>
      </c>
    </row>
    <row r="166" spans="1:15" ht="14.1" customHeight="1">
      <c r="A166" s="13" t="s">
        <v>286</v>
      </c>
      <c r="B166" s="28" t="s">
        <v>288</v>
      </c>
      <c r="C166" s="13" t="s">
        <v>287</v>
      </c>
      <c r="D166" s="13">
        <v>116</v>
      </c>
      <c r="E166" s="13"/>
      <c r="F166" s="13" t="s">
        <v>67</v>
      </c>
      <c r="G166" s="28">
        <v>40</v>
      </c>
      <c r="H166" s="440">
        <v>10</v>
      </c>
      <c r="I166" s="28">
        <v>1</v>
      </c>
      <c r="J166" s="441">
        <f t="shared" si="28"/>
        <v>0.25</v>
      </c>
      <c r="K166" s="28">
        <v>4</v>
      </c>
      <c r="L166" s="267">
        <f t="shared" si="29"/>
        <v>1</v>
      </c>
      <c r="M166" s="433">
        <f t="shared" si="30"/>
        <v>152</v>
      </c>
      <c r="N166" s="434">
        <v>152</v>
      </c>
      <c r="O166" s="435">
        <f t="shared" si="31"/>
        <v>1</v>
      </c>
    </row>
    <row r="167" spans="1:15" ht="15" customHeight="1">
      <c r="A167" s="39"/>
      <c r="B167" s="649" t="s">
        <v>134</v>
      </c>
      <c r="C167" s="649"/>
      <c r="D167" s="649"/>
      <c r="E167" s="649"/>
      <c r="F167" s="649"/>
      <c r="G167" s="649"/>
      <c r="H167" s="649"/>
      <c r="I167" s="649"/>
      <c r="J167" s="649"/>
      <c r="K167" s="649"/>
      <c r="L167" s="267"/>
      <c r="M167" s="262">
        <f>SUM(M168:M188)</f>
        <v>11134.89650500162</v>
      </c>
      <c r="N167" s="263"/>
      <c r="O167" s="264">
        <f>SUM(O168:O188)</f>
        <v>43.659533336808472</v>
      </c>
    </row>
    <row r="168" spans="1:16" ht="30">
      <c r="A168" s="13" t="s">
        <v>297</v>
      </c>
      <c r="B168" s="56" t="s">
        <v>298</v>
      </c>
      <c r="C168" s="13" t="s">
        <v>33</v>
      </c>
      <c r="D168" s="13">
        <v>116</v>
      </c>
      <c r="E168" s="13"/>
      <c r="F168" s="13" t="s">
        <v>96</v>
      </c>
      <c r="G168" s="432">
        <v>10</v>
      </c>
      <c r="H168" s="440">
        <v>10</v>
      </c>
      <c r="I168" s="28">
        <v>2</v>
      </c>
      <c r="J168" s="441">
        <f t="shared" si="32" ref="J168:J188">H168/G168*I168</f>
        <v>2</v>
      </c>
      <c r="K168" s="28">
        <v>1</v>
      </c>
      <c r="L168" s="267">
        <f t="shared" si="33" ref="L168:L188">J168*K168</f>
        <v>2</v>
      </c>
      <c r="M168" s="433">
        <f t="shared" si="34" ref="M168:M188">L168*N168</f>
        <v>400</v>
      </c>
      <c r="N168" s="434">
        <v>200</v>
      </c>
      <c r="O168" s="435">
        <f t="shared" si="35" ref="O168:O188">J168/I168*K168</f>
        <v>1</v>
      </c>
      <c r="P168" s="22"/>
    </row>
    <row r="169" spans="1:16" ht="30">
      <c r="A169" s="523" t="s">
        <v>1663</v>
      </c>
      <c r="B169" s="522" t="s">
        <v>1665</v>
      </c>
      <c r="C169" s="523" t="s">
        <v>33</v>
      </c>
      <c r="D169" s="523">
        <v>116</v>
      </c>
      <c r="E169" s="523"/>
      <c r="F169" s="523" t="s">
        <v>1666</v>
      </c>
      <c r="G169" s="527">
        <v>10</v>
      </c>
      <c r="H169" s="530">
        <v>10</v>
      </c>
      <c r="I169" s="527">
        <v>2</v>
      </c>
      <c r="J169" s="531">
        <f t="shared" si="32"/>
        <v>2</v>
      </c>
      <c r="K169" s="527">
        <v>1</v>
      </c>
      <c r="L169" s="267">
        <f t="shared" si="33"/>
        <v>2</v>
      </c>
      <c r="M169" s="433">
        <f t="shared" si="34"/>
        <v>400</v>
      </c>
      <c r="N169" s="434">
        <v>200</v>
      </c>
      <c r="O169" s="435">
        <f t="shared" si="35"/>
        <v>1</v>
      </c>
      <c r="P169" s="22"/>
    </row>
    <row r="170" spans="1:16" ht="30">
      <c r="A170" s="523" t="s">
        <v>1664</v>
      </c>
      <c r="B170" s="522" t="s">
        <v>1667</v>
      </c>
      <c r="C170" s="523" t="s">
        <v>33</v>
      </c>
      <c r="D170" s="523">
        <v>116</v>
      </c>
      <c r="E170" s="523"/>
      <c r="F170" s="523" t="s">
        <v>10</v>
      </c>
      <c r="G170" s="527">
        <v>40</v>
      </c>
      <c r="H170" s="530">
        <v>10</v>
      </c>
      <c r="I170" s="527">
        <v>1</v>
      </c>
      <c r="J170" s="531">
        <f t="shared" si="32"/>
        <v>0.25</v>
      </c>
      <c r="K170" s="525">
        <f>4296/1000</f>
        <v>4.2960000000000003</v>
      </c>
      <c r="L170" s="267">
        <f t="shared" si="33"/>
        <v>1.0740000000000001</v>
      </c>
      <c r="M170" s="433">
        <f t="shared" si="34"/>
        <v>214.80</v>
      </c>
      <c r="N170" s="434">
        <v>200</v>
      </c>
      <c r="O170" s="435">
        <f t="shared" si="35"/>
        <v>1.0740000000000001</v>
      </c>
      <c r="P170" s="22"/>
    </row>
    <row r="171" spans="1:16" ht="30">
      <c r="A171" s="13" t="s">
        <v>299</v>
      </c>
      <c r="B171" s="56" t="s">
        <v>300</v>
      </c>
      <c r="C171" s="13" t="s">
        <v>33</v>
      </c>
      <c r="D171" s="13">
        <v>119</v>
      </c>
      <c r="E171" s="13"/>
      <c r="F171" s="13" t="s">
        <v>96</v>
      </c>
      <c r="G171" s="442">
        <v>6.47</v>
      </c>
      <c r="H171" s="440">
        <v>10</v>
      </c>
      <c r="I171" s="28">
        <v>2</v>
      </c>
      <c r="J171" s="441">
        <f t="shared" si="32"/>
        <v>3.091190108191654</v>
      </c>
      <c r="K171" s="28">
        <v>1</v>
      </c>
      <c r="L171" s="267">
        <f t="shared" si="33"/>
        <v>3.091190108191654</v>
      </c>
      <c r="M171" s="433">
        <f t="shared" si="34"/>
        <v>618.23802163833079</v>
      </c>
      <c r="N171" s="434">
        <v>200</v>
      </c>
      <c r="O171" s="435">
        <f t="shared" si="35"/>
        <v>1.545595054095827</v>
      </c>
      <c r="P171" s="22"/>
    </row>
    <row r="172" spans="1:16" ht="30">
      <c r="A172" s="13" t="s">
        <v>301</v>
      </c>
      <c r="B172" s="27" t="s">
        <v>97</v>
      </c>
      <c r="C172" s="13" t="s">
        <v>83</v>
      </c>
      <c r="D172" s="13">
        <v>119</v>
      </c>
      <c r="E172" s="13"/>
      <c r="F172" s="13" t="s">
        <v>12</v>
      </c>
      <c r="G172" s="442">
        <v>2.95</v>
      </c>
      <c r="H172" s="440">
        <v>10</v>
      </c>
      <c r="I172" s="28">
        <v>2</v>
      </c>
      <c r="J172" s="441">
        <f t="shared" si="32"/>
        <v>6.7796610169491522</v>
      </c>
      <c r="K172" s="28">
        <v>1</v>
      </c>
      <c r="L172" s="267">
        <f t="shared" si="33"/>
        <v>6.7796610169491522</v>
      </c>
      <c r="M172" s="433">
        <f t="shared" si="34"/>
        <v>1355.9322033898304</v>
      </c>
      <c r="N172" s="434">
        <v>200</v>
      </c>
      <c r="O172" s="435">
        <f t="shared" si="35"/>
        <v>3.3898305084745761</v>
      </c>
      <c r="P172" s="22"/>
    </row>
    <row r="173" spans="1:15" ht="15">
      <c r="A173" s="57" t="s">
        <v>530</v>
      </c>
      <c r="B173" s="269" t="s">
        <v>531</v>
      </c>
      <c r="C173" s="13" t="s">
        <v>33</v>
      </c>
      <c r="D173" s="13">
        <v>226</v>
      </c>
      <c r="E173" s="13"/>
      <c r="F173" s="13" t="s">
        <v>12</v>
      </c>
      <c r="G173" s="28">
        <v>10</v>
      </c>
      <c r="H173" s="440">
        <v>10</v>
      </c>
      <c r="I173" s="28">
        <v>1</v>
      </c>
      <c r="J173" s="441">
        <f t="shared" si="32"/>
        <v>1</v>
      </c>
      <c r="K173" s="442">
        <v>1</v>
      </c>
      <c r="L173" s="267">
        <f t="shared" si="33"/>
        <v>1</v>
      </c>
      <c r="M173" s="266">
        <f t="shared" si="34"/>
        <v>200</v>
      </c>
      <c r="N173" s="433">
        <v>200</v>
      </c>
      <c r="O173" s="435">
        <f t="shared" si="35"/>
        <v>1</v>
      </c>
    </row>
    <row r="174" spans="1:16" ht="15">
      <c r="A174" s="13" t="s">
        <v>290</v>
      </c>
      <c r="B174" s="28" t="s">
        <v>31</v>
      </c>
      <c r="C174" s="13" t="s">
        <v>14</v>
      </c>
      <c r="D174" s="13">
        <v>226</v>
      </c>
      <c r="E174" s="13"/>
      <c r="F174" s="13" t="s">
        <v>58</v>
      </c>
      <c r="G174" s="28">
        <v>61</v>
      </c>
      <c r="H174" s="440">
        <v>10</v>
      </c>
      <c r="I174" s="28">
        <v>1</v>
      </c>
      <c r="J174" s="441">
        <f t="shared" si="32"/>
        <v>0.16393442622950818</v>
      </c>
      <c r="K174" s="28">
        <v>18.66</v>
      </c>
      <c r="L174" s="267">
        <f t="shared" si="33"/>
        <v>3.0590163934426227</v>
      </c>
      <c r="M174" s="433">
        <f t="shared" si="34"/>
        <v>611.80327868852453</v>
      </c>
      <c r="N174" s="434">
        <v>200</v>
      </c>
      <c r="O174" s="435">
        <f t="shared" si="35"/>
        <v>3.0590163934426227</v>
      </c>
      <c r="P174" s="22"/>
    </row>
    <row r="175" spans="1:16" ht="15">
      <c r="A175" s="13" t="s">
        <v>302</v>
      </c>
      <c r="B175" s="28" t="s">
        <v>903</v>
      </c>
      <c r="C175" s="13" t="s">
        <v>523</v>
      </c>
      <c r="D175" s="13">
        <v>224</v>
      </c>
      <c r="E175" s="13"/>
      <c r="F175" s="13" t="s">
        <v>400</v>
      </c>
      <c r="G175" s="442">
        <v>30</v>
      </c>
      <c r="H175" s="440">
        <v>10</v>
      </c>
      <c r="I175" s="28">
        <v>2</v>
      </c>
      <c r="J175" s="441">
        <f t="shared" si="32"/>
        <v>0.66666666666666663</v>
      </c>
      <c r="K175" s="28">
        <v>1</v>
      </c>
      <c r="L175" s="267">
        <f t="shared" si="33"/>
        <v>0.66666666666666663</v>
      </c>
      <c r="M175" s="433">
        <f t="shared" si="34"/>
        <v>117.33333333333333</v>
      </c>
      <c r="N175" s="434">
        <v>176</v>
      </c>
      <c r="O175" s="435">
        <f t="shared" si="35"/>
        <v>0.33333333333333331</v>
      </c>
      <c r="P175" s="22"/>
    </row>
    <row r="176" spans="1:16" ht="15">
      <c r="A176" s="13" t="s">
        <v>292</v>
      </c>
      <c r="B176" s="28" t="s">
        <v>21</v>
      </c>
      <c r="C176" s="13" t="s">
        <v>33</v>
      </c>
      <c r="D176" s="13">
        <v>219</v>
      </c>
      <c r="E176" s="13"/>
      <c r="F176" s="13" t="s">
        <v>12</v>
      </c>
      <c r="G176" s="569">
        <f>1.52*2</f>
        <v>3.04</v>
      </c>
      <c r="H176" s="440">
        <v>10</v>
      </c>
      <c r="I176" s="28">
        <v>2</v>
      </c>
      <c r="J176" s="441">
        <f t="shared" si="32"/>
        <v>6.5789473684210522</v>
      </c>
      <c r="K176" s="28">
        <v>1</v>
      </c>
      <c r="L176" s="267">
        <f t="shared" si="33"/>
        <v>6.5789473684210522</v>
      </c>
      <c r="M176" s="433">
        <f t="shared" si="34"/>
        <v>1092.1052631578946</v>
      </c>
      <c r="N176" s="434">
        <v>166</v>
      </c>
      <c r="O176" s="435">
        <f t="shared" si="35"/>
        <v>3.2894736842105261</v>
      </c>
      <c r="P176" s="22"/>
    </row>
    <row r="177" spans="1:16" ht="15">
      <c r="A177" s="13" t="s">
        <v>406</v>
      </c>
      <c r="B177" s="28" t="s">
        <v>407</v>
      </c>
      <c r="C177" s="13" t="s">
        <v>14</v>
      </c>
      <c r="D177" s="13">
        <v>226</v>
      </c>
      <c r="E177" s="13"/>
      <c r="F177" s="13" t="s">
        <v>12</v>
      </c>
      <c r="G177" s="442">
        <v>61</v>
      </c>
      <c r="H177" s="440">
        <v>10</v>
      </c>
      <c r="I177" s="28">
        <v>1</v>
      </c>
      <c r="J177" s="441">
        <f t="shared" si="32"/>
        <v>0.16393442622950818</v>
      </c>
      <c r="K177" s="28">
        <v>2.90</v>
      </c>
      <c r="L177" s="435">
        <f t="shared" si="33"/>
        <v>0.47540983606557374</v>
      </c>
      <c r="M177" s="266">
        <f t="shared" si="34"/>
        <v>95.081967213114751</v>
      </c>
      <c r="N177" s="433">
        <v>200</v>
      </c>
      <c r="O177" s="435">
        <f t="shared" si="35"/>
        <v>0.47540983606557374</v>
      </c>
      <c r="P177" s="22"/>
    </row>
    <row r="178" spans="1:16" ht="15">
      <c r="A178" s="13" t="s">
        <v>291</v>
      </c>
      <c r="B178" s="28" t="s">
        <v>101</v>
      </c>
      <c r="C178" s="13" t="s">
        <v>33</v>
      </c>
      <c r="D178" s="13">
        <v>219</v>
      </c>
      <c r="E178" s="13"/>
      <c r="F178" s="13" t="s">
        <v>12</v>
      </c>
      <c r="G178" s="442">
        <v>4.4000000000000004</v>
      </c>
      <c r="H178" s="440">
        <v>10</v>
      </c>
      <c r="I178" s="28">
        <v>2</v>
      </c>
      <c r="J178" s="441">
        <f t="shared" si="32"/>
        <v>4.545454545454545</v>
      </c>
      <c r="K178" s="28">
        <v>1</v>
      </c>
      <c r="L178" s="267">
        <f t="shared" si="33"/>
        <v>4.545454545454545</v>
      </c>
      <c r="M178" s="433">
        <f t="shared" si="34"/>
        <v>909.09090909090901</v>
      </c>
      <c r="N178" s="434">
        <v>200</v>
      </c>
      <c r="O178" s="435">
        <f t="shared" si="35"/>
        <v>2.2727272727272725</v>
      </c>
      <c r="P178" s="22"/>
    </row>
    <row r="179" spans="1:16" ht="15">
      <c r="A179" s="13" t="s">
        <v>303</v>
      </c>
      <c r="B179" s="28" t="s">
        <v>304</v>
      </c>
      <c r="C179" s="13" t="s">
        <v>226</v>
      </c>
      <c r="D179" s="13">
        <v>302</v>
      </c>
      <c r="E179" s="13"/>
      <c r="F179" s="13" t="s">
        <v>103</v>
      </c>
      <c r="G179" s="432">
        <v>76</v>
      </c>
      <c r="H179" s="440">
        <v>10</v>
      </c>
      <c r="I179" s="28">
        <v>1</v>
      </c>
      <c r="J179" s="441">
        <f t="shared" si="32"/>
        <v>0.13157894736842105</v>
      </c>
      <c r="K179" s="28">
        <v>86</v>
      </c>
      <c r="L179" s="267">
        <f t="shared" si="33"/>
        <v>11.315789473684211</v>
      </c>
      <c r="M179" s="433">
        <f t="shared" si="34"/>
        <v>1991.578947368421</v>
      </c>
      <c r="N179" s="434">
        <v>176</v>
      </c>
      <c r="O179" s="435">
        <f t="shared" si="35"/>
        <v>11.315789473684211</v>
      </c>
      <c r="P179" s="22"/>
    </row>
    <row r="180" spans="1:16" ht="15">
      <c r="A180" s="13" t="s">
        <v>293</v>
      </c>
      <c r="B180" s="28" t="s">
        <v>102</v>
      </c>
      <c r="C180" s="13" t="s">
        <v>33</v>
      </c>
      <c r="D180" s="13">
        <v>219</v>
      </c>
      <c r="E180" s="13"/>
      <c r="F180" s="13" t="s">
        <v>103</v>
      </c>
      <c r="G180" s="28">
        <f>10*60/1</f>
        <v>600</v>
      </c>
      <c r="H180" s="440">
        <v>10</v>
      </c>
      <c r="I180" s="28">
        <v>1</v>
      </c>
      <c r="J180" s="441">
        <f t="shared" si="32"/>
        <v>0.016666666666666666</v>
      </c>
      <c r="K180" s="28">
        <v>86</v>
      </c>
      <c r="L180" s="267">
        <f t="shared" si="33"/>
        <v>1.4333333333333333</v>
      </c>
      <c r="M180" s="433">
        <f t="shared" si="34"/>
        <v>217.86666666666667</v>
      </c>
      <c r="N180" s="434">
        <v>152</v>
      </c>
      <c r="O180" s="435">
        <f t="shared" si="35"/>
        <v>1.4333333333333333</v>
      </c>
      <c r="P180" s="22"/>
    </row>
    <row r="181" spans="1:16" ht="15">
      <c r="A181" s="13" t="s">
        <v>305</v>
      </c>
      <c r="B181" s="27" t="s">
        <v>343</v>
      </c>
      <c r="C181" s="13" t="s">
        <v>14</v>
      </c>
      <c r="D181" s="13">
        <v>226</v>
      </c>
      <c r="E181" s="13"/>
      <c r="F181" s="13" t="s">
        <v>58</v>
      </c>
      <c r="G181" s="28">
        <v>55.20</v>
      </c>
      <c r="H181" s="440">
        <v>10</v>
      </c>
      <c r="I181" s="28">
        <v>1</v>
      </c>
      <c r="J181" s="441">
        <f t="shared" si="32"/>
        <v>0.18115942028985507</v>
      </c>
      <c r="K181" s="28">
        <v>2.17</v>
      </c>
      <c r="L181" s="435">
        <f t="shared" si="33"/>
        <v>0.39311594202898548</v>
      </c>
      <c r="M181" s="266">
        <f t="shared" si="34"/>
        <v>78.623188405797094</v>
      </c>
      <c r="N181" s="433">
        <v>200</v>
      </c>
      <c r="O181" s="435">
        <f t="shared" si="35"/>
        <v>0.39311594202898548</v>
      </c>
      <c r="P181" s="22"/>
    </row>
    <row r="182" spans="1:16" ht="30">
      <c r="A182" s="13" t="s">
        <v>306</v>
      </c>
      <c r="B182" s="27" t="s">
        <v>307</v>
      </c>
      <c r="C182" s="13" t="s">
        <v>14</v>
      </c>
      <c r="D182" s="13">
        <v>226</v>
      </c>
      <c r="E182" s="13"/>
      <c r="F182" s="13" t="s">
        <v>12</v>
      </c>
      <c r="G182" s="28">
        <v>10</v>
      </c>
      <c r="H182" s="440">
        <v>10</v>
      </c>
      <c r="I182" s="28">
        <v>1</v>
      </c>
      <c r="J182" s="441">
        <f t="shared" si="32"/>
        <v>1</v>
      </c>
      <c r="K182" s="28">
        <v>1</v>
      </c>
      <c r="L182" s="435">
        <f t="shared" si="33"/>
        <v>1</v>
      </c>
      <c r="M182" s="266">
        <f t="shared" si="34"/>
        <v>200</v>
      </c>
      <c r="N182" s="433">
        <v>200</v>
      </c>
      <c r="O182" s="435">
        <f t="shared" si="35"/>
        <v>1</v>
      </c>
      <c r="P182" s="22"/>
    </row>
    <row r="183" spans="1:16" ht="15">
      <c r="A183" s="13" t="s">
        <v>296</v>
      </c>
      <c r="B183" s="56" t="s">
        <v>105</v>
      </c>
      <c r="C183" s="13" t="s">
        <v>33</v>
      </c>
      <c r="D183" s="13">
        <v>219</v>
      </c>
      <c r="E183" s="13"/>
      <c r="F183" s="13" t="s">
        <v>96</v>
      </c>
      <c r="G183" s="28">
        <v>9.40</v>
      </c>
      <c r="H183" s="440">
        <v>10</v>
      </c>
      <c r="I183" s="28">
        <v>2</v>
      </c>
      <c r="J183" s="441">
        <f t="shared" si="32"/>
        <v>2.1276595744680851</v>
      </c>
      <c r="K183" s="28">
        <v>1</v>
      </c>
      <c r="L183" s="267">
        <f t="shared" si="33"/>
        <v>2.1276595744680851</v>
      </c>
      <c r="M183" s="433">
        <f t="shared" si="34"/>
        <v>425.531914893617</v>
      </c>
      <c r="N183" s="434">
        <v>200</v>
      </c>
      <c r="O183" s="435">
        <f t="shared" si="35"/>
        <v>1.0638297872340425</v>
      </c>
      <c r="P183" s="22"/>
    </row>
    <row r="184" spans="1:16" ht="15">
      <c r="A184" s="523" t="s">
        <v>1695</v>
      </c>
      <c r="B184" s="522" t="s">
        <v>1696</v>
      </c>
      <c r="C184" s="523" t="s">
        <v>33</v>
      </c>
      <c r="D184" s="523">
        <v>226</v>
      </c>
      <c r="E184" s="523"/>
      <c r="F184" s="523" t="s">
        <v>12</v>
      </c>
      <c r="G184" s="527">
        <v>20</v>
      </c>
      <c r="H184" s="530">
        <v>10</v>
      </c>
      <c r="I184" s="527">
        <v>1</v>
      </c>
      <c r="J184" s="531">
        <f t="shared" si="32"/>
        <v>0.50</v>
      </c>
      <c r="K184" s="527">
        <v>1</v>
      </c>
      <c r="L184" s="267">
        <f t="shared" si="33"/>
        <v>0.50</v>
      </c>
      <c r="M184" s="433">
        <f t="shared" si="34"/>
        <v>100</v>
      </c>
      <c r="N184" s="434">
        <v>200</v>
      </c>
      <c r="O184" s="435">
        <f t="shared" si="35"/>
        <v>0.50</v>
      </c>
      <c r="P184" s="22"/>
    </row>
    <row r="185" spans="1:16" ht="15">
      <c r="A185" s="13" t="s">
        <v>308</v>
      </c>
      <c r="B185" s="27" t="s">
        <v>309</v>
      </c>
      <c r="C185" s="13" t="s">
        <v>14</v>
      </c>
      <c r="D185" s="13">
        <v>226</v>
      </c>
      <c r="E185" s="13"/>
      <c r="F185" s="13" t="s">
        <v>58</v>
      </c>
      <c r="G185" s="442">
        <v>10</v>
      </c>
      <c r="H185" s="440">
        <v>10</v>
      </c>
      <c r="I185" s="28">
        <v>1</v>
      </c>
      <c r="J185" s="441">
        <f t="shared" si="32"/>
        <v>1</v>
      </c>
      <c r="K185" s="28">
        <v>1.0900000000000001</v>
      </c>
      <c r="L185" s="435">
        <f t="shared" si="33"/>
        <v>1.0900000000000001</v>
      </c>
      <c r="M185" s="266">
        <f t="shared" si="34"/>
        <v>165.68</v>
      </c>
      <c r="N185" s="433">
        <v>152</v>
      </c>
      <c r="O185" s="435">
        <f t="shared" si="35"/>
        <v>1.0900000000000001</v>
      </c>
      <c r="P185" s="22"/>
    </row>
    <row r="186" spans="1:16" ht="18.75" customHeight="1">
      <c r="A186" s="13" t="s">
        <v>294</v>
      </c>
      <c r="B186" s="27" t="s">
        <v>521</v>
      </c>
      <c r="C186" s="13" t="s">
        <v>14</v>
      </c>
      <c r="D186" s="13">
        <v>226</v>
      </c>
      <c r="E186" s="13"/>
      <c r="F186" s="13" t="s">
        <v>58</v>
      </c>
      <c r="G186" s="28">
        <v>23.16</v>
      </c>
      <c r="H186" s="440">
        <v>10</v>
      </c>
      <c r="I186" s="28">
        <v>1</v>
      </c>
      <c r="J186" s="441">
        <f t="shared" si="32"/>
        <v>0.43177892918825561</v>
      </c>
      <c r="K186" s="28">
        <v>13.80</v>
      </c>
      <c r="L186" s="267">
        <f t="shared" si="33"/>
        <v>5.9585492227979273</v>
      </c>
      <c r="M186" s="433">
        <f t="shared" si="34"/>
        <v>1191.7098445595855</v>
      </c>
      <c r="N186" s="434">
        <v>200</v>
      </c>
      <c r="O186" s="435">
        <f t="shared" si="35"/>
        <v>5.9585492227979273</v>
      </c>
      <c r="P186" s="22"/>
    </row>
    <row r="187" spans="1:16" ht="15">
      <c r="A187" s="13" t="s">
        <v>1639</v>
      </c>
      <c r="B187" s="27" t="s">
        <v>1640</v>
      </c>
      <c r="C187" s="13" t="s">
        <v>33</v>
      </c>
      <c r="D187" s="13" t="s">
        <v>1333</v>
      </c>
      <c r="E187" s="13"/>
      <c r="F187" s="13" t="s">
        <v>12</v>
      </c>
      <c r="G187" s="442">
        <v>30</v>
      </c>
      <c r="H187" s="440">
        <v>10</v>
      </c>
      <c r="I187" s="28">
        <v>2</v>
      </c>
      <c r="J187" s="441">
        <f t="shared" si="32"/>
        <v>0.66666666666666663</v>
      </c>
      <c r="K187" s="28">
        <v>1</v>
      </c>
      <c r="L187" s="267">
        <f t="shared" si="33"/>
        <v>0.66666666666666663</v>
      </c>
      <c r="M187" s="433">
        <f t="shared" si="34"/>
        <v>101.33333333333333</v>
      </c>
      <c r="N187" s="434">
        <v>152</v>
      </c>
      <c r="O187" s="435">
        <f t="shared" si="35"/>
        <v>0.33333333333333331</v>
      </c>
      <c r="P187" s="21"/>
    </row>
    <row r="188" spans="1:16" ht="15">
      <c r="A188" s="13" t="s">
        <v>295</v>
      </c>
      <c r="B188" s="28" t="s">
        <v>104</v>
      </c>
      <c r="C188" s="13" t="s">
        <v>33</v>
      </c>
      <c r="D188" s="13" t="s">
        <v>1333</v>
      </c>
      <c r="E188" s="13"/>
      <c r="F188" s="13" t="s">
        <v>12</v>
      </c>
      <c r="G188" s="28">
        <v>4.6900000000000004</v>
      </c>
      <c r="H188" s="440">
        <v>10</v>
      </c>
      <c r="I188" s="28">
        <v>2</v>
      </c>
      <c r="J188" s="441">
        <f t="shared" si="32"/>
        <v>4.2643923240938166</v>
      </c>
      <c r="K188" s="28">
        <v>1</v>
      </c>
      <c r="L188" s="267">
        <f t="shared" si="33"/>
        <v>4.2643923240938166</v>
      </c>
      <c r="M188" s="433">
        <f t="shared" si="34"/>
        <v>648.18763326226008</v>
      </c>
      <c r="N188" s="434">
        <v>152</v>
      </c>
      <c r="O188" s="435">
        <f t="shared" si="35"/>
        <v>2.1321961620469083</v>
      </c>
      <c r="P188" s="21"/>
    </row>
    <row r="189" spans="1:15" s="22" customFormat="1" ht="15">
      <c r="A189" s="443"/>
      <c r="B189" s="443" t="s">
        <v>15</v>
      </c>
      <c r="C189" s="443"/>
      <c r="D189" s="443"/>
      <c r="E189" s="443"/>
      <c r="F189" s="444"/>
      <c r="G189" s="443"/>
      <c r="H189" s="445"/>
      <c r="I189" s="443"/>
      <c r="J189" s="446"/>
      <c r="K189" s="443"/>
      <c r="L189" s="447">
        <f>SUM(L6:L188)</f>
        <v>312.0603407150557</v>
      </c>
      <c r="M189" s="455">
        <f>M17+M72+M94+M107+M118+M167+M114+M5</f>
        <v>61165.89752275408</v>
      </c>
      <c r="N189" s="110"/>
      <c r="O189" s="454">
        <f>O17+O72+O94+O107+O118+O167+O114+O5</f>
        <v>229.31915175064481</v>
      </c>
    </row>
    <row r="190" spans="12:15" ht="15">
      <c r="L190" s="448" t="s">
        <v>16</v>
      </c>
      <c r="O190" s="448" t="s">
        <v>17</v>
      </c>
    </row>
    <row r="191" spans="6:15" ht="15">
      <c r="F191" s="107"/>
      <c r="J191" s="450"/>
      <c r="K191" s="451" t="s">
        <v>18</v>
      </c>
      <c r="L191" s="452">
        <f>L189/G2</f>
        <v>87.094708544531315</v>
      </c>
      <c r="M191" s="450" t="s">
        <v>19</v>
      </c>
      <c r="N191" s="450"/>
      <c r="O191" s="450"/>
    </row>
    <row r="192" spans="6:6" ht="15">
      <c r="F192" s="107"/>
    </row>
    <row r="193" spans="2:8" ht="15">
      <c r="B193" s="268" t="s">
        <v>858</v>
      </c>
      <c r="C193" s="449"/>
      <c r="F193" s="107"/>
      <c r="H193" s="268"/>
    </row>
    <row r="194" spans="6:6" ht="15">
      <c r="F194" s="107"/>
    </row>
    <row r="195" spans="2:3" ht="15">
      <c r="B195" s="268" t="s">
        <v>848</v>
      </c>
      <c r="C195" s="449"/>
    </row>
    <row r="197" spans="2:3" ht="15">
      <c r="B197" s="268" t="s">
        <v>849</v>
      </c>
      <c r="C197" s="449"/>
    </row>
    <row r="199" ht="15" hidden="1"/>
    <row r="200" ht="15" hidden="1"/>
    <row r="201" spans="1:7" ht="15" hidden="1">
      <c r="A201" s="481" t="s">
        <v>328</v>
      </c>
      <c r="B201" s="481" t="s">
        <v>329</v>
      </c>
      <c r="C201" s="481" t="s">
        <v>330</v>
      </c>
      <c r="D201" s="481"/>
      <c r="E201" s="481" t="s">
        <v>331</v>
      </c>
      <c r="F201" s="481" t="s">
        <v>332</v>
      </c>
      <c r="G201" s="481" t="s">
        <v>333</v>
      </c>
    </row>
    <row r="202" spans="1:7" ht="60" hidden="1">
      <c r="A202" s="482">
        <v>1</v>
      </c>
      <c r="B202" s="483" t="s">
        <v>1430</v>
      </c>
      <c r="C202" s="482"/>
      <c r="D202" s="482"/>
      <c r="E202" s="482"/>
      <c r="F202" s="482" t="s">
        <v>954</v>
      </c>
      <c r="G202" s="484">
        <v>44644</v>
      </c>
    </row>
    <row r="203" spans="1:7" ht="60.75" hidden="1" thickBot="1">
      <c r="A203" s="482">
        <v>2</v>
      </c>
      <c r="B203" s="483" t="s">
        <v>1431</v>
      </c>
      <c r="C203" s="482"/>
      <c r="D203" s="482"/>
      <c r="E203" s="482"/>
      <c r="F203" s="482" t="s">
        <v>954</v>
      </c>
      <c r="G203" s="484">
        <v>44644</v>
      </c>
    </row>
    <row r="204" spans="1:15" ht="15" hidden="1">
      <c r="A204" s="500" t="s">
        <v>328</v>
      </c>
      <c r="B204" s="631" t="s">
        <v>1593</v>
      </c>
      <c r="C204" s="632"/>
      <c r="D204" s="633"/>
      <c r="E204" s="501" t="s">
        <v>332</v>
      </c>
      <c r="F204" s="502" t="s">
        <v>333</v>
      </c>
      <c r="G204" s="427"/>
      <c r="H204" s="268"/>
      <c r="O204" s="503"/>
    </row>
    <row r="205" spans="1:15" ht="15.75" hidden="1" thickBot="1">
      <c r="A205" s="504">
        <v>2</v>
      </c>
      <c r="B205" s="634" t="s">
        <v>1605</v>
      </c>
      <c r="C205" s="635"/>
      <c r="D205" s="636"/>
      <c r="E205" s="505" t="s">
        <v>1334</v>
      </c>
      <c r="F205" s="506">
        <v>44677</v>
      </c>
      <c r="G205" s="427"/>
      <c r="H205" s="268"/>
      <c r="O205" s="503"/>
    </row>
    <row r="206" spans="1:16" ht="15" hidden="1">
      <c r="A206" s="13" t="s">
        <v>1639</v>
      </c>
      <c r="B206" s="27" t="s">
        <v>1640</v>
      </c>
      <c r="C206" s="13" t="s">
        <v>33</v>
      </c>
      <c r="D206" s="13" t="s">
        <v>1333</v>
      </c>
      <c r="E206" s="13"/>
      <c r="F206" s="13" t="s">
        <v>12</v>
      </c>
      <c r="G206" s="442">
        <v>30</v>
      </c>
      <c r="H206" s="440">
        <v>10</v>
      </c>
      <c r="I206" s="28">
        <v>2</v>
      </c>
      <c r="J206" s="441">
        <f t="shared" si="36" ref="J206">H206/G206*I206</f>
        <v>0.66666666666666663</v>
      </c>
      <c r="K206" s="28">
        <v>1</v>
      </c>
      <c r="L206" s="267">
        <f t="shared" si="37" ref="L206">J206*K206</f>
        <v>0.66666666666666663</v>
      </c>
      <c r="M206" s="433">
        <f t="shared" si="38" ref="M206">L206*N206</f>
        <v>101.33333333333333</v>
      </c>
      <c r="N206" s="434">
        <v>152</v>
      </c>
      <c r="O206" s="435">
        <f t="shared" si="39" ref="O206">J206/I206*K206</f>
        <v>0.33333333333333331</v>
      </c>
      <c r="P206" s="21"/>
    </row>
    <row r="207" spans="1:7" ht="15.75" thickBot="1">
      <c r="A207" s="68"/>
      <c r="B207" s="68"/>
      <c r="C207" s="68"/>
      <c r="D207" s="68"/>
      <c r="E207" s="68"/>
      <c r="G207" s="68"/>
    </row>
    <row r="208" spans="1:7" ht="15">
      <c r="A208" s="500" t="s">
        <v>328</v>
      </c>
      <c r="B208" s="631" t="s">
        <v>1593</v>
      </c>
      <c r="C208" s="632"/>
      <c r="D208" s="633"/>
      <c r="E208" s="501" t="s">
        <v>332</v>
      </c>
      <c r="F208" s="502" t="s">
        <v>333</v>
      </c>
      <c r="G208" s="68"/>
    </row>
    <row r="209" spans="1:7" ht="15.75" thickBot="1">
      <c r="A209" s="504">
        <v>3</v>
      </c>
      <c r="B209" s="634" t="s">
        <v>1605</v>
      </c>
      <c r="C209" s="635"/>
      <c r="D209" s="636"/>
      <c r="E209" s="505" t="s">
        <v>1682</v>
      </c>
      <c r="F209" s="506">
        <v>44987</v>
      </c>
      <c r="G209" s="68"/>
    </row>
    <row r="210" spans="1:15" ht="30">
      <c r="A210" s="529" t="s">
        <v>1662</v>
      </c>
      <c r="B210" s="522" t="s">
        <v>1661</v>
      </c>
      <c r="C210" s="523" t="s">
        <v>9</v>
      </c>
      <c r="D210" s="523">
        <v>109</v>
      </c>
      <c r="E210" s="523"/>
      <c r="F210" s="524" t="s">
        <v>10</v>
      </c>
      <c r="G210" s="525">
        <v>33</v>
      </c>
      <c r="H210" s="526">
        <v>10</v>
      </c>
      <c r="I210" s="527">
        <v>1</v>
      </c>
      <c r="J210" s="528">
        <f t="shared" si="40" ref="J210:J214">H210/G210*I210</f>
        <v>0.30303030303030304</v>
      </c>
      <c r="K210" s="525">
        <f>(350*2)/1000</f>
        <v>0.70</v>
      </c>
      <c r="L210" s="267">
        <f t="shared" si="41" ref="L210:L214">J210*K210</f>
        <v>0.21212121212121213</v>
      </c>
      <c r="M210" s="266">
        <f t="shared" si="42" ref="M210:M214">L210*N210</f>
        <v>32.242424242424242</v>
      </c>
      <c r="N210" s="433">
        <v>152</v>
      </c>
      <c r="O210" s="267">
        <f t="shared" si="43" ref="O210:O214">J210/I210*K210</f>
        <v>0.21212121212121213</v>
      </c>
    </row>
    <row r="211" spans="1:15" ht="30">
      <c r="A211" s="523" t="s">
        <v>1668</v>
      </c>
      <c r="B211" s="522" t="s">
        <v>1670</v>
      </c>
      <c r="C211" s="523" t="s">
        <v>33</v>
      </c>
      <c r="D211" s="523">
        <v>116</v>
      </c>
      <c r="E211" s="523"/>
      <c r="F211" s="523" t="s">
        <v>1666</v>
      </c>
      <c r="G211" s="527">
        <v>10</v>
      </c>
      <c r="H211" s="530">
        <v>10</v>
      </c>
      <c r="I211" s="527">
        <v>2</v>
      </c>
      <c r="J211" s="531">
        <f t="shared" si="40"/>
        <v>2</v>
      </c>
      <c r="K211" s="527">
        <v>1</v>
      </c>
      <c r="L211" s="267">
        <f t="shared" si="41"/>
        <v>2</v>
      </c>
      <c r="M211" s="433">
        <f t="shared" si="42"/>
        <v>400</v>
      </c>
      <c r="N211" s="434">
        <v>200</v>
      </c>
      <c r="O211" s="435">
        <f t="shared" si="43"/>
        <v>1</v>
      </c>
    </row>
    <row r="212" spans="1:15" ht="30">
      <c r="A212" s="523" t="s">
        <v>1669</v>
      </c>
      <c r="B212" s="522" t="s">
        <v>1671</v>
      </c>
      <c r="C212" s="523" t="s">
        <v>33</v>
      </c>
      <c r="D212" s="523">
        <v>116</v>
      </c>
      <c r="E212" s="523"/>
      <c r="F212" s="523" t="s">
        <v>10</v>
      </c>
      <c r="G212" s="527">
        <v>40</v>
      </c>
      <c r="H212" s="530">
        <v>10</v>
      </c>
      <c r="I212" s="527">
        <v>1</v>
      </c>
      <c r="J212" s="531">
        <f t="shared" si="40"/>
        <v>0.25</v>
      </c>
      <c r="K212" s="525">
        <f>4441/1000</f>
        <v>4.4409999999999998</v>
      </c>
      <c r="L212" s="267">
        <f t="shared" si="41"/>
        <v>1.11025</v>
      </c>
      <c r="M212" s="433">
        <f t="shared" si="42"/>
        <v>222.04999999999998</v>
      </c>
      <c r="N212" s="434">
        <v>200</v>
      </c>
      <c r="O212" s="435">
        <f t="shared" si="43"/>
        <v>1.11025</v>
      </c>
    </row>
    <row r="213" spans="1:15" ht="30">
      <c r="A213" s="523" t="s">
        <v>1663</v>
      </c>
      <c r="B213" s="522" t="s">
        <v>1665</v>
      </c>
      <c r="C213" s="523" t="s">
        <v>33</v>
      </c>
      <c r="D213" s="523">
        <v>116</v>
      </c>
      <c r="E213" s="523"/>
      <c r="F213" s="523" t="s">
        <v>1666</v>
      </c>
      <c r="G213" s="527">
        <v>10</v>
      </c>
      <c r="H213" s="530">
        <v>10</v>
      </c>
      <c r="I213" s="527">
        <v>2</v>
      </c>
      <c r="J213" s="531">
        <f t="shared" si="40"/>
        <v>2</v>
      </c>
      <c r="K213" s="527">
        <v>1</v>
      </c>
      <c r="L213" s="267">
        <f t="shared" si="41"/>
        <v>2</v>
      </c>
      <c r="M213" s="433">
        <f t="shared" si="42"/>
        <v>400</v>
      </c>
      <c r="N213" s="434">
        <v>200</v>
      </c>
      <c r="O213" s="435">
        <f t="shared" si="43"/>
        <v>1</v>
      </c>
    </row>
    <row r="214" spans="1:15" ht="30">
      <c r="A214" s="523" t="s">
        <v>1664</v>
      </c>
      <c r="B214" s="522" t="s">
        <v>1667</v>
      </c>
      <c r="C214" s="523" t="s">
        <v>33</v>
      </c>
      <c r="D214" s="523">
        <v>116</v>
      </c>
      <c r="E214" s="523"/>
      <c r="F214" s="523" t="s">
        <v>10</v>
      </c>
      <c r="G214" s="527">
        <v>40</v>
      </c>
      <c r="H214" s="530">
        <v>10</v>
      </c>
      <c r="I214" s="527">
        <v>1</v>
      </c>
      <c r="J214" s="531">
        <f t="shared" si="40"/>
        <v>0.25</v>
      </c>
      <c r="K214" s="525">
        <f>4296/1000</f>
        <v>4.2960000000000003</v>
      </c>
      <c r="L214" s="267">
        <f t="shared" si="41"/>
        <v>1.0740000000000001</v>
      </c>
      <c r="M214" s="433">
        <f t="shared" si="42"/>
        <v>214.80</v>
      </c>
      <c r="N214" s="434">
        <v>200</v>
      </c>
      <c r="O214" s="435">
        <f t="shared" si="43"/>
        <v>1.0740000000000001</v>
      </c>
    </row>
    <row r="215" ht="15.75" thickBot="1"/>
    <row r="216" spans="1:6" ht="15">
      <c r="A216" s="500" t="s">
        <v>328</v>
      </c>
      <c r="B216" s="631" t="s">
        <v>1593</v>
      </c>
      <c r="C216" s="632"/>
      <c r="D216" s="633"/>
      <c r="E216" s="501" t="s">
        <v>332</v>
      </c>
      <c r="F216" s="502" t="s">
        <v>333</v>
      </c>
    </row>
    <row r="217" spans="1:6" ht="15.75" thickBot="1">
      <c r="A217" s="504">
        <v>4</v>
      </c>
      <c r="B217" s="634" t="s">
        <v>1605</v>
      </c>
      <c r="C217" s="635"/>
      <c r="D217" s="636"/>
      <c r="E217" s="505" t="s">
        <v>1682</v>
      </c>
      <c r="F217" s="506">
        <v>45055</v>
      </c>
    </row>
    <row r="218" spans="1:15" ht="15">
      <c r="A218" s="523" t="s">
        <v>1695</v>
      </c>
      <c r="B218" s="522" t="s">
        <v>1696</v>
      </c>
      <c r="C218" s="523" t="s">
        <v>33</v>
      </c>
      <c r="D218" s="523">
        <v>226</v>
      </c>
      <c r="E218" s="523"/>
      <c r="F218" s="523" t="s">
        <v>12</v>
      </c>
      <c r="G218" s="527">
        <v>20</v>
      </c>
      <c r="H218" s="530">
        <v>10</v>
      </c>
      <c r="I218" s="527">
        <v>1</v>
      </c>
      <c r="J218" s="531">
        <f t="shared" si="44" ref="J218">H218/G218*I218</f>
        <v>0.50</v>
      </c>
      <c r="K218" s="527">
        <v>1</v>
      </c>
      <c r="L218" s="267">
        <f t="shared" si="45" ref="L218">J218*K218</f>
        <v>0.50</v>
      </c>
      <c r="M218" s="433">
        <f t="shared" si="46" ref="M218">L218*N218</f>
        <v>100</v>
      </c>
      <c r="N218" s="434">
        <v>200</v>
      </c>
      <c r="O218" s="435">
        <f t="shared" si="47" ref="O218">J218/I218*K218</f>
        <v>0.50</v>
      </c>
    </row>
    <row r="219" ht="15.75" thickBot="1"/>
    <row r="220" spans="1:6" ht="15">
      <c r="A220" s="500" t="s">
        <v>328</v>
      </c>
      <c r="B220" s="631" t="s">
        <v>1593</v>
      </c>
      <c r="C220" s="632"/>
      <c r="D220" s="633"/>
      <c r="E220" s="501" t="s">
        <v>332</v>
      </c>
      <c r="F220" s="502" t="s">
        <v>333</v>
      </c>
    </row>
    <row r="221" spans="1:6" ht="15.75" thickBot="1">
      <c r="A221" s="504">
        <v>5</v>
      </c>
      <c r="B221" s="634" t="s">
        <v>1657</v>
      </c>
      <c r="C221" s="635"/>
      <c r="D221" s="636"/>
      <c r="E221" s="505" t="s">
        <v>1697</v>
      </c>
      <c r="F221" s="506">
        <v>45142</v>
      </c>
    </row>
    <row r="222" spans="1:16" ht="15">
      <c r="A222" s="13" t="s">
        <v>292</v>
      </c>
      <c r="B222" s="28" t="s">
        <v>21</v>
      </c>
      <c r="C222" s="13" t="s">
        <v>33</v>
      </c>
      <c r="D222" s="13">
        <v>219</v>
      </c>
      <c r="E222" s="13"/>
      <c r="F222" s="13" t="s">
        <v>12</v>
      </c>
      <c r="G222" s="436">
        <v>1.52</v>
      </c>
      <c r="H222" s="440">
        <v>10</v>
      </c>
      <c r="I222" s="28">
        <v>2</v>
      </c>
      <c r="J222" s="441">
        <f t="shared" si="48" ref="J222:J223">H222/G222*I222</f>
        <v>13.157894736842104</v>
      </c>
      <c r="K222" s="28">
        <v>1</v>
      </c>
      <c r="L222" s="267">
        <f t="shared" si="49" ref="L222:L223">J222*K222</f>
        <v>13.157894736842104</v>
      </c>
      <c r="M222" s="433">
        <f t="shared" si="50" ref="M222:M223">L222*N222</f>
        <v>2184.2105263157891</v>
      </c>
      <c r="N222" s="434">
        <v>166</v>
      </c>
      <c r="O222" s="435">
        <f t="shared" si="51" ref="O222:O223">J222/I222*K222</f>
        <v>6.5789473684210522</v>
      </c>
      <c r="P222" s="22"/>
    </row>
    <row r="223" spans="1:16" ht="15">
      <c r="A223" s="13" t="s">
        <v>292</v>
      </c>
      <c r="B223" s="28" t="s">
        <v>21</v>
      </c>
      <c r="C223" s="13" t="s">
        <v>33</v>
      </c>
      <c r="D223" s="13">
        <v>219</v>
      </c>
      <c r="E223" s="13"/>
      <c r="F223" s="13" t="s">
        <v>12</v>
      </c>
      <c r="G223" s="569">
        <f t="shared" si="52" ref="G223">1.52*2</f>
        <v>3.04</v>
      </c>
      <c r="H223" s="440">
        <v>10</v>
      </c>
      <c r="I223" s="28">
        <v>2</v>
      </c>
      <c r="J223" s="441">
        <f t="shared" si="48"/>
        <v>6.5789473684210522</v>
      </c>
      <c r="K223" s="28">
        <v>1</v>
      </c>
      <c r="L223" s="267">
        <f t="shared" si="49"/>
        <v>6.5789473684210522</v>
      </c>
      <c r="M223" s="433">
        <f t="shared" si="50"/>
        <v>1092.1052631578946</v>
      </c>
      <c r="N223" s="434">
        <v>166</v>
      </c>
      <c r="O223" s="435">
        <f t="shared" si="51"/>
        <v>3.2894736842105261</v>
      </c>
      <c r="P223" s="22"/>
    </row>
  </sheetData>
  <mergeCells count="77">
    <mergeCell ref="A138:A139"/>
    <mergeCell ref="B138:B139"/>
    <mergeCell ref="B114:K114"/>
    <mergeCell ref="B118:K118"/>
    <mergeCell ref="A125:A126"/>
    <mergeCell ref="B125:B126"/>
    <mergeCell ref="B204:D204"/>
    <mergeCell ref="B205:D205"/>
    <mergeCell ref="B167:K167"/>
    <mergeCell ref="A140:A142"/>
    <mergeCell ref="B140:B142"/>
    <mergeCell ref="A143:A144"/>
    <mergeCell ref="B143:B144"/>
    <mergeCell ref="A164:A165"/>
    <mergeCell ref="B164:B165"/>
    <mergeCell ref="A95:A97"/>
    <mergeCell ref="B95:B97"/>
    <mergeCell ref="A76:A79"/>
    <mergeCell ref="A80:A83"/>
    <mergeCell ref="B80:B83"/>
    <mergeCell ref="A84:A87"/>
    <mergeCell ref="B84:B87"/>
    <mergeCell ref="A90:A91"/>
    <mergeCell ref="B90:B91"/>
    <mergeCell ref="A48:A51"/>
    <mergeCell ref="A60:A63"/>
    <mergeCell ref="B60:B63"/>
    <mergeCell ref="B72:K72"/>
    <mergeCell ref="A73:A74"/>
    <mergeCell ref="B73:B74"/>
    <mergeCell ref="A54:A55"/>
    <mergeCell ref="B54:B55"/>
    <mergeCell ref="E54:E55"/>
    <mergeCell ref="A56:A58"/>
    <mergeCell ref="B56:B58"/>
    <mergeCell ref="E56:E58"/>
    <mergeCell ref="A34:A35"/>
    <mergeCell ref="B34:B35"/>
    <mergeCell ref="E34:E35"/>
    <mergeCell ref="A36:A38"/>
    <mergeCell ref="B36:B38"/>
    <mergeCell ref="E36:E38"/>
    <mergeCell ref="A43:A44"/>
    <mergeCell ref="B43:B44"/>
    <mergeCell ref="E43:E44"/>
    <mergeCell ref="A45:A47"/>
    <mergeCell ref="B45:B47"/>
    <mergeCell ref="E45:E47"/>
    <mergeCell ref="A24:A29"/>
    <mergeCell ref="B24:B29"/>
    <mergeCell ref="E24:E26"/>
    <mergeCell ref="E27:E29"/>
    <mergeCell ref="A30:A31"/>
    <mergeCell ref="B30:B31"/>
    <mergeCell ref="A18:A19"/>
    <mergeCell ref="B18:B19"/>
    <mergeCell ref="A20:A23"/>
    <mergeCell ref="B20:B23"/>
    <mergeCell ref="E20:E21"/>
    <mergeCell ref="E22:E23"/>
    <mergeCell ref="B5:K5"/>
    <mergeCell ref="B17:K17"/>
    <mergeCell ref="B48:B51"/>
    <mergeCell ref="B94:K94"/>
    <mergeCell ref="B107:K107"/>
    <mergeCell ref="E80:E81"/>
    <mergeCell ref="E82:E83"/>
    <mergeCell ref="B76:B79"/>
    <mergeCell ref="E76:E77"/>
    <mergeCell ref="E78:E79"/>
    <mergeCell ref="E85:E87"/>
    <mergeCell ref="B220:D220"/>
    <mergeCell ref="B221:D221"/>
    <mergeCell ref="B216:D216"/>
    <mergeCell ref="B217:D217"/>
    <mergeCell ref="B208:D208"/>
    <mergeCell ref="B209:D20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2:AE285"/>
  <sheetViews>
    <sheetView zoomScale="85" zoomScaleNormal="85" workbookViewId="0" topLeftCell="A1">
      <pane ySplit="5" topLeftCell="A6" activePane="bottomLeft" state="frozen"/>
      <selection pane="topLeft" activeCell="A1" sqref="A1"/>
      <selection pane="bottomLeft" activeCell="M23" sqref="M23"/>
    </sheetView>
  </sheetViews>
  <sheetFormatPr defaultRowHeight="15"/>
  <cols>
    <col min="1" max="1" width="8.714285714285714" customWidth="1"/>
    <col min="2" max="2" width="48" customWidth="1"/>
    <col min="3" max="19" width="7.714285714285714" customWidth="1"/>
    <col min="20" max="27" width="8.714285714285714" customWidth="1"/>
    <col min="28" max="28" width="15.714285714285714" customWidth="1"/>
  </cols>
  <sheetData>
    <row r="1" ht="15" customHeight="1"/>
    <row r="2" spans="2:30" ht="15" customHeight="1">
      <c r="B2" s="3" t="s">
        <v>459</v>
      </c>
      <c r="AC2" s="68">
        <v>10</v>
      </c>
      <c r="AD2" t="s">
        <v>17</v>
      </c>
    </row>
    <row r="3" spans="2:29" ht="15" customHeight="1">
      <c r="B3" s="96" t="s">
        <v>441</v>
      </c>
      <c r="C3" s="97">
        <v>0.60</v>
      </c>
      <c r="D3" s="97"/>
      <c r="E3" s="97">
        <v>0.70</v>
      </c>
      <c r="F3" s="97"/>
      <c r="G3" s="97">
        <v>0.80</v>
      </c>
      <c r="H3" s="97"/>
      <c r="I3" s="97">
        <v>0.90</v>
      </c>
      <c r="J3" s="97"/>
      <c r="K3" s="97">
        <v>1</v>
      </c>
      <c r="L3" s="97">
        <v>1.33</v>
      </c>
      <c r="M3" s="97">
        <v>1.67</v>
      </c>
      <c r="N3" s="97">
        <v>2</v>
      </c>
      <c r="O3" s="97"/>
      <c r="P3" s="97">
        <v>2.33</v>
      </c>
      <c r="Q3" s="97">
        <v>2.66</v>
      </c>
      <c r="R3" s="97">
        <v>3</v>
      </c>
      <c r="S3" s="97"/>
      <c r="T3" s="97">
        <v>3.32</v>
      </c>
      <c r="U3" s="97">
        <v>3.65</v>
      </c>
      <c r="V3" s="97">
        <v>4</v>
      </c>
      <c r="W3" s="97">
        <v>4.3099999999999996</v>
      </c>
      <c r="X3" s="97">
        <v>4.6399999999999997</v>
      </c>
      <c r="Y3" s="97">
        <v>5</v>
      </c>
      <c r="Z3" s="97">
        <v>5.30</v>
      </c>
      <c r="AA3" s="97">
        <v>5.63</v>
      </c>
      <c r="AC3" s="68"/>
    </row>
    <row r="4" spans="2:27" ht="15" customHeight="1">
      <c r="B4" s="96" t="s">
        <v>441</v>
      </c>
      <c r="C4" s="98"/>
      <c r="D4" s="98"/>
      <c r="E4" s="99"/>
      <c r="F4" s="99"/>
      <c r="G4" s="98"/>
      <c r="H4" s="98"/>
      <c r="I4" s="99"/>
      <c r="J4" s="99"/>
      <c r="K4" s="98"/>
      <c r="L4" s="99"/>
      <c r="M4" s="98"/>
      <c r="N4" s="99"/>
      <c r="O4" s="99"/>
      <c r="P4" s="98"/>
      <c r="Q4" s="99"/>
      <c r="R4" s="98"/>
      <c r="S4" s="98"/>
      <c r="T4" s="99">
        <v>0.875</v>
      </c>
      <c r="U4" s="98">
        <v>1</v>
      </c>
      <c r="V4" s="98">
        <v>1.25</v>
      </c>
      <c r="W4" s="98">
        <v>1.50</v>
      </c>
      <c r="X4" s="98">
        <v>1.75</v>
      </c>
      <c r="Y4" s="98">
        <v>2</v>
      </c>
      <c r="Z4" s="98">
        <v>2.25</v>
      </c>
      <c r="AA4" s="98">
        <v>2.50</v>
      </c>
    </row>
    <row r="5" spans="1:29" ht="15.75" thickBot="1">
      <c r="A5" s="54" t="s">
        <v>20</v>
      </c>
      <c r="B5" s="54" t="s">
        <v>0</v>
      </c>
      <c r="C5" s="54" t="s">
        <v>355</v>
      </c>
      <c r="D5" s="54" t="s">
        <v>1679</v>
      </c>
      <c r="E5" s="54" t="s">
        <v>356</v>
      </c>
      <c r="F5" s="54" t="s">
        <v>1677</v>
      </c>
      <c r="G5" s="54" t="s">
        <v>357</v>
      </c>
      <c r="H5" s="54" t="s">
        <v>1678</v>
      </c>
      <c r="I5" s="54" t="s">
        <v>358</v>
      </c>
      <c r="J5" s="54" t="s">
        <v>1676</v>
      </c>
      <c r="K5" s="54" t="s">
        <v>359</v>
      </c>
      <c r="L5" s="54" t="s">
        <v>360</v>
      </c>
      <c r="M5" s="54" t="s">
        <v>361</v>
      </c>
      <c r="N5" s="54" t="s">
        <v>362</v>
      </c>
      <c r="O5" s="54" t="s">
        <v>833</v>
      </c>
      <c r="P5" s="54" t="s">
        <v>363</v>
      </c>
      <c r="Q5" s="105" t="s">
        <v>364</v>
      </c>
      <c r="R5" s="105" t="s">
        <v>365</v>
      </c>
      <c r="S5" s="105" t="s">
        <v>1675</v>
      </c>
      <c r="T5" s="105" t="s">
        <v>366</v>
      </c>
      <c r="U5" s="106" t="s">
        <v>367</v>
      </c>
      <c r="V5" s="105" t="s">
        <v>368</v>
      </c>
      <c r="W5" s="106" t="s">
        <v>369</v>
      </c>
      <c r="X5" s="106" t="s">
        <v>370</v>
      </c>
      <c r="Y5" s="106" t="s">
        <v>371</v>
      </c>
      <c r="Z5" s="105" t="s">
        <v>372</v>
      </c>
      <c r="AA5" s="105" t="s">
        <v>373</v>
      </c>
      <c r="AB5" s="95" t="s">
        <v>374</v>
      </c>
      <c r="AC5" s="95" t="s">
        <v>440</v>
      </c>
    </row>
    <row r="6" spans="1:29" ht="15" customHeight="1" thickBot="1">
      <c r="A6" s="145"/>
      <c r="B6" s="146" t="s">
        <v>130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8"/>
      <c r="AB6" s="68"/>
      <c r="AC6" s="68"/>
    </row>
    <row r="7" spans="1:29" ht="24" customHeight="1">
      <c r="A7" s="754" t="s">
        <v>141</v>
      </c>
      <c r="B7" s="756" t="s">
        <v>442</v>
      </c>
      <c r="C7" s="775" t="s">
        <v>443</v>
      </c>
      <c r="D7" s="775"/>
      <c r="E7" s="775"/>
      <c r="F7" s="775"/>
      <c r="G7" s="775"/>
      <c r="H7" s="775"/>
      <c r="I7" s="775"/>
      <c r="J7" s="775"/>
      <c r="K7" s="775"/>
      <c r="L7" s="775"/>
      <c r="M7" s="775"/>
      <c r="N7" s="775"/>
      <c r="O7" s="775"/>
      <c r="P7" s="775"/>
      <c r="Q7" s="775"/>
      <c r="R7" s="775"/>
      <c r="S7" s="775"/>
      <c r="T7" s="775"/>
      <c r="U7" s="775"/>
      <c r="V7" s="775"/>
      <c r="W7" s="775"/>
      <c r="X7" s="775"/>
      <c r="Y7" s="775"/>
      <c r="Z7" s="775"/>
      <c r="AA7" s="776"/>
      <c r="AB7" s="68"/>
      <c r="AC7" s="68">
        <v>200</v>
      </c>
    </row>
    <row r="8" spans="1:29" ht="24" customHeight="1" thickBot="1">
      <c r="A8" s="755"/>
      <c r="B8" s="757"/>
      <c r="C8" s="762" t="s">
        <v>444</v>
      </c>
      <c r="D8" s="762"/>
      <c r="E8" s="762"/>
      <c r="F8" s="762"/>
      <c r="G8" s="762"/>
      <c r="H8" s="762"/>
      <c r="I8" s="762"/>
      <c r="J8" s="762"/>
      <c r="K8" s="762"/>
      <c r="L8" s="762"/>
      <c r="M8" s="762"/>
      <c r="N8" s="762"/>
      <c r="O8" s="762"/>
      <c r="P8" s="762"/>
      <c r="Q8" s="762"/>
      <c r="R8" s="762"/>
      <c r="S8" s="762"/>
      <c r="T8" s="762"/>
      <c r="U8" s="762"/>
      <c r="V8" s="762"/>
      <c r="W8" s="762"/>
      <c r="X8" s="762"/>
      <c r="Y8" s="762"/>
      <c r="Z8" s="762"/>
      <c r="AA8" s="763"/>
      <c r="AB8" s="68"/>
      <c r="AC8" s="68">
        <v>200</v>
      </c>
    </row>
    <row r="9" spans="1:29" ht="15" customHeight="1">
      <c r="A9" s="754" t="s">
        <v>143</v>
      </c>
      <c r="B9" s="756" t="s">
        <v>144</v>
      </c>
      <c r="C9" s="78">
        <f>25/60</f>
        <v>0.41666666666666669</v>
      </c>
      <c r="D9" s="78"/>
      <c r="E9" s="78">
        <f>29/60</f>
        <v>0.48333333333333334</v>
      </c>
      <c r="F9" s="78"/>
      <c r="G9" s="78">
        <f>29/60</f>
        <v>0.48333333333333334</v>
      </c>
      <c r="H9" s="78"/>
      <c r="I9" s="78">
        <f>33/60</f>
        <v>0.55000000000000004</v>
      </c>
      <c r="J9" s="78"/>
      <c r="K9" s="78">
        <f>33/60</f>
        <v>0.55000000000000004</v>
      </c>
      <c r="L9" s="78">
        <f>33/60</f>
        <v>0.55000000000000004</v>
      </c>
      <c r="M9" s="78">
        <f>33/60</f>
        <v>0.55000000000000004</v>
      </c>
      <c r="N9" s="78">
        <f>38/60</f>
        <v>0.6333333333333333</v>
      </c>
      <c r="O9" s="78"/>
      <c r="P9" s="78">
        <f>41/60</f>
        <v>0.68333333333333335</v>
      </c>
      <c r="Q9" s="78">
        <f>41/60</f>
        <v>0.68333333333333335</v>
      </c>
      <c r="R9" s="78">
        <f>41/60</f>
        <v>0.68333333333333335</v>
      </c>
      <c r="S9" s="78"/>
      <c r="T9" s="78">
        <f>43/60</f>
        <v>0.71666666666666667</v>
      </c>
      <c r="U9" s="78">
        <f>46/60</f>
        <v>0.76666666666666672</v>
      </c>
      <c r="V9" s="78">
        <f>49/60</f>
        <v>0.81666666666666665</v>
      </c>
      <c r="W9" s="78">
        <f>52/60</f>
        <v>0.8666666666666667</v>
      </c>
      <c r="X9" s="78">
        <f>55/60</f>
        <v>0.91666666666666663</v>
      </c>
      <c r="Y9" s="78">
        <f>55/60</f>
        <v>0.91666666666666663</v>
      </c>
      <c r="Z9" s="78">
        <f>58/60</f>
        <v>0.96666666666666667</v>
      </c>
      <c r="AA9" s="100">
        <f>60/60</f>
        <v>1</v>
      </c>
      <c r="AB9" s="107" t="s">
        <v>393</v>
      </c>
      <c r="AC9" s="68">
        <v>183</v>
      </c>
    </row>
    <row r="10" spans="1:29" ht="15" customHeight="1">
      <c r="A10" s="782"/>
      <c r="B10" s="638"/>
      <c r="C10" s="75">
        <f>C9*$AC$9</f>
        <v>76.25</v>
      </c>
      <c r="D10" s="75"/>
      <c r="E10" s="75">
        <f>E9*$AC$9</f>
        <v>88.45</v>
      </c>
      <c r="F10" s="75"/>
      <c r="G10" s="75">
        <f>G9*$AC$9</f>
        <v>88.45</v>
      </c>
      <c r="H10" s="75"/>
      <c r="I10" s="75">
        <f>I9*$AC$9</f>
        <v>100.65000000000001</v>
      </c>
      <c r="J10" s="75"/>
      <c r="K10" s="75">
        <f>K9*$AC$9</f>
        <v>100.65000000000001</v>
      </c>
      <c r="L10" s="75">
        <f>L9*$AC$9</f>
        <v>100.65000000000001</v>
      </c>
      <c r="M10" s="75">
        <f>M9*$AC$9</f>
        <v>100.65000000000001</v>
      </c>
      <c r="N10" s="75">
        <f>N9*$AC$9</f>
        <v>115.89999999999999</v>
      </c>
      <c r="O10" s="75"/>
      <c r="P10" s="75">
        <f>P9*$AC$9</f>
        <v>125.05</v>
      </c>
      <c r="Q10" s="75">
        <f>Q9*$AC$9</f>
        <v>125.05</v>
      </c>
      <c r="R10" s="75">
        <f>R9*$AC$9</f>
        <v>125.05</v>
      </c>
      <c r="S10" s="75"/>
      <c r="T10" s="75">
        <f t="shared" si="0" ref="T10:AA10">T9*$AC$9</f>
        <v>131.15000000000001</v>
      </c>
      <c r="U10" s="75">
        <f t="shared" si="0"/>
        <v>140.30000000000001</v>
      </c>
      <c r="V10" s="75">
        <f t="shared" si="0"/>
        <v>149.44999999999999</v>
      </c>
      <c r="W10" s="75">
        <f t="shared" si="0"/>
        <v>158.59999999999999</v>
      </c>
      <c r="X10" s="75">
        <f t="shared" si="0"/>
        <v>167.75</v>
      </c>
      <c r="Y10" s="75">
        <f t="shared" si="0"/>
        <v>167.75</v>
      </c>
      <c r="Z10" s="75">
        <f t="shared" si="0"/>
        <v>176.90</v>
      </c>
      <c r="AA10" s="101">
        <f t="shared" si="0"/>
        <v>183</v>
      </c>
      <c r="AB10" s="107" t="s">
        <v>378</v>
      </c>
      <c r="AC10" s="68"/>
    </row>
    <row r="11" spans="1:29" ht="15" customHeight="1">
      <c r="A11" s="782"/>
      <c r="B11" s="638"/>
      <c r="C11" s="102">
        <f>$AC$2/C9</f>
        <v>24</v>
      </c>
      <c r="D11" s="102"/>
      <c r="E11" s="102">
        <f>$AC$2/E9</f>
        <v>20.689655172413794</v>
      </c>
      <c r="F11" s="102"/>
      <c r="G11" s="102">
        <f>$AC$2/G9</f>
        <v>20.689655172413794</v>
      </c>
      <c r="H11" s="102"/>
      <c r="I11" s="102">
        <f>$AC$2/I9</f>
        <v>18.18181818181818</v>
      </c>
      <c r="J11" s="102"/>
      <c r="K11" s="102">
        <f>$AC$2/K9</f>
        <v>18.18181818181818</v>
      </c>
      <c r="L11" s="102">
        <f>$AC$2/L9</f>
        <v>18.18181818181818</v>
      </c>
      <c r="M11" s="102">
        <f>$AC$2/M9</f>
        <v>18.18181818181818</v>
      </c>
      <c r="N11" s="102">
        <f>$AC$2/N9</f>
        <v>15.789473684210527</v>
      </c>
      <c r="O11" s="102"/>
      <c r="P11" s="102">
        <v>15.80</v>
      </c>
      <c r="Q11" s="102">
        <f>$AC$2/Q9</f>
        <v>14.634146341463415</v>
      </c>
      <c r="R11" s="102">
        <f>$AC$2/R9</f>
        <v>14.634146341463415</v>
      </c>
      <c r="S11" s="102"/>
      <c r="T11" s="102">
        <f t="shared" si="1" ref="T11:AA11">$AC$2/T9</f>
        <v>13.953488372093023</v>
      </c>
      <c r="U11" s="102">
        <f t="shared" si="1"/>
        <v>13.043478260869565</v>
      </c>
      <c r="V11" s="102">
        <f t="shared" si="1"/>
        <v>12.244897959183673</v>
      </c>
      <c r="W11" s="102">
        <f t="shared" si="1"/>
        <v>11.538461538461538</v>
      </c>
      <c r="X11" s="102">
        <f t="shared" si="1"/>
        <v>10.90909090909091</v>
      </c>
      <c r="Y11" s="102">
        <f t="shared" si="1"/>
        <v>10.90909090909091</v>
      </c>
      <c r="Z11" s="102">
        <f t="shared" si="1"/>
        <v>10.344827586206897</v>
      </c>
      <c r="AA11" s="103">
        <f t="shared" si="1"/>
        <v>10</v>
      </c>
      <c r="AB11" s="107" t="s">
        <v>376</v>
      </c>
      <c r="AC11" s="68"/>
    </row>
    <row r="12" spans="1:29" ht="15" customHeight="1" thickBot="1">
      <c r="A12" s="755"/>
      <c r="B12" s="757"/>
      <c r="C12" s="77">
        <v>426</v>
      </c>
      <c r="D12" s="77"/>
      <c r="E12" s="77">
        <v>530</v>
      </c>
      <c r="F12" s="77"/>
      <c r="G12" s="77">
        <v>530</v>
      </c>
      <c r="H12" s="77"/>
      <c r="I12" s="77">
        <v>630</v>
      </c>
      <c r="J12" s="77"/>
      <c r="K12" s="77">
        <v>630</v>
      </c>
      <c r="L12" s="77">
        <v>630</v>
      </c>
      <c r="M12" s="77">
        <v>630</v>
      </c>
      <c r="N12" s="77">
        <v>720</v>
      </c>
      <c r="O12" s="77"/>
      <c r="P12" s="77">
        <v>720</v>
      </c>
      <c r="Q12" s="77">
        <v>824</v>
      </c>
      <c r="R12" s="73">
        <v>824</v>
      </c>
      <c r="S12" s="73"/>
      <c r="T12" s="77">
        <v>874</v>
      </c>
      <c r="U12" s="71">
        <v>924</v>
      </c>
      <c r="V12" s="77">
        <v>978</v>
      </c>
      <c r="W12" s="77">
        <v>1028</v>
      </c>
      <c r="X12" s="72">
        <v>1078</v>
      </c>
      <c r="Y12" s="77">
        <v>1078</v>
      </c>
      <c r="Z12" s="77">
        <v>1132</v>
      </c>
      <c r="AA12" s="104">
        <v>1182</v>
      </c>
      <c r="AB12" s="107" t="s">
        <v>375</v>
      </c>
      <c r="AC12" s="68"/>
    </row>
    <row r="13" spans="1:29" ht="15">
      <c r="A13" s="758" t="s">
        <v>146</v>
      </c>
      <c r="B13" s="756" t="s">
        <v>411</v>
      </c>
      <c r="C13" s="745" t="s">
        <v>445</v>
      </c>
      <c r="D13" s="746"/>
      <c r="E13" s="746"/>
      <c r="F13" s="746"/>
      <c r="G13" s="746"/>
      <c r="H13" s="746"/>
      <c r="I13" s="746"/>
      <c r="J13" s="746"/>
      <c r="K13" s="746"/>
      <c r="L13" s="746"/>
      <c r="M13" s="746"/>
      <c r="N13" s="746"/>
      <c r="O13" s="746"/>
      <c r="P13" s="746"/>
      <c r="Q13" s="746"/>
      <c r="R13" s="746"/>
      <c r="S13" s="746"/>
      <c r="T13" s="746"/>
      <c r="U13" s="746"/>
      <c r="V13" s="746"/>
      <c r="W13" s="746"/>
      <c r="X13" s="746"/>
      <c r="Y13" s="746"/>
      <c r="Z13" s="746"/>
      <c r="AA13" s="761"/>
      <c r="AB13" s="107"/>
      <c r="AC13" s="68">
        <v>200</v>
      </c>
    </row>
    <row r="14" spans="1:29" ht="15.75" thickBot="1">
      <c r="A14" s="760"/>
      <c r="B14" s="757"/>
      <c r="C14" s="762" t="s">
        <v>446</v>
      </c>
      <c r="D14" s="762"/>
      <c r="E14" s="762"/>
      <c r="F14" s="762"/>
      <c r="G14" s="762"/>
      <c r="H14" s="762"/>
      <c r="I14" s="762"/>
      <c r="J14" s="762"/>
      <c r="K14" s="762"/>
      <c r="L14" s="762"/>
      <c r="M14" s="762"/>
      <c r="N14" s="762"/>
      <c r="O14" s="762"/>
      <c r="P14" s="762"/>
      <c r="Q14" s="762"/>
      <c r="R14" s="762"/>
      <c r="S14" s="762"/>
      <c r="T14" s="762"/>
      <c r="U14" s="762"/>
      <c r="V14" s="762"/>
      <c r="W14" s="762"/>
      <c r="X14" s="762"/>
      <c r="Y14" s="762"/>
      <c r="Z14" s="762"/>
      <c r="AA14" s="763"/>
      <c r="AB14" s="107"/>
      <c r="AC14" s="68">
        <v>200</v>
      </c>
    </row>
    <row r="15" spans="1:29" ht="15">
      <c r="A15" s="779" t="s">
        <v>148</v>
      </c>
      <c r="B15" s="777" t="s">
        <v>412</v>
      </c>
      <c r="C15" s="745" t="s">
        <v>445</v>
      </c>
      <c r="D15" s="746"/>
      <c r="E15" s="746"/>
      <c r="F15" s="746"/>
      <c r="G15" s="746"/>
      <c r="H15" s="746"/>
      <c r="I15" s="746"/>
      <c r="J15" s="746"/>
      <c r="K15" s="746"/>
      <c r="L15" s="746"/>
      <c r="M15" s="746"/>
      <c r="N15" s="746"/>
      <c r="O15" s="746"/>
      <c r="P15" s="746"/>
      <c r="Q15" s="746"/>
      <c r="R15" s="746"/>
      <c r="S15" s="746"/>
      <c r="T15" s="746"/>
      <c r="U15" s="746"/>
      <c r="V15" s="746"/>
      <c r="W15" s="746"/>
      <c r="X15" s="746"/>
      <c r="Y15" s="746"/>
      <c r="Z15" s="746"/>
      <c r="AA15" s="761"/>
      <c r="AB15" s="107"/>
      <c r="AC15" s="68">
        <v>200</v>
      </c>
    </row>
    <row r="16" spans="1:29" ht="15">
      <c r="A16" s="780"/>
      <c r="B16" s="640"/>
      <c r="C16" s="637" t="s">
        <v>447</v>
      </c>
      <c r="D16" s="637"/>
      <c r="E16" s="637"/>
      <c r="F16" s="637"/>
      <c r="G16" s="637"/>
      <c r="H16" s="637"/>
      <c r="I16" s="637"/>
      <c r="J16" s="637"/>
      <c r="K16" s="637"/>
      <c r="L16" s="637"/>
      <c r="M16" s="637"/>
      <c r="N16" s="637"/>
      <c r="O16" s="637"/>
      <c r="P16" s="637"/>
      <c r="Q16" s="637"/>
      <c r="R16" s="637"/>
      <c r="S16" s="637"/>
      <c r="T16" s="637"/>
      <c r="U16" s="637"/>
      <c r="V16" s="637"/>
      <c r="W16" s="637"/>
      <c r="X16" s="637"/>
      <c r="Y16" s="637"/>
      <c r="Z16" s="637"/>
      <c r="AA16" s="764"/>
      <c r="AB16" s="107"/>
      <c r="AC16" s="68">
        <v>200</v>
      </c>
    </row>
    <row r="17" spans="1:29" ht="15.75" thickBot="1">
      <c r="A17" s="781"/>
      <c r="B17" s="778"/>
      <c r="C17" s="742" t="s">
        <v>448</v>
      </c>
      <c r="D17" s="743"/>
      <c r="E17" s="743"/>
      <c r="F17" s="743"/>
      <c r="G17" s="743"/>
      <c r="H17" s="743"/>
      <c r="I17" s="743"/>
      <c r="J17" s="743"/>
      <c r="K17" s="743"/>
      <c r="L17" s="743"/>
      <c r="M17" s="743"/>
      <c r="N17" s="743"/>
      <c r="O17" s="743"/>
      <c r="P17" s="743"/>
      <c r="Q17" s="743"/>
      <c r="R17" s="743"/>
      <c r="S17" s="743"/>
      <c r="T17" s="743"/>
      <c r="U17" s="743"/>
      <c r="V17" s="743"/>
      <c r="W17" s="743"/>
      <c r="X17" s="743"/>
      <c r="Y17" s="743"/>
      <c r="Z17" s="743"/>
      <c r="AA17" s="744"/>
      <c r="AB17" s="107"/>
      <c r="AC17" s="68">
        <v>138</v>
      </c>
    </row>
    <row r="18" spans="1:29" ht="15" customHeight="1">
      <c r="A18" s="758" t="s">
        <v>421</v>
      </c>
      <c r="B18" s="756" t="s">
        <v>149</v>
      </c>
      <c r="C18" s="78">
        <f>C9*$AC$19</f>
        <v>0.27083333333333337</v>
      </c>
      <c r="D18" s="78"/>
      <c r="E18" s="78">
        <f>E9*$AC$19</f>
        <v>0.31416666666666671</v>
      </c>
      <c r="F18" s="78"/>
      <c r="G18" s="78">
        <f>G9*$AC$19</f>
        <v>0.31416666666666671</v>
      </c>
      <c r="H18" s="78"/>
      <c r="I18" s="78">
        <f>I9*$AC$19</f>
        <v>0.35750000000000004</v>
      </c>
      <c r="J18" s="78"/>
      <c r="K18" s="78">
        <f>K9*$AC$19</f>
        <v>0.35750000000000004</v>
      </c>
      <c r="L18" s="78">
        <f>L9*$AC$19</f>
        <v>0.35750000000000004</v>
      </c>
      <c r="M18" s="78">
        <f>M9*$AC$19</f>
        <v>0.35750000000000004</v>
      </c>
      <c r="N18" s="78">
        <f>N9*$AC$19</f>
        <v>0.41166666666666668</v>
      </c>
      <c r="O18" s="78"/>
      <c r="P18" s="78">
        <f>P9*$AC$19</f>
        <v>0.44416666666666671</v>
      </c>
      <c r="Q18" s="78">
        <f>Q9*$AC$19</f>
        <v>0.44416666666666671</v>
      </c>
      <c r="R18" s="78">
        <f>R9*$AC$19</f>
        <v>0.44416666666666671</v>
      </c>
      <c r="S18" s="78"/>
      <c r="T18" s="78">
        <f t="shared" si="2" ref="T18:AA18">T9*$AC$19</f>
        <v>0.46583333333333338</v>
      </c>
      <c r="U18" s="78">
        <f t="shared" si="2"/>
        <v>0.49833333333333341</v>
      </c>
      <c r="V18" s="78">
        <f t="shared" si="2"/>
        <v>0.53083333333333338</v>
      </c>
      <c r="W18" s="78">
        <f t="shared" si="2"/>
        <v>0.56333333333333335</v>
      </c>
      <c r="X18" s="78">
        <f t="shared" si="2"/>
        <v>0.59583333333333333</v>
      </c>
      <c r="Y18" s="78">
        <f t="shared" si="2"/>
        <v>0.59583333333333333</v>
      </c>
      <c r="Z18" s="78">
        <f t="shared" si="2"/>
        <v>0.62833333333333341</v>
      </c>
      <c r="AA18" s="100">
        <f t="shared" si="2"/>
        <v>0.65</v>
      </c>
      <c r="AB18" s="107" t="s">
        <v>393</v>
      </c>
      <c r="AC18" s="68">
        <v>183</v>
      </c>
    </row>
    <row r="19" spans="1:30" ht="15">
      <c r="A19" s="787"/>
      <c r="B19" s="641"/>
      <c r="C19" s="75">
        <f>C18*$AC$18</f>
        <v>49.562500000000007</v>
      </c>
      <c r="D19" s="75"/>
      <c r="E19" s="75">
        <f>E18*$AC$18</f>
        <v>57.492500000000007</v>
      </c>
      <c r="F19" s="75"/>
      <c r="G19" s="75">
        <f>G18*$AC$18</f>
        <v>57.492500000000007</v>
      </c>
      <c r="H19" s="75"/>
      <c r="I19" s="75">
        <f>I18*$AC$18</f>
        <v>65.422500000000014</v>
      </c>
      <c r="J19" s="75"/>
      <c r="K19" s="75">
        <f>K18*$AC$18</f>
        <v>65.422500000000014</v>
      </c>
      <c r="L19" s="75">
        <f>L18*$AC$18</f>
        <v>65.422500000000014</v>
      </c>
      <c r="M19" s="75">
        <f>M18*$AC$18</f>
        <v>65.422500000000014</v>
      </c>
      <c r="N19" s="75">
        <f>N18*$AC$18</f>
        <v>75.335000000000008</v>
      </c>
      <c r="O19" s="75"/>
      <c r="P19" s="75">
        <f>P18*$AC$18</f>
        <v>81.282500000000013</v>
      </c>
      <c r="Q19" s="75">
        <f>Q18*$AC$18</f>
        <v>81.282500000000013</v>
      </c>
      <c r="R19" s="75">
        <f>R18*$AC$18</f>
        <v>81.282500000000013</v>
      </c>
      <c r="S19" s="75"/>
      <c r="T19" s="75">
        <f t="shared" si="3" ref="T19:AA19">T18*$AC$18</f>
        <v>85.2475</v>
      </c>
      <c r="U19" s="75">
        <f t="shared" si="3"/>
        <v>91.195</v>
      </c>
      <c r="V19" s="75">
        <f t="shared" si="3"/>
        <v>97.142500000000013</v>
      </c>
      <c r="W19" s="75">
        <f t="shared" si="3"/>
        <v>103.09</v>
      </c>
      <c r="X19" s="75">
        <f t="shared" si="3"/>
        <v>109.03749999999999</v>
      </c>
      <c r="Y19" s="75">
        <f t="shared" si="3"/>
        <v>109.03749999999999</v>
      </c>
      <c r="Z19" s="75">
        <f t="shared" si="3"/>
        <v>114.98500000000001</v>
      </c>
      <c r="AA19" s="101">
        <f t="shared" si="3"/>
        <v>118.95</v>
      </c>
      <c r="AB19" s="107" t="s">
        <v>378</v>
      </c>
      <c r="AC19" s="68">
        <v>0.65</v>
      </c>
      <c r="AD19" t="s">
        <v>395</v>
      </c>
    </row>
    <row r="20" spans="1:29" ht="15">
      <c r="A20" s="759"/>
      <c r="B20" s="638"/>
      <c r="C20" s="102">
        <f>$AC$2/C18</f>
        <v>36.92307692307692</v>
      </c>
      <c r="D20" s="102"/>
      <c r="E20" s="102">
        <f>$AC$2/E18</f>
        <v>31.830238726790448</v>
      </c>
      <c r="F20" s="102"/>
      <c r="G20" s="102">
        <f>$AC$2/G18</f>
        <v>31.830238726790448</v>
      </c>
      <c r="H20" s="102"/>
      <c r="I20" s="102">
        <f>$AC$2/I18</f>
        <v>27.97202797202797</v>
      </c>
      <c r="J20" s="102"/>
      <c r="K20" s="102">
        <f>$AC$2/K18</f>
        <v>27.97202797202797</v>
      </c>
      <c r="L20" s="102">
        <f>$AC$2/L18</f>
        <v>27.97202797202797</v>
      </c>
      <c r="M20" s="102">
        <f>$AC$2/M18</f>
        <v>27.97202797202797</v>
      </c>
      <c r="N20" s="102">
        <f>$AC$2/N18</f>
        <v>24.291497975708502</v>
      </c>
      <c r="O20" s="102"/>
      <c r="P20" s="102">
        <v>24.30</v>
      </c>
      <c r="Q20" s="102">
        <f>$AC$2/Q18</f>
        <v>22.514071294559098</v>
      </c>
      <c r="R20" s="102">
        <f>$AC$2/R18</f>
        <v>22.514071294559098</v>
      </c>
      <c r="S20" s="102"/>
      <c r="T20" s="102">
        <f t="shared" si="4" ref="T20:AA20">$AC$2/T18</f>
        <v>21.466905187835419</v>
      </c>
      <c r="U20" s="102">
        <f t="shared" si="4"/>
        <v>20.066889632107021</v>
      </c>
      <c r="V20" s="102">
        <f t="shared" si="4"/>
        <v>18.838304552590266</v>
      </c>
      <c r="W20" s="102">
        <f t="shared" si="4"/>
        <v>17.751479289940828</v>
      </c>
      <c r="X20" s="102">
        <f t="shared" si="4"/>
        <v>16.783216783216783</v>
      </c>
      <c r="Y20" s="102">
        <f t="shared" si="4"/>
        <v>16.783216783216783</v>
      </c>
      <c r="Z20" s="102">
        <f t="shared" si="4"/>
        <v>15.915119363395224</v>
      </c>
      <c r="AA20" s="103">
        <f t="shared" si="4"/>
        <v>15.384615384615383</v>
      </c>
      <c r="AB20" s="107" t="s">
        <v>376</v>
      </c>
      <c r="AC20" s="68"/>
    </row>
    <row r="21" spans="1:29" ht="15.75" thickBot="1">
      <c r="A21" s="760"/>
      <c r="B21" s="757"/>
      <c r="C21" s="77">
        <v>426</v>
      </c>
      <c r="D21" s="77"/>
      <c r="E21" s="77">
        <v>530</v>
      </c>
      <c r="F21" s="77"/>
      <c r="G21" s="77">
        <v>530</v>
      </c>
      <c r="H21" s="77"/>
      <c r="I21" s="77">
        <v>630</v>
      </c>
      <c r="J21" s="77"/>
      <c r="K21" s="77">
        <v>630</v>
      </c>
      <c r="L21" s="77">
        <v>630</v>
      </c>
      <c r="M21" s="77">
        <v>630</v>
      </c>
      <c r="N21" s="77">
        <v>720</v>
      </c>
      <c r="O21" s="77"/>
      <c r="P21" s="77">
        <v>720</v>
      </c>
      <c r="Q21" s="77">
        <v>824</v>
      </c>
      <c r="R21" s="73">
        <v>824</v>
      </c>
      <c r="S21" s="73"/>
      <c r="T21" s="77">
        <v>874</v>
      </c>
      <c r="U21" s="71">
        <v>924</v>
      </c>
      <c r="V21" s="77">
        <v>978</v>
      </c>
      <c r="W21" s="77">
        <v>1028</v>
      </c>
      <c r="X21" s="72">
        <v>1078</v>
      </c>
      <c r="Y21" s="77">
        <v>1078</v>
      </c>
      <c r="Z21" s="77">
        <v>1132</v>
      </c>
      <c r="AA21" s="104">
        <v>1182</v>
      </c>
      <c r="AB21" s="107" t="s">
        <v>375</v>
      </c>
      <c r="AC21" s="68"/>
    </row>
    <row r="22" spans="1:29" ht="15">
      <c r="A22" s="779" t="s">
        <v>422</v>
      </c>
      <c r="B22" s="777" t="s">
        <v>423</v>
      </c>
      <c r="C22" s="724" t="s">
        <v>449</v>
      </c>
      <c r="D22" s="725"/>
      <c r="E22" s="725"/>
      <c r="F22" s="725"/>
      <c r="G22" s="725"/>
      <c r="H22" s="725"/>
      <c r="I22" s="725"/>
      <c r="J22" s="725"/>
      <c r="K22" s="725"/>
      <c r="L22" s="726"/>
      <c r="M22" s="114">
        <f>M25/$R$25</f>
        <v>0.7645631067961165</v>
      </c>
      <c r="N22" s="114">
        <f>N25/$R$25</f>
        <v>0.87378640776699024</v>
      </c>
      <c r="O22" s="114"/>
      <c r="P22" s="114">
        <f t="shared" si="5" ref="P22:AA22">P25/$R$25</f>
        <v>0.87378640776699024</v>
      </c>
      <c r="Q22" s="114">
        <f t="shared" si="5"/>
        <v>1</v>
      </c>
      <c r="R22" s="114">
        <f t="shared" si="5"/>
        <v>1</v>
      </c>
      <c r="S22" s="114"/>
      <c r="T22" s="114">
        <f t="shared" si="5"/>
        <v>1.0606796116504855</v>
      </c>
      <c r="U22" s="114">
        <f t="shared" si="5"/>
        <v>1.1213592233009708</v>
      </c>
      <c r="V22" s="114">
        <f t="shared" si="5"/>
        <v>1.1868932038834952</v>
      </c>
      <c r="W22" s="114">
        <f t="shared" si="5"/>
        <v>1.2475728155339805</v>
      </c>
      <c r="X22" s="114">
        <f t="shared" si="5"/>
        <v>1.308252427184466</v>
      </c>
      <c r="Y22" s="114">
        <f t="shared" si="5"/>
        <v>1.308252427184466</v>
      </c>
      <c r="Z22" s="114">
        <f t="shared" si="5"/>
        <v>1.3737864077669903</v>
      </c>
      <c r="AA22" s="115">
        <f t="shared" si="5"/>
        <v>1.4344660194174756</v>
      </c>
      <c r="AB22" t="s">
        <v>395</v>
      </c>
      <c r="AC22" s="68">
        <v>200</v>
      </c>
    </row>
    <row r="23" spans="1:29" ht="15">
      <c r="A23" s="780"/>
      <c r="B23" s="640"/>
      <c r="C23" s="727"/>
      <c r="D23" s="728"/>
      <c r="E23" s="728"/>
      <c r="F23" s="728"/>
      <c r="G23" s="728"/>
      <c r="H23" s="728"/>
      <c r="I23" s="728"/>
      <c r="J23" s="728"/>
      <c r="K23" s="728"/>
      <c r="L23" s="729"/>
      <c r="M23" s="116">
        <f>$AC$2/M22</f>
        <v>13.079365079365079</v>
      </c>
      <c r="N23" s="116">
        <f>$AC$2/N22</f>
        <v>11.444444444444445</v>
      </c>
      <c r="O23" s="116"/>
      <c r="P23" s="116">
        <f>$AC$2/P22</f>
        <v>11.444444444444445</v>
      </c>
      <c r="Q23" s="116">
        <f>$AC$2/Q22</f>
        <v>10</v>
      </c>
      <c r="R23" s="116">
        <f>$AC$2/R22</f>
        <v>10</v>
      </c>
      <c r="S23" s="116"/>
      <c r="T23" s="116">
        <f t="shared" si="6" ref="T23:AA23">$AC$2/T22</f>
        <v>9.4279176201372987</v>
      </c>
      <c r="U23" s="116">
        <f t="shared" si="6"/>
        <v>8.9177489177489182</v>
      </c>
      <c r="V23" s="116">
        <f t="shared" si="6"/>
        <v>8.4253578732106345</v>
      </c>
      <c r="W23" s="116">
        <f t="shared" si="6"/>
        <v>8.0155642023346303</v>
      </c>
      <c r="X23" s="116">
        <f t="shared" si="6"/>
        <v>7.6437847866419295</v>
      </c>
      <c r="Y23" s="116">
        <f t="shared" si="6"/>
        <v>7.6437847866419295</v>
      </c>
      <c r="Z23" s="116">
        <f t="shared" si="6"/>
        <v>7.2791519434628968</v>
      </c>
      <c r="AA23" s="117">
        <f t="shared" si="6"/>
        <v>6.9712351945854492</v>
      </c>
      <c r="AB23" t="s">
        <v>376</v>
      </c>
      <c r="AC23" s="68"/>
    </row>
    <row r="24" spans="1:29" ht="15">
      <c r="A24" s="780"/>
      <c r="B24" s="640"/>
      <c r="C24" s="730"/>
      <c r="D24" s="731"/>
      <c r="E24" s="731"/>
      <c r="F24" s="731"/>
      <c r="G24" s="731"/>
      <c r="H24" s="731"/>
      <c r="I24" s="731"/>
      <c r="J24" s="731"/>
      <c r="K24" s="731"/>
      <c r="L24" s="732"/>
      <c r="M24" s="118">
        <f>$AC$2/M23*2*$AC$22</f>
        <v>305.82524271844659</v>
      </c>
      <c r="N24" s="118">
        <f>$AC$2/N23*2*$AC$22</f>
        <v>349.51456310679612</v>
      </c>
      <c r="O24" s="118"/>
      <c r="P24" s="118">
        <f>$AC$2/P23*2*$AC$22</f>
        <v>349.51456310679612</v>
      </c>
      <c r="Q24" s="118">
        <f>$AC$2/Q23*2*$AC$22</f>
        <v>400</v>
      </c>
      <c r="R24" s="118">
        <f>$AC$2/R23*2*$AC$22</f>
        <v>400</v>
      </c>
      <c r="S24" s="118"/>
      <c r="T24" s="118">
        <f t="shared" si="7" ref="T24:AA24">$AC$2/T23*2*$AC$22</f>
        <v>424.27184466019423</v>
      </c>
      <c r="U24" s="118">
        <f t="shared" si="7"/>
        <v>448.54368932038835</v>
      </c>
      <c r="V24" s="118">
        <f t="shared" si="7"/>
        <v>474.75728155339806</v>
      </c>
      <c r="W24" s="118">
        <f t="shared" si="7"/>
        <v>499.02912621359229</v>
      </c>
      <c r="X24" s="118">
        <f t="shared" si="7"/>
        <v>523.30097087378635</v>
      </c>
      <c r="Y24" s="118">
        <f t="shared" si="7"/>
        <v>523.30097087378635</v>
      </c>
      <c r="Z24" s="118">
        <f t="shared" si="7"/>
        <v>549.51456310679612</v>
      </c>
      <c r="AA24" s="119">
        <f t="shared" si="7"/>
        <v>573.78640776699024</v>
      </c>
      <c r="AB24" s="107" t="s">
        <v>378</v>
      </c>
      <c r="AC24" s="68"/>
    </row>
    <row r="25" spans="1:29" ht="15.75" thickBot="1">
      <c r="A25" s="781"/>
      <c r="B25" s="778"/>
      <c r="C25" s="77">
        <v>426</v>
      </c>
      <c r="D25" s="77"/>
      <c r="E25" s="77">
        <v>530</v>
      </c>
      <c r="F25" s="77"/>
      <c r="G25" s="77">
        <v>530</v>
      </c>
      <c r="H25" s="77"/>
      <c r="I25" s="77">
        <v>630</v>
      </c>
      <c r="J25" s="77"/>
      <c r="K25" s="77">
        <v>630</v>
      </c>
      <c r="L25" s="77">
        <v>630</v>
      </c>
      <c r="M25" s="77">
        <v>630</v>
      </c>
      <c r="N25" s="77">
        <v>720</v>
      </c>
      <c r="O25" s="77"/>
      <c r="P25" s="77">
        <v>720</v>
      </c>
      <c r="Q25" s="77">
        <v>824</v>
      </c>
      <c r="R25" s="70">
        <v>824</v>
      </c>
      <c r="S25" s="70"/>
      <c r="T25" s="77">
        <v>874</v>
      </c>
      <c r="U25" s="71">
        <v>924</v>
      </c>
      <c r="V25" s="77">
        <v>978</v>
      </c>
      <c r="W25" s="77">
        <v>1028</v>
      </c>
      <c r="X25" s="72">
        <v>1078</v>
      </c>
      <c r="Y25" s="77">
        <v>1078</v>
      </c>
      <c r="Z25" s="77">
        <v>1132</v>
      </c>
      <c r="AA25" s="104">
        <v>1182</v>
      </c>
      <c r="AB25" s="107" t="s">
        <v>375</v>
      </c>
      <c r="AC25" s="68"/>
    </row>
    <row r="26" spans="1:29" ht="15">
      <c r="A26" s="758" t="s">
        <v>150</v>
      </c>
      <c r="B26" s="756" t="s">
        <v>424</v>
      </c>
      <c r="C26" s="745" t="s">
        <v>445</v>
      </c>
      <c r="D26" s="746"/>
      <c r="E26" s="746"/>
      <c r="F26" s="746"/>
      <c r="G26" s="746"/>
      <c r="H26" s="746"/>
      <c r="I26" s="746"/>
      <c r="J26" s="746"/>
      <c r="K26" s="746"/>
      <c r="L26" s="746"/>
      <c r="M26" s="746"/>
      <c r="N26" s="746"/>
      <c r="O26" s="746"/>
      <c r="P26" s="746"/>
      <c r="Q26" s="746"/>
      <c r="R26" s="746"/>
      <c r="S26" s="746"/>
      <c r="T26" s="746"/>
      <c r="U26" s="746"/>
      <c r="V26" s="746"/>
      <c r="W26" s="746"/>
      <c r="X26" s="746"/>
      <c r="Y26" s="746"/>
      <c r="Z26" s="746"/>
      <c r="AA26" s="761"/>
      <c r="AC26" s="68">
        <v>200</v>
      </c>
    </row>
    <row r="27" spans="1:29" ht="15">
      <c r="A27" s="759"/>
      <c r="B27" s="768"/>
      <c r="C27" s="637" t="s">
        <v>446</v>
      </c>
      <c r="D27" s="637"/>
      <c r="E27" s="637"/>
      <c r="F27" s="637"/>
      <c r="G27" s="637"/>
      <c r="H27" s="637"/>
      <c r="I27" s="637"/>
      <c r="J27" s="637"/>
      <c r="K27" s="637"/>
      <c r="L27" s="637"/>
      <c r="M27" s="637"/>
      <c r="N27" s="637"/>
      <c r="O27" s="637"/>
      <c r="P27" s="637"/>
      <c r="Q27" s="637"/>
      <c r="R27" s="637"/>
      <c r="S27" s="637"/>
      <c r="T27" s="637"/>
      <c r="U27" s="637"/>
      <c r="V27" s="637"/>
      <c r="W27" s="637"/>
      <c r="X27" s="637"/>
      <c r="Y27" s="637"/>
      <c r="Z27" s="637"/>
      <c r="AA27" s="764"/>
      <c r="AC27" s="68">
        <v>200</v>
      </c>
    </row>
    <row r="28" spans="1:29" ht="15.75" thickBot="1">
      <c r="A28" s="760"/>
      <c r="B28" s="757"/>
      <c r="C28" s="742" t="s">
        <v>448</v>
      </c>
      <c r="D28" s="743"/>
      <c r="E28" s="743"/>
      <c r="F28" s="743"/>
      <c r="G28" s="743"/>
      <c r="H28" s="743"/>
      <c r="I28" s="743"/>
      <c r="J28" s="743"/>
      <c r="K28" s="743"/>
      <c r="L28" s="743"/>
      <c r="M28" s="743"/>
      <c r="N28" s="743"/>
      <c r="O28" s="743"/>
      <c r="P28" s="743"/>
      <c r="Q28" s="743"/>
      <c r="R28" s="743"/>
      <c r="S28" s="743"/>
      <c r="T28" s="743"/>
      <c r="U28" s="743"/>
      <c r="V28" s="743"/>
      <c r="W28" s="743"/>
      <c r="X28" s="743"/>
      <c r="Y28" s="743"/>
      <c r="Z28" s="743"/>
      <c r="AA28" s="744"/>
      <c r="AC28" s="68">
        <v>138</v>
      </c>
    </row>
    <row r="29" spans="1:29" ht="15">
      <c r="A29" s="758" t="s">
        <v>425</v>
      </c>
      <c r="B29" s="756" t="s">
        <v>426</v>
      </c>
      <c r="C29" s="745" t="s">
        <v>445</v>
      </c>
      <c r="D29" s="746"/>
      <c r="E29" s="746"/>
      <c r="F29" s="746"/>
      <c r="G29" s="746"/>
      <c r="H29" s="746"/>
      <c r="I29" s="746"/>
      <c r="J29" s="746"/>
      <c r="K29" s="746"/>
      <c r="L29" s="746"/>
      <c r="M29" s="746"/>
      <c r="N29" s="746"/>
      <c r="O29" s="746"/>
      <c r="P29" s="746"/>
      <c r="Q29" s="746"/>
      <c r="R29" s="746"/>
      <c r="S29" s="746"/>
      <c r="T29" s="746"/>
      <c r="U29" s="746"/>
      <c r="V29" s="746"/>
      <c r="W29" s="746"/>
      <c r="X29" s="746"/>
      <c r="Y29" s="746"/>
      <c r="Z29" s="746"/>
      <c r="AA29" s="761"/>
      <c r="AC29" s="68">
        <v>200</v>
      </c>
    </row>
    <row r="30" spans="1:29" ht="15">
      <c r="A30" s="759"/>
      <c r="B30" s="638"/>
      <c r="C30" s="637" t="s">
        <v>447</v>
      </c>
      <c r="D30" s="637"/>
      <c r="E30" s="637"/>
      <c r="F30" s="637"/>
      <c r="G30" s="637"/>
      <c r="H30" s="637"/>
      <c r="I30" s="637"/>
      <c r="J30" s="637"/>
      <c r="K30" s="637"/>
      <c r="L30" s="637"/>
      <c r="M30" s="637"/>
      <c r="N30" s="637"/>
      <c r="O30" s="637"/>
      <c r="P30" s="637"/>
      <c r="Q30" s="637"/>
      <c r="R30" s="637"/>
      <c r="S30" s="637"/>
      <c r="T30" s="637"/>
      <c r="U30" s="637"/>
      <c r="V30" s="637"/>
      <c r="W30" s="637"/>
      <c r="X30" s="637"/>
      <c r="Y30" s="637"/>
      <c r="Z30" s="637"/>
      <c r="AA30" s="764"/>
      <c r="AC30" s="68">
        <v>200</v>
      </c>
    </row>
    <row r="31" spans="1:29" ht="15.75" thickBot="1">
      <c r="A31" s="760"/>
      <c r="B31" s="757"/>
      <c r="C31" s="742" t="s">
        <v>448</v>
      </c>
      <c r="D31" s="743"/>
      <c r="E31" s="743"/>
      <c r="F31" s="743"/>
      <c r="G31" s="743"/>
      <c r="H31" s="743"/>
      <c r="I31" s="743"/>
      <c r="J31" s="743"/>
      <c r="K31" s="743"/>
      <c r="L31" s="743"/>
      <c r="M31" s="743"/>
      <c r="N31" s="743"/>
      <c r="O31" s="743"/>
      <c r="P31" s="743"/>
      <c r="Q31" s="743"/>
      <c r="R31" s="743"/>
      <c r="S31" s="743"/>
      <c r="T31" s="743"/>
      <c r="U31" s="743"/>
      <c r="V31" s="743"/>
      <c r="W31" s="743"/>
      <c r="X31" s="743"/>
      <c r="Y31" s="743"/>
      <c r="Z31" s="743"/>
      <c r="AA31" s="744"/>
      <c r="AC31" s="68">
        <v>138</v>
      </c>
    </row>
    <row r="32" spans="1:29" ht="15">
      <c r="A32" s="754" t="s">
        <v>152</v>
      </c>
      <c r="B32" s="756" t="s">
        <v>153</v>
      </c>
      <c r="C32" s="79">
        <f t="shared" si="8" ref="C32:Q32">C33*1</f>
        <v>0.51699029126213591</v>
      </c>
      <c r="D32" s="79"/>
      <c r="E32" s="79">
        <f t="shared" si="8"/>
        <v>0.64320388349514568</v>
      </c>
      <c r="F32" s="79"/>
      <c r="G32" s="79">
        <f t="shared" si="8"/>
        <v>0.64320388349514568</v>
      </c>
      <c r="H32" s="79"/>
      <c r="I32" s="79">
        <f t="shared" si="8"/>
        <v>0.7645631067961165</v>
      </c>
      <c r="J32" s="79"/>
      <c r="K32" s="79">
        <f t="shared" si="8"/>
        <v>0.7645631067961165</v>
      </c>
      <c r="L32" s="79">
        <f t="shared" si="8"/>
        <v>0.7645631067961165</v>
      </c>
      <c r="M32" s="79">
        <f t="shared" si="8"/>
        <v>0.7645631067961165</v>
      </c>
      <c r="N32" s="79">
        <f t="shared" si="8"/>
        <v>0.87378640776699024</v>
      </c>
      <c r="O32" s="79"/>
      <c r="P32" s="79">
        <f t="shared" si="8"/>
        <v>0.87378640776699024</v>
      </c>
      <c r="Q32" s="79">
        <f t="shared" si="8"/>
        <v>1</v>
      </c>
      <c r="R32" s="79">
        <f>R33*1</f>
        <v>1</v>
      </c>
      <c r="S32" s="79"/>
      <c r="T32" s="79">
        <f t="shared" si="9" ref="T32">T33*1</f>
        <v>1.0606796116504855</v>
      </c>
      <c r="U32" s="79">
        <f t="shared" si="10" ref="U32">U33*1</f>
        <v>1.1213592233009708</v>
      </c>
      <c r="V32" s="79">
        <f t="shared" si="11" ref="V32">V33*1</f>
        <v>1.1868932038834952</v>
      </c>
      <c r="W32" s="79">
        <f t="shared" si="12" ref="W32">W33*1</f>
        <v>1.2475728155339805</v>
      </c>
      <c r="X32" s="79">
        <f t="shared" si="13" ref="X32">X33*1</f>
        <v>1.308252427184466</v>
      </c>
      <c r="Y32" s="79">
        <f t="shared" si="14" ref="Y32">Y33*1</f>
        <v>1.308252427184466</v>
      </c>
      <c r="Z32" s="79">
        <f t="shared" si="15" ref="Z32">Z33*1</f>
        <v>1.3737864077669903</v>
      </c>
      <c r="AA32" s="122">
        <f t="shared" si="16" ref="AA32">AA33*1</f>
        <v>1.4344660194174756</v>
      </c>
      <c r="AB32" s="107" t="s">
        <v>393</v>
      </c>
      <c r="AC32" s="68">
        <v>183</v>
      </c>
    </row>
    <row r="33" spans="1:29" ht="15">
      <c r="A33" s="783"/>
      <c r="B33" s="641"/>
      <c r="C33" s="121">
        <f>C36/$R$36</f>
        <v>0.51699029126213591</v>
      </c>
      <c r="D33" s="121"/>
      <c r="E33" s="121">
        <f>E36/$R$36</f>
        <v>0.64320388349514568</v>
      </c>
      <c r="F33" s="121"/>
      <c r="G33" s="121">
        <f>G36/$R$36</f>
        <v>0.64320388349514568</v>
      </c>
      <c r="H33" s="121"/>
      <c r="I33" s="121">
        <f>I36/$R$36</f>
        <v>0.7645631067961165</v>
      </c>
      <c r="J33" s="121"/>
      <c r="K33" s="121">
        <f>K36/$R$36</f>
        <v>0.7645631067961165</v>
      </c>
      <c r="L33" s="121">
        <f>L36/$R$36</f>
        <v>0.7645631067961165</v>
      </c>
      <c r="M33" s="121">
        <f>M36/$R$36</f>
        <v>0.7645631067961165</v>
      </c>
      <c r="N33" s="121">
        <f>N36/$R$36</f>
        <v>0.87378640776699024</v>
      </c>
      <c r="O33" s="121"/>
      <c r="P33" s="121">
        <f t="shared" si="17" ref="P33:AA33">P36/$R$36</f>
        <v>0.87378640776699024</v>
      </c>
      <c r="Q33" s="121">
        <f t="shared" si="17"/>
        <v>1</v>
      </c>
      <c r="R33" s="121">
        <f t="shared" si="17"/>
        <v>1</v>
      </c>
      <c r="S33" s="121"/>
      <c r="T33" s="121">
        <f t="shared" si="17"/>
        <v>1.0606796116504855</v>
      </c>
      <c r="U33" s="121">
        <f t="shared" si="17"/>
        <v>1.1213592233009708</v>
      </c>
      <c r="V33" s="121">
        <f t="shared" si="17"/>
        <v>1.1868932038834952</v>
      </c>
      <c r="W33" s="121">
        <f t="shared" si="17"/>
        <v>1.2475728155339805</v>
      </c>
      <c r="X33" s="121">
        <f t="shared" si="17"/>
        <v>1.308252427184466</v>
      </c>
      <c r="Y33" s="121">
        <f t="shared" si="17"/>
        <v>1.308252427184466</v>
      </c>
      <c r="Z33" s="121">
        <f t="shared" si="17"/>
        <v>1.3737864077669903</v>
      </c>
      <c r="AA33" s="123">
        <f t="shared" si="17"/>
        <v>1.4344660194174756</v>
      </c>
      <c r="AB33" t="s">
        <v>395</v>
      </c>
      <c r="AC33" s="68"/>
    </row>
    <row r="34" spans="1:29" ht="15">
      <c r="A34" s="782"/>
      <c r="B34" s="638"/>
      <c r="C34" s="75">
        <f>C32*$AC$32</f>
        <v>94.609223300970868</v>
      </c>
      <c r="D34" s="75"/>
      <c r="E34" s="75">
        <f>E32*$AC$32</f>
        <v>117.70631067961166</v>
      </c>
      <c r="F34" s="75"/>
      <c r="G34" s="75">
        <f>G32*$AC$32</f>
        <v>117.70631067961166</v>
      </c>
      <c r="H34" s="75"/>
      <c r="I34" s="75">
        <f>I32*$AC$32</f>
        <v>139.91504854368932</v>
      </c>
      <c r="J34" s="75"/>
      <c r="K34" s="75">
        <f>K32*$AC$32</f>
        <v>139.91504854368932</v>
      </c>
      <c r="L34" s="75">
        <f>L32*$AC$32</f>
        <v>139.91504854368932</v>
      </c>
      <c r="M34" s="75">
        <f>M32*$AC$32</f>
        <v>139.91504854368932</v>
      </c>
      <c r="N34" s="75">
        <f>N32*$AC$32</f>
        <v>159.90291262135921</v>
      </c>
      <c r="O34" s="75"/>
      <c r="P34" s="75">
        <f>P32*$AC$32</f>
        <v>159.90291262135921</v>
      </c>
      <c r="Q34" s="75">
        <f>Q32*$AC$32</f>
        <v>183</v>
      </c>
      <c r="R34" s="75">
        <f>R32*$AC$32</f>
        <v>183</v>
      </c>
      <c r="S34" s="75"/>
      <c r="T34" s="75">
        <f t="shared" si="18" ref="T34:AA34">T32*$AC$32</f>
        <v>194.10436893203885</v>
      </c>
      <c r="U34" s="75">
        <f t="shared" si="18"/>
        <v>205.20873786407765</v>
      </c>
      <c r="V34" s="75">
        <f t="shared" si="18"/>
        <v>217.20145631067962</v>
      </c>
      <c r="W34" s="75">
        <f t="shared" si="18"/>
        <v>228.30582524271841</v>
      </c>
      <c r="X34" s="75">
        <f t="shared" si="18"/>
        <v>239.41019417475727</v>
      </c>
      <c r="Y34" s="75">
        <f t="shared" si="18"/>
        <v>239.41019417475727</v>
      </c>
      <c r="Z34" s="75">
        <f t="shared" si="18"/>
        <v>251.40291262135923</v>
      </c>
      <c r="AA34" s="101">
        <f t="shared" si="18"/>
        <v>262.50728155339806</v>
      </c>
      <c r="AB34" s="107" t="s">
        <v>377</v>
      </c>
      <c r="AC34" s="68"/>
    </row>
    <row r="35" spans="1:29" ht="15">
      <c r="A35" s="782"/>
      <c r="B35" s="638"/>
      <c r="C35" s="102">
        <f>$AC$2/C32</f>
        <v>19.342723004694836</v>
      </c>
      <c r="D35" s="102"/>
      <c r="E35" s="102">
        <f>$AC$2/E32</f>
        <v>15.547169811320753</v>
      </c>
      <c r="F35" s="102"/>
      <c r="G35" s="102">
        <f>$AC$2/G32</f>
        <v>15.547169811320753</v>
      </c>
      <c r="H35" s="102"/>
      <c r="I35" s="102">
        <f>$AC$2/I32</f>
        <v>13.079365079365079</v>
      </c>
      <c r="J35" s="102"/>
      <c r="K35" s="102">
        <f>$AC$2/K32</f>
        <v>13.079365079365079</v>
      </c>
      <c r="L35" s="102">
        <f>$AC$2/L32</f>
        <v>13.079365079365079</v>
      </c>
      <c r="M35" s="102">
        <f>$AC$2/M32</f>
        <v>13.079365079365079</v>
      </c>
      <c r="N35" s="102">
        <f>$AC$2/N32</f>
        <v>11.444444444444445</v>
      </c>
      <c r="O35" s="102"/>
      <c r="P35" s="102">
        <f>$AC$2/P32</f>
        <v>11.444444444444445</v>
      </c>
      <c r="Q35" s="102">
        <f>$AC$2/Q32</f>
        <v>10</v>
      </c>
      <c r="R35" s="102">
        <f>$AC$2/R32</f>
        <v>10</v>
      </c>
      <c r="S35" s="102"/>
      <c r="T35" s="102">
        <f t="shared" si="19" ref="T35:AA35">$AC$2/T32</f>
        <v>9.4279176201372987</v>
      </c>
      <c r="U35" s="102">
        <f t="shared" si="19"/>
        <v>8.9177489177489182</v>
      </c>
      <c r="V35" s="102">
        <f t="shared" si="19"/>
        <v>8.4253578732106345</v>
      </c>
      <c r="W35" s="102">
        <f t="shared" si="19"/>
        <v>8.0155642023346303</v>
      </c>
      <c r="X35" s="102">
        <f t="shared" si="19"/>
        <v>7.6437847866419295</v>
      </c>
      <c r="Y35" s="102">
        <f t="shared" si="19"/>
        <v>7.6437847866419295</v>
      </c>
      <c r="Z35" s="102">
        <f t="shared" si="19"/>
        <v>7.2791519434628968</v>
      </c>
      <c r="AA35" s="103">
        <f t="shared" si="19"/>
        <v>6.9712351945854492</v>
      </c>
      <c r="AB35" s="107" t="s">
        <v>376</v>
      </c>
      <c r="AC35" s="68"/>
    </row>
    <row r="36" spans="1:29" ht="15.75" thickBot="1">
      <c r="A36" s="755"/>
      <c r="B36" s="757"/>
      <c r="C36" s="77">
        <v>426</v>
      </c>
      <c r="D36" s="77"/>
      <c r="E36" s="77">
        <v>530</v>
      </c>
      <c r="F36" s="77"/>
      <c r="G36" s="77">
        <v>530</v>
      </c>
      <c r="H36" s="77"/>
      <c r="I36" s="77">
        <v>630</v>
      </c>
      <c r="J36" s="77"/>
      <c r="K36" s="77">
        <v>630</v>
      </c>
      <c r="L36" s="77">
        <v>630</v>
      </c>
      <c r="M36" s="77">
        <v>630</v>
      </c>
      <c r="N36" s="77">
        <v>720</v>
      </c>
      <c r="O36" s="77"/>
      <c r="P36" s="77">
        <v>720</v>
      </c>
      <c r="Q36" s="77">
        <v>824</v>
      </c>
      <c r="R36" s="70">
        <v>824</v>
      </c>
      <c r="S36" s="70"/>
      <c r="T36" s="77">
        <v>874</v>
      </c>
      <c r="U36" s="71">
        <v>924</v>
      </c>
      <c r="V36" s="77">
        <v>978</v>
      </c>
      <c r="W36" s="77">
        <v>1028</v>
      </c>
      <c r="X36" s="72">
        <v>1078</v>
      </c>
      <c r="Y36" s="77">
        <v>1078</v>
      </c>
      <c r="Z36" s="77">
        <v>1132</v>
      </c>
      <c r="AA36" s="104">
        <v>1182</v>
      </c>
      <c r="AB36" s="107" t="s">
        <v>375</v>
      </c>
      <c r="AC36" s="68"/>
    </row>
    <row r="37" spans="1:29" ht="15" customHeight="1">
      <c r="A37" s="784" t="s">
        <v>155</v>
      </c>
      <c r="B37" s="777" t="s">
        <v>156</v>
      </c>
      <c r="C37" s="79">
        <f>$AC$2/C39</f>
        <v>1.20</v>
      </c>
      <c r="D37" s="79"/>
      <c r="E37" s="79">
        <f>$AC$2/E39</f>
        <v>1.4929577464788732</v>
      </c>
      <c r="F37" s="79"/>
      <c r="G37" s="79">
        <f>$AC$2/G39</f>
        <v>1.5042253521126761</v>
      </c>
      <c r="H37" s="79"/>
      <c r="I37" s="79">
        <f>$AC$2/I39</f>
        <v>1.7746478873239437</v>
      </c>
      <c r="J37" s="79"/>
      <c r="K37" s="79">
        <f>$AC$2/K39</f>
        <v>1.7746478873239437</v>
      </c>
      <c r="L37" s="79">
        <f>$AC$2/L39</f>
        <v>1.7746478873239437</v>
      </c>
      <c r="M37" s="79">
        <f>$AC$2/M39</f>
        <v>1.7746478873239437</v>
      </c>
      <c r="N37" s="79">
        <f>$AC$2/N39</f>
        <v>2.028169014084507</v>
      </c>
      <c r="O37" s="79"/>
      <c r="P37" s="79">
        <f>$AC$2/P39</f>
        <v>2.028169014084507</v>
      </c>
      <c r="Q37" s="79">
        <f>$AC$2/Q39</f>
        <v>2.3211267605633803</v>
      </c>
      <c r="R37" s="79">
        <f>$AC$2/R39</f>
        <v>2.3211267605633803</v>
      </c>
      <c r="S37" s="79"/>
      <c r="T37" s="79">
        <f t="shared" si="20" ref="T37:AA37">$AC$2/T39</f>
        <v>2.4619718309859153</v>
      </c>
      <c r="U37" s="79">
        <f t="shared" si="20"/>
        <v>2.6028169014084508</v>
      </c>
      <c r="V37" s="79">
        <f t="shared" si="20"/>
        <v>2.7549295774647886</v>
      </c>
      <c r="W37" s="79">
        <f t="shared" si="20"/>
        <v>2.8169014084507045</v>
      </c>
      <c r="X37" s="79">
        <f t="shared" si="20"/>
        <v>3.0366197183098587</v>
      </c>
      <c r="Y37" s="79">
        <f t="shared" si="20"/>
        <v>3.0366197183098587</v>
      </c>
      <c r="Z37" s="79">
        <f t="shared" si="20"/>
        <v>3.1887323943661969</v>
      </c>
      <c r="AA37" s="122">
        <f t="shared" si="20"/>
        <v>3.3295774647887324</v>
      </c>
      <c r="AB37" s="107" t="s">
        <v>393</v>
      </c>
      <c r="AC37" s="68">
        <v>183</v>
      </c>
    </row>
    <row r="38" spans="1:29" ht="15">
      <c r="A38" s="785"/>
      <c r="B38" s="640"/>
      <c r="C38" s="75">
        <f>C37*$AC$37</f>
        <v>219.60</v>
      </c>
      <c r="D38" s="75"/>
      <c r="E38" s="75">
        <f>E37*$AC$37</f>
        <v>273.21126760563379</v>
      </c>
      <c r="F38" s="75"/>
      <c r="G38" s="75">
        <f>G37*$AC$37</f>
        <v>275.27323943661969</v>
      </c>
      <c r="H38" s="75"/>
      <c r="I38" s="75">
        <f>I37*$AC$37</f>
        <v>324.76056338028172</v>
      </c>
      <c r="J38" s="75"/>
      <c r="K38" s="75">
        <f>K37*$AC$37</f>
        <v>324.76056338028172</v>
      </c>
      <c r="L38" s="75">
        <f>L37*$AC$37</f>
        <v>324.76056338028172</v>
      </c>
      <c r="M38" s="75">
        <f>M37*$AC$37</f>
        <v>324.76056338028172</v>
      </c>
      <c r="N38" s="75">
        <f>N37*$AC$37</f>
        <v>371.15492957746477</v>
      </c>
      <c r="O38" s="75"/>
      <c r="P38" s="75">
        <f>P37*$AC$37</f>
        <v>371.15492957746477</v>
      </c>
      <c r="Q38" s="75">
        <f>Q37*$AC$37</f>
        <v>424.7661971830986</v>
      </c>
      <c r="R38" s="75">
        <f>R37*$AC$37</f>
        <v>424.7661971830986</v>
      </c>
      <c r="S38" s="75"/>
      <c r="T38" s="75">
        <f t="shared" si="21" ref="T38:AA38">T37*$AC$37</f>
        <v>450.54084507042251</v>
      </c>
      <c r="U38" s="75">
        <f t="shared" si="21"/>
        <v>476.31549295774647</v>
      </c>
      <c r="V38" s="75">
        <f t="shared" si="21"/>
        <v>504.15211267605633</v>
      </c>
      <c r="W38" s="75">
        <f t="shared" si="21"/>
        <v>515.49295774647896</v>
      </c>
      <c r="X38" s="75">
        <f t="shared" si="21"/>
        <v>555.70140845070409</v>
      </c>
      <c r="Y38" s="75">
        <f t="shared" si="21"/>
        <v>555.70140845070409</v>
      </c>
      <c r="Z38" s="75">
        <f t="shared" si="21"/>
        <v>583.53802816901407</v>
      </c>
      <c r="AA38" s="129">
        <f t="shared" si="21"/>
        <v>609.31267605633798</v>
      </c>
      <c r="AB38" s="107" t="s">
        <v>377</v>
      </c>
      <c r="AC38" s="68"/>
    </row>
    <row r="39" spans="1:29" ht="15">
      <c r="A39" s="785"/>
      <c r="B39" s="640"/>
      <c r="C39" s="124">
        <f t="shared" si="22" ref="C39:Z39">2.5*C40</f>
        <v>8.3333333333333339</v>
      </c>
      <c r="D39" s="124"/>
      <c r="E39" s="124">
        <f t="shared" si="22"/>
        <v>6.6981132075471699</v>
      </c>
      <c r="F39" s="124"/>
      <c r="G39" s="124">
        <f t="shared" si="22"/>
        <v>6.6479400749063666</v>
      </c>
      <c r="H39" s="124"/>
      <c r="I39" s="124">
        <f t="shared" si="22"/>
        <v>5.6349206349206344</v>
      </c>
      <c r="J39" s="124"/>
      <c r="K39" s="124">
        <f t="shared" si="22"/>
        <v>5.6349206349206344</v>
      </c>
      <c r="L39" s="124">
        <f t="shared" si="22"/>
        <v>5.6349206349206344</v>
      </c>
      <c r="M39" s="124">
        <f t="shared" si="22"/>
        <v>5.6349206349206344</v>
      </c>
      <c r="N39" s="124">
        <f t="shared" si="22"/>
        <v>4.9305555555555554</v>
      </c>
      <c r="O39" s="124"/>
      <c r="P39" s="124">
        <f t="shared" si="22"/>
        <v>4.9305555555555554</v>
      </c>
      <c r="Q39" s="124">
        <f t="shared" si="22"/>
        <v>4.308252427184466</v>
      </c>
      <c r="R39" s="124">
        <f t="shared" si="22"/>
        <v>4.308252427184466</v>
      </c>
      <c r="S39" s="124"/>
      <c r="T39" s="124">
        <f t="shared" si="22"/>
        <v>4.0617848970251718</v>
      </c>
      <c r="U39" s="124">
        <f t="shared" si="22"/>
        <v>3.8419913419913421</v>
      </c>
      <c r="V39" s="124">
        <f t="shared" si="22"/>
        <v>3.6298568507157465</v>
      </c>
      <c r="W39" s="124">
        <f t="shared" si="22"/>
        <v>3.55</v>
      </c>
      <c r="X39" s="124">
        <f t="shared" si="22"/>
        <v>3.2931354359925793</v>
      </c>
      <c r="Y39" s="124">
        <f t="shared" si="22"/>
        <v>3.2931354359925793</v>
      </c>
      <c r="Z39" s="124">
        <f t="shared" si="22"/>
        <v>3.1360424028268552</v>
      </c>
      <c r="AA39" s="125">
        <f>2.5*AA40</f>
        <v>3.0033840947546531</v>
      </c>
      <c r="AB39" s="107" t="s">
        <v>376</v>
      </c>
      <c r="AC39" s="68"/>
    </row>
    <row r="40" spans="1:29" ht="15">
      <c r="A40" s="785"/>
      <c r="B40" s="640"/>
      <c r="C40" s="126">
        <f t="shared" si="23" ref="C40:Z40">1420/C41</f>
        <v>3.3333333333333335</v>
      </c>
      <c r="D40" s="126"/>
      <c r="E40" s="126">
        <f t="shared" si="23"/>
        <v>2.6792452830188678</v>
      </c>
      <c r="F40" s="126"/>
      <c r="G40" s="126">
        <f t="shared" si="23"/>
        <v>2.6591760299625467</v>
      </c>
      <c r="H40" s="126"/>
      <c r="I40" s="126">
        <f t="shared" si="23"/>
        <v>2.253968253968254</v>
      </c>
      <c r="J40" s="126"/>
      <c r="K40" s="126">
        <f t="shared" si="23"/>
        <v>2.253968253968254</v>
      </c>
      <c r="L40" s="126">
        <f t="shared" si="23"/>
        <v>2.253968253968254</v>
      </c>
      <c r="M40" s="126">
        <f t="shared" si="23"/>
        <v>2.253968253968254</v>
      </c>
      <c r="N40" s="126">
        <f t="shared" si="23"/>
        <v>1.9722222222222223</v>
      </c>
      <c r="O40" s="126"/>
      <c r="P40" s="126">
        <f t="shared" si="23"/>
        <v>1.9722222222222223</v>
      </c>
      <c r="Q40" s="126">
        <f t="shared" si="23"/>
        <v>1.7233009708737863</v>
      </c>
      <c r="R40" s="126">
        <f t="shared" si="23"/>
        <v>1.7233009708737863</v>
      </c>
      <c r="S40" s="126"/>
      <c r="T40" s="126">
        <f t="shared" si="23"/>
        <v>1.6247139588100687</v>
      </c>
      <c r="U40" s="126">
        <f t="shared" si="23"/>
        <v>1.5367965367965368</v>
      </c>
      <c r="V40" s="126">
        <f t="shared" si="23"/>
        <v>1.4519427402862985</v>
      </c>
      <c r="W40" s="126">
        <f t="shared" si="23"/>
        <v>1.42</v>
      </c>
      <c r="X40" s="126">
        <f t="shared" si="23"/>
        <v>1.3172541743970316</v>
      </c>
      <c r="Y40" s="126">
        <f t="shared" si="23"/>
        <v>1.3172541743970316</v>
      </c>
      <c r="Z40" s="126">
        <f t="shared" si="23"/>
        <v>1.2544169611307421</v>
      </c>
      <c r="AA40" s="127">
        <f>1420/AA41</f>
        <v>1.2013536379018612</v>
      </c>
      <c r="AB40" s="107" t="s">
        <v>395</v>
      </c>
      <c r="AC40" s="68"/>
    </row>
    <row r="41" spans="1:29" ht="15.75" thickBot="1">
      <c r="A41" s="786"/>
      <c r="B41" s="778"/>
      <c r="C41" s="77">
        <v>426</v>
      </c>
      <c r="D41" s="77"/>
      <c r="E41" s="77">
        <v>530</v>
      </c>
      <c r="F41" s="77"/>
      <c r="G41" s="77">
        <v>534</v>
      </c>
      <c r="H41" s="77"/>
      <c r="I41" s="77">
        <v>630</v>
      </c>
      <c r="J41" s="77"/>
      <c r="K41" s="77">
        <v>630</v>
      </c>
      <c r="L41" s="77">
        <v>630</v>
      </c>
      <c r="M41" s="77">
        <v>630</v>
      </c>
      <c r="N41" s="77">
        <v>720</v>
      </c>
      <c r="O41" s="77"/>
      <c r="P41" s="77">
        <v>720</v>
      </c>
      <c r="Q41" s="77">
        <v>824</v>
      </c>
      <c r="R41" s="71">
        <v>824</v>
      </c>
      <c r="S41" s="71"/>
      <c r="T41" s="77">
        <v>874</v>
      </c>
      <c r="U41" s="71">
        <v>924</v>
      </c>
      <c r="V41" s="77">
        <v>978</v>
      </c>
      <c r="W41" s="77">
        <v>1000</v>
      </c>
      <c r="X41" s="72">
        <v>1078</v>
      </c>
      <c r="Y41" s="77">
        <v>1078</v>
      </c>
      <c r="Z41" s="77">
        <v>1132</v>
      </c>
      <c r="AA41" s="128">
        <v>1182</v>
      </c>
      <c r="AB41" s="107" t="s">
        <v>375</v>
      </c>
      <c r="AC41" s="68"/>
    </row>
    <row r="42" spans="1:29" ht="30.75" thickBot="1">
      <c r="A42" s="130" t="s">
        <v>158</v>
      </c>
      <c r="B42" s="76" t="s">
        <v>159</v>
      </c>
      <c r="C42" s="772" t="s">
        <v>450</v>
      </c>
      <c r="D42" s="773"/>
      <c r="E42" s="773"/>
      <c r="F42" s="773"/>
      <c r="G42" s="773"/>
      <c r="H42" s="773"/>
      <c r="I42" s="773"/>
      <c r="J42" s="773"/>
      <c r="K42" s="773"/>
      <c r="L42" s="773"/>
      <c r="M42" s="773"/>
      <c r="N42" s="773"/>
      <c r="O42" s="773"/>
      <c r="P42" s="773"/>
      <c r="Q42" s="773"/>
      <c r="R42" s="773"/>
      <c r="S42" s="773"/>
      <c r="T42" s="773"/>
      <c r="U42" s="773"/>
      <c r="V42" s="773"/>
      <c r="W42" s="773"/>
      <c r="X42" s="773"/>
      <c r="Y42" s="773"/>
      <c r="Z42" s="773"/>
      <c r="AA42" s="774"/>
      <c r="AB42" s="107"/>
      <c r="AC42" s="68">
        <v>200</v>
      </c>
    </row>
    <row r="43" spans="1:29" ht="15" customHeight="1">
      <c r="A43" s="788" t="s">
        <v>427</v>
      </c>
      <c r="B43" s="777" t="s">
        <v>428</v>
      </c>
      <c r="C43" s="131">
        <f>C46/$R$46</f>
        <v>0.51699029126213591</v>
      </c>
      <c r="D43" s="131"/>
      <c r="E43" s="131">
        <f>E46/$R$46</f>
        <v>0.64320388349514568</v>
      </c>
      <c r="F43" s="131"/>
      <c r="G43" s="131">
        <f>G46/$R$46</f>
        <v>0.64320388349514568</v>
      </c>
      <c r="H43" s="131"/>
      <c r="I43" s="131">
        <f>I46/$R$46</f>
        <v>0.7645631067961165</v>
      </c>
      <c r="J43" s="131"/>
      <c r="K43" s="131">
        <f>K46/$R$46</f>
        <v>0.7645631067961165</v>
      </c>
      <c r="L43" s="131">
        <f>L46/$R$46</f>
        <v>0.7645631067961165</v>
      </c>
      <c r="M43" s="131">
        <f>M46/$R$46</f>
        <v>0.7645631067961165</v>
      </c>
      <c r="N43" s="131">
        <f>N46/$R$46</f>
        <v>0.87378640776699024</v>
      </c>
      <c r="O43" s="131"/>
      <c r="P43" s="131">
        <f t="shared" si="24" ref="P43:AA43">P46/$R$46</f>
        <v>0.87378640776699024</v>
      </c>
      <c r="Q43" s="131">
        <f t="shared" si="24"/>
        <v>1</v>
      </c>
      <c r="R43" s="131">
        <f t="shared" si="24"/>
        <v>1</v>
      </c>
      <c r="S43" s="131"/>
      <c r="T43" s="131">
        <f t="shared" si="24"/>
        <v>1.0606796116504855</v>
      </c>
      <c r="U43" s="131">
        <f t="shared" si="24"/>
        <v>1.1213592233009708</v>
      </c>
      <c r="V43" s="131">
        <f t="shared" si="24"/>
        <v>1.1868932038834952</v>
      </c>
      <c r="W43" s="131">
        <f t="shared" si="24"/>
        <v>1.2475728155339805</v>
      </c>
      <c r="X43" s="131">
        <f t="shared" si="24"/>
        <v>1.308252427184466</v>
      </c>
      <c r="Y43" s="131">
        <f t="shared" si="24"/>
        <v>1.308252427184466</v>
      </c>
      <c r="Z43" s="131">
        <f t="shared" si="24"/>
        <v>1.3737864077669903</v>
      </c>
      <c r="AA43" s="132">
        <f t="shared" si="24"/>
        <v>1.4344660194174756</v>
      </c>
      <c r="AB43" t="s">
        <v>395</v>
      </c>
      <c r="AC43" s="68">
        <v>200</v>
      </c>
    </row>
    <row r="44" spans="1:29" ht="15" customHeight="1">
      <c r="A44" s="789"/>
      <c r="B44" s="640"/>
      <c r="C44" s="133">
        <f>$AC$2/C43</f>
        <v>19.342723004694836</v>
      </c>
      <c r="D44" s="133"/>
      <c r="E44" s="133">
        <f>$AC$2/E43</f>
        <v>15.547169811320753</v>
      </c>
      <c r="F44" s="133"/>
      <c r="G44" s="133">
        <f>$AC$2/G43</f>
        <v>15.547169811320753</v>
      </c>
      <c r="H44" s="133"/>
      <c r="I44" s="133">
        <f>$AC$2/I43</f>
        <v>13.079365079365079</v>
      </c>
      <c r="J44" s="133"/>
      <c r="K44" s="133">
        <f>$AC$2/K43</f>
        <v>13.079365079365079</v>
      </c>
      <c r="L44" s="133">
        <f>$AC$2/L43</f>
        <v>13.079365079365079</v>
      </c>
      <c r="M44" s="133">
        <f>$AC$2/M43</f>
        <v>13.079365079365079</v>
      </c>
      <c r="N44" s="133">
        <f>$AC$2/N43</f>
        <v>11.444444444444445</v>
      </c>
      <c r="O44" s="133"/>
      <c r="P44" s="133">
        <f>$AC$2/P43</f>
        <v>11.444444444444445</v>
      </c>
      <c r="Q44" s="133">
        <f>$AC$2/Q43</f>
        <v>10</v>
      </c>
      <c r="R44" s="133">
        <f>$AC$2/R43</f>
        <v>10</v>
      </c>
      <c r="S44" s="133"/>
      <c r="T44" s="133">
        <f t="shared" si="25" ref="T44:AA44">$AC$2/T43</f>
        <v>9.4279176201372987</v>
      </c>
      <c r="U44" s="133">
        <f t="shared" si="25"/>
        <v>8.9177489177489182</v>
      </c>
      <c r="V44" s="133">
        <f t="shared" si="25"/>
        <v>8.4253578732106345</v>
      </c>
      <c r="W44" s="133">
        <f t="shared" si="25"/>
        <v>8.0155642023346303</v>
      </c>
      <c r="X44" s="133">
        <f t="shared" si="25"/>
        <v>7.6437847866419295</v>
      </c>
      <c r="Y44" s="133">
        <f t="shared" si="25"/>
        <v>7.6437847866419295</v>
      </c>
      <c r="Z44" s="133">
        <f t="shared" si="25"/>
        <v>7.2791519434628968</v>
      </c>
      <c r="AA44" s="134">
        <f t="shared" si="25"/>
        <v>6.9712351945854492</v>
      </c>
      <c r="AB44" s="107" t="s">
        <v>376</v>
      </c>
      <c r="AC44" s="68"/>
    </row>
    <row r="45" spans="1:29" ht="15" customHeight="1">
      <c r="A45" s="789"/>
      <c r="B45" s="640"/>
      <c r="C45" s="118">
        <f>$AC$2/C44*2*$AC$43</f>
        <v>206.79611650485435</v>
      </c>
      <c r="D45" s="118"/>
      <c r="E45" s="118">
        <f>$AC$2/E44*2*$AC$43</f>
        <v>257.28155339805829</v>
      </c>
      <c r="F45" s="118"/>
      <c r="G45" s="118">
        <f>$AC$2/G44*2*$AC$43</f>
        <v>257.28155339805829</v>
      </c>
      <c r="H45" s="118"/>
      <c r="I45" s="118">
        <f>$AC$2/I44*2*$AC$43</f>
        <v>305.82524271844659</v>
      </c>
      <c r="J45" s="118"/>
      <c r="K45" s="118">
        <f>$AC$2/K44*2*$AC$43</f>
        <v>305.82524271844659</v>
      </c>
      <c r="L45" s="118">
        <f>$AC$2/L44*2*$AC$43</f>
        <v>305.82524271844659</v>
      </c>
      <c r="M45" s="118">
        <f>$AC$2/M44*2*$AC$43</f>
        <v>305.82524271844659</v>
      </c>
      <c r="N45" s="118">
        <f>$AC$2/N44*2*$AC$43</f>
        <v>349.51456310679612</v>
      </c>
      <c r="O45" s="118"/>
      <c r="P45" s="118">
        <f>$AC$2/P44*2*$AC$43</f>
        <v>349.51456310679612</v>
      </c>
      <c r="Q45" s="118">
        <f>$AC$2/Q44*2*$AC$43</f>
        <v>400</v>
      </c>
      <c r="R45" s="118">
        <f>$AC$2/R44*2*$AC$43</f>
        <v>400</v>
      </c>
      <c r="S45" s="118"/>
      <c r="T45" s="118">
        <f t="shared" si="26" ref="T45">$AC$2/T44*2*$AC$43</f>
        <v>424.27184466019423</v>
      </c>
      <c r="U45" s="118">
        <f t="shared" si="27" ref="U45">$AC$2/U44*2*$AC$43</f>
        <v>448.54368932038835</v>
      </c>
      <c r="V45" s="118">
        <f t="shared" si="28" ref="V45">$AC$2/V44*2*$AC$43</f>
        <v>474.75728155339806</v>
      </c>
      <c r="W45" s="118">
        <f t="shared" si="29" ref="W45">$AC$2/W44*2*$AC$43</f>
        <v>499.02912621359229</v>
      </c>
      <c r="X45" s="118">
        <f t="shared" si="30" ref="X45">$AC$2/X44*2*$AC$43</f>
        <v>523.30097087378635</v>
      </c>
      <c r="Y45" s="118">
        <f t="shared" si="31" ref="Y45">$AC$2/Y44*2*$AC$43</f>
        <v>523.30097087378635</v>
      </c>
      <c r="Z45" s="118">
        <f t="shared" si="32" ref="Z45">$AC$2/Z44*2*$AC$43</f>
        <v>549.51456310679612</v>
      </c>
      <c r="AA45" s="119">
        <f t="shared" si="33" ref="AA45">$AC$2/AA44*2*$AC$43</f>
        <v>573.78640776699024</v>
      </c>
      <c r="AB45" s="107" t="s">
        <v>377</v>
      </c>
      <c r="AC45" s="68"/>
    </row>
    <row r="46" spans="1:29" ht="15.75" thickBot="1">
      <c r="A46" s="790"/>
      <c r="B46" s="778"/>
      <c r="C46" s="71">
        <v>426</v>
      </c>
      <c r="D46" s="71"/>
      <c r="E46" s="71">
        <v>530</v>
      </c>
      <c r="F46" s="71"/>
      <c r="G46" s="71">
        <v>530</v>
      </c>
      <c r="H46" s="71"/>
      <c r="I46" s="71">
        <v>630</v>
      </c>
      <c r="J46" s="71"/>
      <c r="K46" s="71">
        <v>630</v>
      </c>
      <c r="L46" s="71">
        <v>630</v>
      </c>
      <c r="M46" s="71">
        <v>630</v>
      </c>
      <c r="N46" s="71">
        <v>720</v>
      </c>
      <c r="O46" s="71"/>
      <c r="P46" s="71">
        <v>720</v>
      </c>
      <c r="Q46" s="71">
        <v>824</v>
      </c>
      <c r="R46" s="70">
        <v>824</v>
      </c>
      <c r="S46" s="70"/>
      <c r="T46" s="71">
        <v>874</v>
      </c>
      <c r="U46" s="71">
        <v>924</v>
      </c>
      <c r="V46" s="71">
        <v>978</v>
      </c>
      <c r="W46" s="71">
        <v>1028</v>
      </c>
      <c r="X46" s="72">
        <v>1078</v>
      </c>
      <c r="Y46" s="71">
        <v>1078</v>
      </c>
      <c r="Z46" s="71">
        <v>1132</v>
      </c>
      <c r="AA46" s="135">
        <v>1182</v>
      </c>
      <c r="AB46" s="107" t="s">
        <v>375</v>
      </c>
      <c r="AC46" s="68"/>
    </row>
    <row r="47" spans="1:29" ht="15" customHeight="1">
      <c r="A47" s="765" t="s">
        <v>162</v>
      </c>
      <c r="B47" s="756" t="s">
        <v>429</v>
      </c>
      <c r="C47" s="745" t="s">
        <v>445</v>
      </c>
      <c r="D47" s="746"/>
      <c r="E47" s="746"/>
      <c r="F47" s="746"/>
      <c r="G47" s="746"/>
      <c r="H47" s="746"/>
      <c r="I47" s="746"/>
      <c r="J47" s="746"/>
      <c r="K47" s="746"/>
      <c r="L47" s="746"/>
      <c r="M47" s="746"/>
      <c r="N47" s="746"/>
      <c r="O47" s="746"/>
      <c r="P47" s="746"/>
      <c r="Q47" s="746"/>
      <c r="R47" s="746"/>
      <c r="S47" s="746"/>
      <c r="T47" s="746"/>
      <c r="U47" s="746"/>
      <c r="V47" s="746"/>
      <c r="W47" s="746"/>
      <c r="X47" s="746"/>
      <c r="Y47" s="746"/>
      <c r="Z47" s="746"/>
      <c r="AA47" s="761"/>
      <c r="AB47" s="107"/>
      <c r="AC47" s="68">
        <v>200</v>
      </c>
    </row>
    <row r="48" spans="1:29" ht="15.75" thickBot="1">
      <c r="A48" s="767"/>
      <c r="B48" s="757"/>
      <c r="C48" s="762" t="s">
        <v>446</v>
      </c>
      <c r="D48" s="762"/>
      <c r="E48" s="762"/>
      <c r="F48" s="762"/>
      <c r="G48" s="762"/>
      <c r="H48" s="762"/>
      <c r="I48" s="762"/>
      <c r="J48" s="762"/>
      <c r="K48" s="762"/>
      <c r="L48" s="762"/>
      <c r="M48" s="762"/>
      <c r="N48" s="762"/>
      <c r="O48" s="762"/>
      <c r="P48" s="762"/>
      <c r="Q48" s="762"/>
      <c r="R48" s="762"/>
      <c r="S48" s="762"/>
      <c r="T48" s="762"/>
      <c r="U48" s="762"/>
      <c r="V48" s="762"/>
      <c r="W48" s="762"/>
      <c r="X48" s="762"/>
      <c r="Y48" s="762"/>
      <c r="Z48" s="762"/>
      <c r="AA48" s="763"/>
      <c r="AB48" s="107"/>
      <c r="AC48" s="68">
        <v>200</v>
      </c>
    </row>
    <row r="49" spans="1:29" ht="15" customHeight="1">
      <c r="A49" s="758" t="s">
        <v>430</v>
      </c>
      <c r="B49" s="756" t="s">
        <v>431</v>
      </c>
      <c r="C49" s="745" t="s">
        <v>445</v>
      </c>
      <c r="D49" s="746"/>
      <c r="E49" s="746"/>
      <c r="F49" s="746"/>
      <c r="G49" s="746"/>
      <c r="H49" s="746"/>
      <c r="I49" s="746"/>
      <c r="J49" s="746"/>
      <c r="K49" s="746"/>
      <c r="L49" s="746"/>
      <c r="M49" s="746"/>
      <c r="N49" s="746"/>
      <c r="O49" s="746"/>
      <c r="P49" s="746"/>
      <c r="Q49" s="746"/>
      <c r="R49" s="746"/>
      <c r="S49" s="746"/>
      <c r="T49" s="746"/>
      <c r="U49" s="746"/>
      <c r="V49" s="746"/>
      <c r="W49" s="746"/>
      <c r="X49" s="746"/>
      <c r="Y49" s="746"/>
      <c r="Z49" s="746"/>
      <c r="AA49" s="761"/>
      <c r="AB49" s="107"/>
      <c r="AC49" s="68">
        <v>200</v>
      </c>
    </row>
    <row r="50" spans="1:29" ht="15">
      <c r="A50" s="759"/>
      <c r="B50" s="638"/>
      <c r="C50" s="637" t="s">
        <v>447</v>
      </c>
      <c r="D50" s="637"/>
      <c r="E50" s="637"/>
      <c r="F50" s="637"/>
      <c r="G50" s="637"/>
      <c r="H50" s="637"/>
      <c r="I50" s="637"/>
      <c r="J50" s="637"/>
      <c r="K50" s="637"/>
      <c r="L50" s="637"/>
      <c r="M50" s="637"/>
      <c r="N50" s="637"/>
      <c r="O50" s="637"/>
      <c r="P50" s="637"/>
      <c r="Q50" s="637"/>
      <c r="R50" s="637"/>
      <c r="S50" s="637"/>
      <c r="T50" s="637"/>
      <c r="U50" s="637"/>
      <c r="V50" s="637"/>
      <c r="W50" s="637"/>
      <c r="X50" s="637"/>
      <c r="Y50" s="637"/>
      <c r="Z50" s="637"/>
      <c r="AA50" s="764"/>
      <c r="AB50" s="107"/>
      <c r="AC50" s="68">
        <v>200</v>
      </c>
    </row>
    <row r="51" spans="1:29" ht="15.75" thickBot="1">
      <c r="A51" s="760"/>
      <c r="B51" s="757"/>
      <c r="C51" s="742" t="s">
        <v>448</v>
      </c>
      <c r="D51" s="743"/>
      <c r="E51" s="743"/>
      <c r="F51" s="743"/>
      <c r="G51" s="743"/>
      <c r="H51" s="743"/>
      <c r="I51" s="743"/>
      <c r="J51" s="743"/>
      <c r="K51" s="743"/>
      <c r="L51" s="743"/>
      <c r="M51" s="743"/>
      <c r="N51" s="743"/>
      <c r="O51" s="743"/>
      <c r="P51" s="743"/>
      <c r="Q51" s="743"/>
      <c r="R51" s="743"/>
      <c r="S51" s="743"/>
      <c r="T51" s="743"/>
      <c r="U51" s="743"/>
      <c r="V51" s="743"/>
      <c r="W51" s="743"/>
      <c r="X51" s="743"/>
      <c r="Y51" s="743"/>
      <c r="Z51" s="743"/>
      <c r="AA51" s="744"/>
      <c r="AB51" s="107"/>
      <c r="AC51" s="68">
        <v>138</v>
      </c>
    </row>
    <row r="52" spans="1:29" ht="15">
      <c r="A52" s="754" t="s">
        <v>163</v>
      </c>
      <c r="B52" s="756" t="s">
        <v>451</v>
      </c>
      <c r="C52" s="745" t="s">
        <v>452</v>
      </c>
      <c r="D52" s="746"/>
      <c r="E52" s="746"/>
      <c r="F52" s="746"/>
      <c r="G52" s="746"/>
      <c r="H52" s="746"/>
      <c r="I52" s="746"/>
      <c r="J52" s="746"/>
      <c r="K52" s="746"/>
      <c r="L52" s="746"/>
      <c r="M52" s="747"/>
      <c r="N52" s="137">
        <v>0.84</v>
      </c>
      <c r="O52" s="137"/>
      <c r="P52" s="79">
        <f>$N$52*P53</f>
        <v>0.84</v>
      </c>
      <c r="Q52" s="79">
        <f t="shared" si="34" ref="Q52:AA52">$N$52*Q53</f>
        <v>0.96133333333333326</v>
      </c>
      <c r="R52" s="79">
        <f t="shared" si="34"/>
        <v>0.96133333333333326</v>
      </c>
      <c r="S52" s="79"/>
      <c r="T52" s="79">
        <f t="shared" si="34"/>
        <v>1.0196666666666665</v>
      </c>
      <c r="U52" s="79">
        <f t="shared" si="34"/>
        <v>1.0780000000000001</v>
      </c>
      <c r="V52" s="79">
        <f t="shared" si="34"/>
        <v>1.141</v>
      </c>
      <c r="W52" s="79">
        <f t="shared" si="34"/>
        <v>1.1993333333333334</v>
      </c>
      <c r="X52" s="79">
        <f t="shared" si="34"/>
        <v>1.2576666666666667</v>
      </c>
      <c r="Y52" s="79">
        <f t="shared" si="34"/>
        <v>1.2576666666666667</v>
      </c>
      <c r="Z52" s="79">
        <f t="shared" si="34"/>
        <v>1.3206666666666667</v>
      </c>
      <c r="AA52" s="122">
        <f t="shared" si="34"/>
        <v>1.379</v>
      </c>
      <c r="AB52" s="107" t="s">
        <v>393</v>
      </c>
      <c r="AC52" s="68">
        <v>183</v>
      </c>
    </row>
    <row r="53" spans="1:29" ht="15">
      <c r="A53" s="782"/>
      <c r="B53" s="638"/>
      <c r="C53" s="748"/>
      <c r="D53" s="749"/>
      <c r="E53" s="749"/>
      <c r="F53" s="749"/>
      <c r="G53" s="749"/>
      <c r="H53" s="749"/>
      <c r="I53" s="749"/>
      <c r="J53" s="749"/>
      <c r="K53" s="749"/>
      <c r="L53" s="749"/>
      <c r="M53" s="750"/>
      <c r="N53" s="99">
        <f>N56/$N$56</f>
        <v>1</v>
      </c>
      <c r="O53" s="99"/>
      <c r="P53" s="108">
        <f t="shared" si="35" ref="P53:AA53">P56/$N$56</f>
        <v>1</v>
      </c>
      <c r="Q53" s="108">
        <f t="shared" si="35"/>
        <v>1.1444444444444444</v>
      </c>
      <c r="R53" s="108">
        <f t="shared" si="35"/>
        <v>1.1444444444444444</v>
      </c>
      <c r="S53" s="108"/>
      <c r="T53" s="108">
        <f t="shared" si="35"/>
        <v>1.2138888888888888</v>
      </c>
      <c r="U53" s="108">
        <f t="shared" si="35"/>
        <v>1.2833333333333334</v>
      </c>
      <c r="V53" s="108">
        <f t="shared" si="35"/>
        <v>1.3583333333333334</v>
      </c>
      <c r="W53" s="108">
        <f t="shared" si="35"/>
        <v>1.4277777777777778</v>
      </c>
      <c r="X53" s="108">
        <f t="shared" si="35"/>
        <v>1.4972222222222222</v>
      </c>
      <c r="Y53" s="108">
        <f t="shared" si="35"/>
        <v>1.4972222222222222</v>
      </c>
      <c r="Z53" s="108">
        <f t="shared" si="35"/>
        <v>1.5722222222222222</v>
      </c>
      <c r="AA53" s="136">
        <f t="shared" si="35"/>
        <v>1.6416666666666666</v>
      </c>
      <c r="AB53" s="107" t="s">
        <v>395</v>
      </c>
      <c r="AC53" s="68"/>
    </row>
    <row r="54" spans="1:29" ht="15">
      <c r="A54" s="782"/>
      <c r="B54" s="638"/>
      <c r="C54" s="748"/>
      <c r="D54" s="749"/>
      <c r="E54" s="749"/>
      <c r="F54" s="749"/>
      <c r="G54" s="749"/>
      <c r="H54" s="749"/>
      <c r="I54" s="749"/>
      <c r="J54" s="749"/>
      <c r="K54" s="749"/>
      <c r="L54" s="749"/>
      <c r="M54" s="750"/>
      <c r="N54" s="138">
        <f>N52*$AC$52</f>
        <v>153.72</v>
      </c>
      <c r="O54" s="138"/>
      <c r="P54" s="75">
        <f>P52*$AC$52</f>
        <v>153.72</v>
      </c>
      <c r="Q54" s="75">
        <f>Q52*$AC$52</f>
        <v>175.92399999999998</v>
      </c>
      <c r="R54" s="75">
        <f>R52*$AC$52</f>
        <v>175.92399999999998</v>
      </c>
      <c r="S54" s="75"/>
      <c r="T54" s="75">
        <f t="shared" si="36" ref="T54:AA54">T52*$AC$52</f>
        <v>186.59899999999996</v>
      </c>
      <c r="U54" s="75">
        <f t="shared" si="36"/>
        <v>197.274</v>
      </c>
      <c r="V54" s="75">
        <f t="shared" si="36"/>
        <v>208.803</v>
      </c>
      <c r="W54" s="75">
        <f t="shared" si="36"/>
        <v>219.47800000000001</v>
      </c>
      <c r="X54" s="75">
        <f t="shared" si="36"/>
        <v>230.15300000000002</v>
      </c>
      <c r="Y54" s="75">
        <f t="shared" si="36"/>
        <v>230.15300000000002</v>
      </c>
      <c r="Z54" s="75">
        <f t="shared" si="36"/>
        <v>241.68199999999999</v>
      </c>
      <c r="AA54" s="101">
        <f t="shared" si="36"/>
        <v>252.357</v>
      </c>
      <c r="AB54" s="107" t="s">
        <v>377</v>
      </c>
      <c r="AC54" s="68"/>
    </row>
    <row r="55" spans="1:29" ht="15">
      <c r="A55" s="782"/>
      <c r="B55" s="638"/>
      <c r="C55" s="751"/>
      <c r="D55" s="752"/>
      <c r="E55" s="752"/>
      <c r="F55" s="752"/>
      <c r="G55" s="752"/>
      <c r="H55" s="752"/>
      <c r="I55" s="752"/>
      <c r="J55" s="752"/>
      <c r="K55" s="752"/>
      <c r="L55" s="752"/>
      <c r="M55" s="753"/>
      <c r="N55" s="98">
        <f>$AC$2/N52</f>
        <v>11.904761904761905</v>
      </c>
      <c r="O55" s="98"/>
      <c r="P55" s="109">
        <f>$AC$2/P52</f>
        <v>11.904761904761905</v>
      </c>
      <c r="Q55" s="109">
        <f>$AC$2/Q52</f>
        <v>10.402219140083218</v>
      </c>
      <c r="R55" s="109">
        <f>$AC$2/R52</f>
        <v>10.402219140083218</v>
      </c>
      <c r="S55" s="109"/>
      <c r="T55" s="109">
        <f t="shared" si="37" ref="T55:AA55">$AC$2/T52</f>
        <v>9.8071265119320064</v>
      </c>
      <c r="U55" s="109">
        <f t="shared" si="37"/>
        <v>9.2764378478664185</v>
      </c>
      <c r="V55" s="109">
        <f t="shared" si="37"/>
        <v>8.7642418930762496</v>
      </c>
      <c r="W55" s="109">
        <f t="shared" si="37"/>
        <v>8.3379655364091168</v>
      </c>
      <c r="X55" s="109">
        <f t="shared" si="37"/>
        <v>7.9512324410283588</v>
      </c>
      <c r="Y55" s="109">
        <f t="shared" si="37"/>
        <v>7.9512324410283588</v>
      </c>
      <c r="Z55" s="109">
        <f t="shared" si="37"/>
        <v>7.5719333669863707</v>
      </c>
      <c r="AA55" s="125">
        <f t="shared" si="37"/>
        <v>7.2516316171138504</v>
      </c>
      <c r="AB55" s="107" t="s">
        <v>376</v>
      </c>
      <c r="AC55" s="68"/>
    </row>
    <row r="56" spans="1:29" ht="15.75" thickBot="1">
      <c r="A56" s="755"/>
      <c r="B56" s="757"/>
      <c r="C56" s="71">
        <v>426</v>
      </c>
      <c r="D56" s="71"/>
      <c r="E56" s="71">
        <v>530</v>
      </c>
      <c r="F56" s="71"/>
      <c r="G56" s="71">
        <v>530</v>
      </c>
      <c r="H56" s="71"/>
      <c r="I56" s="71">
        <v>630</v>
      </c>
      <c r="J56" s="71"/>
      <c r="K56" s="71">
        <v>630</v>
      </c>
      <c r="L56" s="71">
        <v>630</v>
      </c>
      <c r="M56" s="71">
        <v>630</v>
      </c>
      <c r="N56" s="73">
        <v>720</v>
      </c>
      <c r="O56" s="73"/>
      <c r="P56" s="71">
        <v>720</v>
      </c>
      <c r="Q56" s="71">
        <v>824</v>
      </c>
      <c r="R56" s="139">
        <v>824</v>
      </c>
      <c r="S56" s="139"/>
      <c r="T56" s="71">
        <v>874</v>
      </c>
      <c r="U56" s="71">
        <v>924</v>
      </c>
      <c r="V56" s="71">
        <v>978</v>
      </c>
      <c r="W56" s="71">
        <v>1028</v>
      </c>
      <c r="X56" s="72">
        <v>1078</v>
      </c>
      <c r="Y56" s="71">
        <v>1078</v>
      </c>
      <c r="Z56" s="71">
        <v>1132</v>
      </c>
      <c r="AA56" s="135">
        <v>1182</v>
      </c>
      <c r="AB56" s="107" t="s">
        <v>375</v>
      </c>
      <c r="AC56" s="68"/>
    </row>
    <row r="57" spans="1:29" ht="15.75" thickBot="1">
      <c r="A57" s="215" t="s">
        <v>514</v>
      </c>
      <c r="B57" s="213" t="s">
        <v>516</v>
      </c>
      <c r="C57" s="769" t="s">
        <v>453</v>
      </c>
      <c r="D57" s="770"/>
      <c r="E57" s="770"/>
      <c r="F57" s="770"/>
      <c r="G57" s="770"/>
      <c r="H57" s="770"/>
      <c r="I57" s="770"/>
      <c r="J57" s="770"/>
      <c r="K57" s="770"/>
      <c r="L57" s="770"/>
      <c r="M57" s="771"/>
      <c r="N57" s="772" t="s">
        <v>515</v>
      </c>
      <c r="O57" s="773"/>
      <c r="P57" s="773"/>
      <c r="Q57" s="773"/>
      <c r="R57" s="773"/>
      <c r="S57" s="216"/>
      <c r="T57" s="216" t="s">
        <v>517</v>
      </c>
      <c r="U57" s="216" t="s">
        <v>517</v>
      </c>
      <c r="V57" s="216" t="s">
        <v>517</v>
      </c>
      <c r="W57" s="216" t="s">
        <v>517</v>
      </c>
      <c r="X57" s="216" t="s">
        <v>517</v>
      </c>
      <c r="Y57" s="216" t="s">
        <v>517</v>
      </c>
      <c r="Z57" s="216" t="s">
        <v>517</v>
      </c>
      <c r="AA57" s="217" t="s">
        <v>517</v>
      </c>
      <c r="AB57" s="107"/>
      <c r="AC57" s="68"/>
    </row>
    <row r="58" spans="1:29" ht="15" customHeight="1">
      <c r="A58" s="758" t="s">
        <v>432</v>
      </c>
      <c r="B58" s="756" t="s">
        <v>433</v>
      </c>
      <c r="C58" s="724" t="s">
        <v>453</v>
      </c>
      <c r="D58" s="725"/>
      <c r="E58" s="725"/>
      <c r="F58" s="725"/>
      <c r="G58" s="725"/>
      <c r="H58" s="725"/>
      <c r="I58" s="725"/>
      <c r="J58" s="725"/>
      <c r="K58" s="725"/>
      <c r="L58" s="725"/>
      <c r="M58" s="726"/>
      <c r="N58" s="131">
        <f>N61/$R$61</f>
        <v>0.87378640776699024</v>
      </c>
      <c r="O58" s="131"/>
      <c r="P58" s="131">
        <f t="shared" si="38" ref="P58:AA58">P61/$R$61</f>
        <v>0.87378640776699024</v>
      </c>
      <c r="Q58" s="131">
        <f t="shared" si="38"/>
        <v>1</v>
      </c>
      <c r="R58" s="131">
        <f t="shared" si="38"/>
        <v>1</v>
      </c>
      <c r="S58" s="131"/>
      <c r="T58" s="131">
        <f t="shared" si="38"/>
        <v>1.0606796116504855</v>
      </c>
      <c r="U58" s="131">
        <f t="shared" si="38"/>
        <v>1.1213592233009708</v>
      </c>
      <c r="V58" s="131">
        <f t="shared" si="38"/>
        <v>1.1868932038834952</v>
      </c>
      <c r="W58" s="131">
        <f t="shared" si="38"/>
        <v>1.2475728155339805</v>
      </c>
      <c r="X58" s="131">
        <f t="shared" si="38"/>
        <v>1.308252427184466</v>
      </c>
      <c r="Y58" s="131">
        <f t="shared" si="38"/>
        <v>1.308252427184466</v>
      </c>
      <c r="Z58" s="131">
        <f t="shared" si="38"/>
        <v>1.3737864077669903</v>
      </c>
      <c r="AA58" s="132">
        <f t="shared" si="38"/>
        <v>1.4344660194174756</v>
      </c>
      <c r="AB58" s="140" t="s">
        <v>395</v>
      </c>
      <c r="AC58" s="68">
        <v>200</v>
      </c>
    </row>
    <row r="59" spans="1:29" ht="15" customHeight="1">
      <c r="A59" s="759"/>
      <c r="B59" s="638"/>
      <c r="C59" s="727"/>
      <c r="D59" s="728"/>
      <c r="E59" s="728"/>
      <c r="F59" s="728"/>
      <c r="G59" s="728"/>
      <c r="H59" s="728"/>
      <c r="I59" s="728"/>
      <c r="J59" s="728"/>
      <c r="K59" s="728"/>
      <c r="L59" s="728"/>
      <c r="M59" s="729"/>
      <c r="N59" s="133">
        <f>$AC$2/N58/1.5</f>
        <v>7.6296296296296298</v>
      </c>
      <c r="O59" s="133"/>
      <c r="P59" s="133">
        <f>$AC$2/P58/1.5</f>
        <v>7.6296296296296298</v>
      </c>
      <c r="Q59" s="133">
        <f>$AC$2/Q58/1.5</f>
        <v>6.666666666666667</v>
      </c>
      <c r="R59" s="133">
        <f>$AC$2/R58/1.5</f>
        <v>6.666666666666667</v>
      </c>
      <c r="S59" s="133"/>
      <c r="T59" s="133">
        <f t="shared" si="39" ref="T59">$AC$2/T58/1.5</f>
        <v>6.2852784134248658</v>
      </c>
      <c r="U59" s="133">
        <f t="shared" si="40" ref="U59">$AC$2/U58/1.5</f>
        <v>5.9451659451659458</v>
      </c>
      <c r="V59" s="133">
        <f t="shared" si="41" ref="V59:W59">$AC$2/V58/1.5</f>
        <v>5.6169052488070896</v>
      </c>
      <c r="W59" s="133">
        <f t="shared" si="41"/>
        <v>5.3437094682230866</v>
      </c>
      <c r="X59" s="133">
        <f t="shared" si="42" ref="X59">$AC$2/X58/1.5</f>
        <v>5.095856524427953</v>
      </c>
      <c r="Y59" s="133">
        <f t="shared" si="43" ref="Y59">$AC$2/Y58/1.5</f>
        <v>5.095856524427953</v>
      </c>
      <c r="Z59" s="133">
        <f t="shared" si="44" ref="Z59:AA59">$AC$2/Z58/1.5</f>
        <v>4.8527679623085982</v>
      </c>
      <c r="AA59" s="134">
        <f t="shared" si="44"/>
        <v>4.6474901297236331</v>
      </c>
      <c r="AB59" s="140" t="s">
        <v>379</v>
      </c>
      <c r="AC59" s="68"/>
    </row>
    <row r="60" spans="1:29" ht="15">
      <c r="A60" s="759"/>
      <c r="B60" s="638"/>
      <c r="C60" s="730"/>
      <c r="D60" s="731"/>
      <c r="E60" s="731"/>
      <c r="F60" s="731"/>
      <c r="G60" s="731"/>
      <c r="H60" s="731"/>
      <c r="I60" s="731"/>
      <c r="J60" s="731"/>
      <c r="K60" s="731"/>
      <c r="L60" s="731"/>
      <c r="M60" s="732"/>
      <c r="N60" s="118">
        <f>$AC$2/N59*2*$AC$58</f>
        <v>524.27184466019423</v>
      </c>
      <c r="O60" s="118"/>
      <c r="P60" s="118">
        <f>$AC$2/P59*2*$AC$58</f>
        <v>524.27184466019423</v>
      </c>
      <c r="Q60" s="118">
        <f>$AC$2/Q59*2*$AC$58</f>
        <v>600</v>
      </c>
      <c r="R60" s="118">
        <f>$AC$2/R59*2*$AC$58</f>
        <v>600</v>
      </c>
      <c r="S60" s="118"/>
      <c r="T60" s="118">
        <f t="shared" si="45" ref="T60">$AC$2/T59*2*$AC$58</f>
        <v>636.40776699029141</v>
      </c>
      <c r="U60" s="118">
        <f t="shared" si="46" ref="U60">$AC$2/U59*2*$AC$58</f>
        <v>672.81553398058247</v>
      </c>
      <c r="V60" s="118">
        <f t="shared" si="47" ref="V60:W60">$AC$2/V59*2*$AC$58</f>
        <v>712.13592233009706</v>
      </c>
      <c r="W60" s="118">
        <f t="shared" si="47"/>
        <v>748.54368932038847</v>
      </c>
      <c r="X60" s="118">
        <f t="shared" si="48" ref="X60">$AC$2/X59*2*$AC$58</f>
        <v>784.95145631067965</v>
      </c>
      <c r="Y60" s="118">
        <f t="shared" si="49" ref="Y60">$AC$2/Y59*2*$AC$58</f>
        <v>784.95145631067965</v>
      </c>
      <c r="Z60" s="118">
        <f t="shared" si="50" ref="Z60:AA60">$AC$2/Z59*2*$AC$58</f>
        <v>824.27184466019412</v>
      </c>
      <c r="AA60" s="119">
        <f t="shared" si="50"/>
        <v>860.6796116504853</v>
      </c>
      <c r="AB60" s="140" t="s">
        <v>378</v>
      </c>
      <c r="AC60" s="68"/>
    </row>
    <row r="61" spans="1:29" ht="15.75" thickBot="1">
      <c r="A61" s="760"/>
      <c r="B61" s="757"/>
      <c r="C61" s="71">
        <v>426</v>
      </c>
      <c r="D61" s="71"/>
      <c r="E61" s="71">
        <v>530</v>
      </c>
      <c r="F61" s="71"/>
      <c r="G61" s="71">
        <v>530</v>
      </c>
      <c r="H61" s="71"/>
      <c r="I61" s="71">
        <v>630</v>
      </c>
      <c r="J61" s="71"/>
      <c r="K61" s="71">
        <v>630</v>
      </c>
      <c r="L61" s="71">
        <v>630</v>
      </c>
      <c r="M61" s="71">
        <v>630</v>
      </c>
      <c r="N61" s="71">
        <v>720</v>
      </c>
      <c r="O61" s="71"/>
      <c r="P61" s="71">
        <v>720</v>
      </c>
      <c r="Q61" s="71">
        <v>824</v>
      </c>
      <c r="R61" s="70">
        <v>824</v>
      </c>
      <c r="S61" s="70"/>
      <c r="T61" s="71">
        <v>874</v>
      </c>
      <c r="U61" s="71">
        <v>924</v>
      </c>
      <c r="V61" s="71">
        <v>978</v>
      </c>
      <c r="W61" s="71">
        <v>1028</v>
      </c>
      <c r="X61" s="72">
        <v>1078</v>
      </c>
      <c r="Y61" s="71">
        <v>1078</v>
      </c>
      <c r="Z61" s="71">
        <v>1132</v>
      </c>
      <c r="AA61" s="135">
        <v>1182</v>
      </c>
      <c r="AB61" s="141" t="s">
        <v>375</v>
      </c>
      <c r="AC61" s="68"/>
    </row>
    <row r="62" spans="1:29" ht="15">
      <c r="A62" s="754" t="s">
        <v>169</v>
      </c>
      <c r="B62" s="756" t="s">
        <v>435</v>
      </c>
      <c r="C62" s="745" t="s">
        <v>445</v>
      </c>
      <c r="D62" s="746"/>
      <c r="E62" s="746"/>
      <c r="F62" s="746"/>
      <c r="G62" s="746"/>
      <c r="H62" s="746"/>
      <c r="I62" s="746"/>
      <c r="J62" s="746"/>
      <c r="K62" s="746"/>
      <c r="L62" s="746"/>
      <c r="M62" s="746"/>
      <c r="N62" s="746"/>
      <c r="O62" s="746"/>
      <c r="P62" s="746"/>
      <c r="Q62" s="746"/>
      <c r="R62" s="746"/>
      <c r="S62" s="746"/>
      <c r="T62" s="746"/>
      <c r="U62" s="746"/>
      <c r="V62" s="746"/>
      <c r="W62" s="746"/>
      <c r="X62" s="746"/>
      <c r="Y62" s="746"/>
      <c r="Z62" s="746"/>
      <c r="AA62" s="761"/>
      <c r="AB62" s="107"/>
      <c r="AC62" s="68">
        <v>200</v>
      </c>
    </row>
    <row r="63" spans="1:29" ht="15.75" thickBot="1">
      <c r="A63" s="755"/>
      <c r="B63" s="757"/>
      <c r="C63" s="762" t="s">
        <v>446</v>
      </c>
      <c r="D63" s="762"/>
      <c r="E63" s="762"/>
      <c r="F63" s="762"/>
      <c r="G63" s="762"/>
      <c r="H63" s="762"/>
      <c r="I63" s="762"/>
      <c r="J63" s="762"/>
      <c r="K63" s="762"/>
      <c r="L63" s="762"/>
      <c r="M63" s="762"/>
      <c r="N63" s="762"/>
      <c r="O63" s="762"/>
      <c r="P63" s="762"/>
      <c r="Q63" s="762"/>
      <c r="R63" s="762"/>
      <c r="S63" s="762"/>
      <c r="T63" s="762"/>
      <c r="U63" s="762"/>
      <c r="V63" s="762"/>
      <c r="W63" s="762"/>
      <c r="X63" s="762"/>
      <c r="Y63" s="762"/>
      <c r="Z63" s="762"/>
      <c r="AA63" s="763"/>
      <c r="AB63" s="107"/>
      <c r="AC63" s="68">
        <v>200</v>
      </c>
    </row>
    <row r="64" spans="1:29" ht="15">
      <c r="A64" s="758" t="s">
        <v>434</v>
      </c>
      <c r="B64" s="756" t="s">
        <v>436</v>
      </c>
      <c r="C64" s="745" t="s">
        <v>445</v>
      </c>
      <c r="D64" s="746"/>
      <c r="E64" s="746"/>
      <c r="F64" s="746"/>
      <c r="G64" s="746"/>
      <c r="H64" s="746"/>
      <c r="I64" s="746"/>
      <c r="J64" s="746"/>
      <c r="K64" s="746"/>
      <c r="L64" s="746"/>
      <c r="M64" s="746"/>
      <c r="N64" s="746"/>
      <c r="O64" s="746"/>
      <c r="P64" s="746"/>
      <c r="Q64" s="746"/>
      <c r="R64" s="746"/>
      <c r="S64" s="746"/>
      <c r="T64" s="746"/>
      <c r="U64" s="746"/>
      <c r="V64" s="746"/>
      <c r="W64" s="746"/>
      <c r="X64" s="746"/>
      <c r="Y64" s="746"/>
      <c r="Z64" s="746"/>
      <c r="AA64" s="761"/>
      <c r="AB64" s="107"/>
      <c r="AC64" s="68">
        <v>200</v>
      </c>
    </row>
    <row r="65" spans="1:29" ht="15">
      <c r="A65" s="759"/>
      <c r="B65" s="638"/>
      <c r="C65" s="637" t="s">
        <v>447</v>
      </c>
      <c r="D65" s="637"/>
      <c r="E65" s="637"/>
      <c r="F65" s="637"/>
      <c r="G65" s="637"/>
      <c r="H65" s="637"/>
      <c r="I65" s="637"/>
      <c r="J65" s="637"/>
      <c r="K65" s="637"/>
      <c r="L65" s="637"/>
      <c r="M65" s="637"/>
      <c r="N65" s="637"/>
      <c r="O65" s="637"/>
      <c r="P65" s="637"/>
      <c r="Q65" s="637"/>
      <c r="R65" s="637"/>
      <c r="S65" s="637"/>
      <c r="T65" s="637"/>
      <c r="U65" s="637"/>
      <c r="V65" s="637"/>
      <c r="W65" s="637"/>
      <c r="X65" s="637"/>
      <c r="Y65" s="637"/>
      <c r="Z65" s="637"/>
      <c r="AA65" s="764"/>
      <c r="AB65" s="107"/>
      <c r="AC65" s="68">
        <v>200</v>
      </c>
    </row>
    <row r="66" spans="1:29" ht="15.75" thickBot="1">
      <c r="A66" s="760"/>
      <c r="B66" s="757"/>
      <c r="C66" s="742" t="s">
        <v>448</v>
      </c>
      <c r="D66" s="743"/>
      <c r="E66" s="743"/>
      <c r="F66" s="743"/>
      <c r="G66" s="743"/>
      <c r="H66" s="743"/>
      <c r="I66" s="743"/>
      <c r="J66" s="743"/>
      <c r="K66" s="743"/>
      <c r="L66" s="743"/>
      <c r="M66" s="743"/>
      <c r="N66" s="743"/>
      <c r="O66" s="743"/>
      <c r="P66" s="743"/>
      <c r="Q66" s="743"/>
      <c r="R66" s="743"/>
      <c r="S66" s="743"/>
      <c r="T66" s="743"/>
      <c r="U66" s="743"/>
      <c r="V66" s="743"/>
      <c r="W66" s="743"/>
      <c r="X66" s="743"/>
      <c r="Y66" s="743"/>
      <c r="Z66" s="743"/>
      <c r="AA66" s="744"/>
      <c r="AB66" s="107"/>
      <c r="AC66" s="68">
        <v>138</v>
      </c>
    </row>
    <row r="67" spans="1:29" ht="15" customHeight="1">
      <c r="A67" s="791" t="s">
        <v>172</v>
      </c>
      <c r="B67" s="777" t="s">
        <v>454</v>
      </c>
      <c r="C67" s="724" t="s">
        <v>453</v>
      </c>
      <c r="D67" s="725"/>
      <c r="E67" s="725"/>
      <c r="F67" s="725"/>
      <c r="G67" s="725"/>
      <c r="H67" s="725"/>
      <c r="I67" s="725"/>
      <c r="J67" s="725"/>
      <c r="K67" s="725"/>
      <c r="L67" s="725"/>
      <c r="M67" s="726"/>
      <c r="N67" s="131">
        <f>N70/$R$70</f>
        <v>0.87378640776699024</v>
      </c>
      <c r="O67" s="131"/>
      <c r="P67" s="131">
        <f>P70/$R$70</f>
        <v>0.87378640776699024</v>
      </c>
      <c r="Q67" s="131">
        <f>Q70/$R$70</f>
        <v>1</v>
      </c>
      <c r="R67" s="131">
        <f>R70/$R$70</f>
        <v>1</v>
      </c>
      <c r="S67" s="131"/>
      <c r="T67" s="131">
        <f>T70/$R$70</f>
        <v>1.0606796116504855</v>
      </c>
      <c r="U67" s="142">
        <f t="shared" si="51" ref="U67:AA67">U70/$R$70*$AC$68</f>
        <v>1.6820388349514563</v>
      </c>
      <c r="V67" s="131">
        <f t="shared" si="51"/>
        <v>1.7803398058252426</v>
      </c>
      <c r="W67" s="131">
        <f t="shared" si="51"/>
        <v>1.8713592233009706</v>
      </c>
      <c r="X67" s="131">
        <f t="shared" si="51"/>
        <v>1.962378640776699</v>
      </c>
      <c r="Y67" s="131">
        <f t="shared" si="51"/>
        <v>1.962378640776699</v>
      </c>
      <c r="Z67" s="131">
        <f t="shared" si="51"/>
        <v>2.0606796116504853</v>
      </c>
      <c r="AA67" s="132">
        <f t="shared" si="51"/>
        <v>2.1516990291262132</v>
      </c>
      <c r="AB67" s="140" t="s">
        <v>395</v>
      </c>
      <c r="AC67" s="68">
        <v>200</v>
      </c>
    </row>
    <row r="68" spans="1:30" ht="15" customHeight="1">
      <c r="A68" s="792"/>
      <c r="B68" s="640"/>
      <c r="C68" s="727"/>
      <c r="D68" s="728"/>
      <c r="E68" s="728"/>
      <c r="F68" s="728"/>
      <c r="G68" s="728"/>
      <c r="H68" s="728"/>
      <c r="I68" s="728"/>
      <c r="J68" s="728"/>
      <c r="K68" s="728"/>
      <c r="L68" s="728"/>
      <c r="M68" s="729"/>
      <c r="N68" s="133">
        <f>$AC$2/N67*1.3</f>
        <v>14.877777777777778</v>
      </c>
      <c r="O68" s="133"/>
      <c r="P68" s="133">
        <f>$AC$2/P67*1.3</f>
        <v>14.877777777777778</v>
      </c>
      <c r="Q68" s="133">
        <f>$AC$2/Q67*1.3</f>
        <v>13</v>
      </c>
      <c r="R68" s="133">
        <f>$AC$2/R67*1.3</f>
        <v>13</v>
      </c>
      <c r="S68" s="133"/>
      <c r="T68" s="133">
        <f t="shared" si="52" ref="T68:AA68">$AC$2/T67*1.3</f>
        <v>12.256292906178489</v>
      </c>
      <c r="U68" s="133">
        <f t="shared" si="52"/>
        <v>7.7287157287157289</v>
      </c>
      <c r="V68" s="133">
        <f t="shared" si="52"/>
        <v>7.3019768234492171</v>
      </c>
      <c r="W68" s="133">
        <f t="shared" si="52"/>
        <v>6.946822308690014</v>
      </c>
      <c r="X68" s="133">
        <f t="shared" si="52"/>
        <v>6.6246134817563389</v>
      </c>
      <c r="Y68" s="133">
        <f t="shared" si="52"/>
        <v>6.6246134817563389</v>
      </c>
      <c r="Z68" s="133">
        <f t="shared" si="52"/>
        <v>6.3085983510011792</v>
      </c>
      <c r="AA68" s="134">
        <f t="shared" si="52"/>
        <v>6.0417371686407231</v>
      </c>
      <c r="AB68" s="140" t="s">
        <v>376</v>
      </c>
      <c r="AC68" s="68">
        <v>1.50</v>
      </c>
      <c r="AD68" t="s">
        <v>395</v>
      </c>
    </row>
    <row r="69" spans="1:29" ht="15">
      <c r="A69" s="792"/>
      <c r="B69" s="640"/>
      <c r="C69" s="730"/>
      <c r="D69" s="731"/>
      <c r="E69" s="731"/>
      <c r="F69" s="731"/>
      <c r="G69" s="731"/>
      <c r="H69" s="731"/>
      <c r="I69" s="731"/>
      <c r="J69" s="731"/>
      <c r="K69" s="731"/>
      <c r="L69" s="731"/>
      <c r="M69" s="732"/>
      <c r="N69" s="118">
        <f>$AC$2/N68*2*$AC$71</f>
        <v>268.85735623599703</v>
      </c>
      <c r="O69" s="118"/>
      <c r="P69" s="118">
        <f>$AC$2/P68*2*$AC$71</f>
        <v>268.85735623599703</v>
      </c>
      <c r="Q69" s="118">
        <f>$AC$2/Q68*2*$AC$71</f>
        <v>307.69230769230774</v>
      </c>
      <c r="R69" s="118">
        <f>$AC$2/R68*2*$AC$71</f>
        <v>307.69230769230774</v>
      </c>
      <c r="S69" s="118"/>
      <c r="T69" s="118">
        <f t="shared" si="53" ref="T69:AA69">$AC$2/T68*2*$AC$71</f>
        <v>326.36295743091864</v>
      </c>
      <c r="U69" s="118">
        <f t="shared" si="53"/>
        <v>517.55041075429426</v>
      </c>
      <c r="V69" s="118">
        <f t="shared" si="53"/>
        <v>547.79686333084385</v>
      </c>
      <c r="W69" s="118">
        <f t="shared" si="53"/>
        <v>575.80283793876015</v>
      </c>
      <c r="X69" s="118">
        <f t="shared" si="53"/>
        <v>603.80881254667656</v>
      </c>
      <c r="Y69" s="118">
        <f t="shared" si="53"/>
        <v>603.80881254667656</v>
      </c>
      <c r="Z69" s="118">
        <f t="shared" si="53"/>
        <v>634.05526512322615</v>
      </c>
      <c r="AA69" s="119">
        <f t="shared" si="53"/>
        <v>662.06123973114245</v>
      </c>
      <c r="AB69" s="140" t="s">
        <v>377</v>
      </c>
      <c r="AC69" s="68"/>
    </row>
    <row r="70" spans="1:29" ht="15.75" thickBot="1">
      <c r="A70" s="793"/>
      <c r="B70" s="778"/>
      <c r="C70" s="77">
        <v>426</v>
      </c>
      <c r="D70" s="77"/>
      <c r="E70" s="77">
        <v>530</v>
      </c>
      <c r="F70" s="77"/>
      <c r="G70" s="77">
        <v>530</v>
      </c>
      <c r="H70" s="77"/>
      <c r="I70" s="77">
        <v>630</v>
      </c>
      <c r="J70" s="77"/>
      <c r="K70" s="77">
        <v>630</v>
      </c>
      <c r="L70" s="77">
        <v>630</v>
      </c>
      <c r="M70" s="77">
        <v>630</v>
      </c>
      <c r="N70" s="77">
        <v>720</v>
      </c>
      <c r="O70" s="77"/>
      <c r="P70" s="77">
        <v>720</v>
      </c>
      <c r="Q70" s="77">
        <v>824</v>
      </c>
      <c r="R70" s="70">
        <v>824</v>
      </c>
      <c r="S70" s="70"/>
      <c r="T70" s="77">
        <v>874</v>
      </c>
      <c r="U70" s="71">
        <v>924</v>
      </c>
      <c r="V70" s="77">
        <v>978</v>
      </c>
      <c r="W70" s="77">
        <v>1028</v>
      </c>
      <c r="X70" s="72">
        <v>1078</v>
      </c>
      <c r="Y70" s="77">
        <v>1078</v>
      </c>
      <c r="Z70" s="77">
        <v>1132</v>
      </c>
      <c r="AA70" s="104">
        <v>1182</v>
      </c>
      <c r="AB70" s="107" t="s">
        <v>375</v>
      </c>
      <c r="AC70" s="68"/>
    </row>
    <row r="71" spans="1:29" ht="15" customHeight="1">
      <c r="A71" s="765" t="s">
        <v>314</v>
      </c>
      <c r="B71" s="756" t="s">
        <v>455</v>
      </c>
      <c r="C71" s="79">
        <f>$M$74/C74</f>
        <v>1.4788732394366197</v>
      </c>
      <c r="D71" s="79"/>
      <c r="E71" s="79">
        <f>$M$74/E74</f>
        <v>1.1886792452830188</v>
      </c>
      <c r="F71" s="79"/>
      <c r="G71" s="79">
        <f>$M$74/G74</f>
        <v>1.1886792452830188</v>
      </c>
      <c r="H71" s="79"/>
      <c r="I71" s="79">
        <f>$M$74/I74</f>
        <v>1</v>
      </c>
      <c r="J71" s="79"/>
      <c r="K71" s="79">
        <f>$M$74/K74</f>
        <v>1</v>
      </c>
      <c r="L71" s="79">
        <f>$M$74/L74</f>
        <v>1</v>
      </c>
      <c r="M71" s="79">
        <f>$M$74/M74</f>
        <v>1</v>
      </c>
      <c r="N71" s="733" t="s">
        <v>453</v>
      </c>
      <c r="O71" s="734"/>
      <c r="P71" s="734"/>
      <c r="Q71" s="734"/>
      <c r="R71" s="734"/>
      <c r="S71" s="734"/>
      <c r="T71" s="734"/>
      <c r="U71" s="734"/>
      <c r="V71" s="734"/>
      <c r="W71" s="734"/>
      <c r="X71" s="734"/>
      <c r="Y71" s="734"/>
      <c r="Z71" s="734"/>
      <c r="AA71" s="735"/>
      <c r="AB71" s="140" t="s">
        <v>395</v>
      </c>
      <c r="AC71" s="68">
        <v>200</v>
      </c>
    </row>
    <row r="72" spans="1:29" ht="15" customHeight="1">
      <c r="A72" s="794"/>
      <c r="B72" s="641"/>
      <c r="C72" s="80">
        <f t="shared" si="54" ref="C72:L72">C71*17</f>
        <v>25.140845070422536</v>
      </c>
      <c r="D72" s="80"/>
      <c r="E72" s="80">
        <f t="shared" si="54"/>
        <v>20.20754716981132</v>
      </c>
      <c r="F72" s="80"/>
      <c r="G72" s="80">
        <f t="shared" si="54"/>
        <v>20.20754716981132</v>
      </c>
      <c r="H72" s="80"/>
      <c r="I72" s="80">
        <f t="shared" si="54"/>
        <v>17</v>
      </c>
      <c r="J72" s="80"/>
      <c r="K72" s="80">
        <f t="shared" si="54"/>
        <v>17</v>
      </c>
      <c r="L72" s="80">
        <f t="shared" si="54"/>
        <v>17</v>
      </c>
      <c r="M72" s="80">
        <f>M71*17</f>
        <v>17</v>
      </c>
      <c r="N72" s="736"/>
      <c r="O72" s="737"/>
      <c r="P72" s="737"/>
      <c r="Q72" s="737"/>
      <c r="R72" s="737"/>
      <c r="S72" s="737"/>
      <c r="T72" s="737"/>
      <c r="U72" s="737"/>
      <c r="V72" s="737"/>
      <c r="W72" s="737"/>
      <c r="X72" s="737"/>
      <c r="Y72" s="737"/>
      <c r="Z72" s="737"/>
      <c r="AA72" s="738"/>
      <c r="AB72" s="107" t="s">
        <v>376</v>
      </c>
      <c r="AC72" s="68"/>
    </row>
    <row r="73" spans="1:29" ht="15">
      <c r="A73" s="766"/>
      <c r="B73" s="638"/>
      <c r="C73" s="118">
        <f>$AC$2/C72*2*$AC$71</f>
        <v>159.10364145658264</v>
      </c>
      <c r="D73" s="118"/>
      <c r="E73" s="118">
        <f>$AC$2/E72*2*$AC$71</f>
        <v>197.94584500466854</v>
      </c>
      <c r="F73" s="118"/>
      <c r="G73" s="118">
        <f>$AC$2/G72*2*$AC$71</f>
        <v>197.94584500466854</v>
      </c>
      <c r="H73" s="118"/>
      <c r="I73" s="118">
        <f>$AC$2/I72*2*$AC$71</f>
        <v>235.29411764705884</v>
      </c>
      <c r="J73" s="118"/>
      <c r="K73" s="118">
        <f>$AC$2/K72*2*$AC$71</f>
        <v>235.29411764705884</v>
      </c>
      <c r="L73" s="118">
        <f>$AC$2/L72*2*$AC$71</f>
        <v>235.29411764705884</v>
      </c>
      <c r="M73" s="118">
        <f>$AC$2/M72*2*$AC$71</f>
        <v>235.29411764705884</v>
      </c>
      <c r="N73" s="739"/>
      <c r="O73" s="740"/>
      <c r="P73" s="740"/>
      <c r="Q73" s="740"/>
      <c r="R73" s="740"/>
      <c r="S73" s="740"/>
      <c r="T73" s="740"/>
      <c r="U73" s="740"/>
      <c r="V73" s="740"/>
      <c r="W73" s="740"/>
      <c r="X73" s="740"/>
      <c r="Y73" s="740"/>
      <c r="Z73" s="740"/>
      <c r="AA73" s="741"/>
      <c r="AB73" s="107" t="s">
        <v>378</v>
      </c>
      <c r="AC73" s="68"/>
    </row>
    <row r="74" spans="1:29" ht="15.75" thickBot="1">
      <c r="A74" s="767"/>
      <c r="B74" s="757"/>
      <c r="C74" s="77">
        <v>426</v>
      </c>
      <c r="D74" s="77"/>
      <c r="E74" s="77">
        <v>530</v>
      </c>
      <c r="F74" s="77"/>
      <c r="G74" s="77">
        <v>530</v>
      </c>
      <c r="H74" s="77"/>
      <c r="I74" s="77">
        <v>630</v>
      </c>
      <c r="J74" s="77"/>
      <c r="K74" s="77">
        <v>630</v>
      </c>
      <c r="L74" s="77">
        <v>630</v>
      </c>
      <c r="M74" s="73">
        <v>630</v>
      </c>
      <c r="N74" s="77">
        <v>720</v>
      </c>
      <c r="O74" s="77"/>
      <c r="P74" s="77">
        <v>824</v>
      </c>
      <c r="Q74" s="77">
        <v>824</v>
      </c>
      <c r="R74" s="70">
        <v>824</v>
      </c>
      <c r="S74" s="70"/>
      <c r="T74" s="77">
        <v>874</v>
      </c>
      <c r="U74" s="71">
        <v>924</v>
      </c>
      <c r="V74" s="77">
        <v>978</v>
      </c>
      <c r="W74" s="77">
        <v>1028</v>
      </c>
      <c r="X74" s="72">
        <v>1078</v>
      </c>
      <c r="Y74" s="77">
        <v>1078</v>
      </c>
      <c r="Z74" s="77">
        <v>1132</v>
      </c>
      <c r="AA74" s="104">
        <v>1182</v>
      </c>
      <c r="AB74" s="107" t="s">
        <v>375</v>
      </c>
      <c r="AC74" s="68"/>
    </row>
    <row r="75" spans="1:29" ht="15">
      <c r="A75" s="765" t="s">
        <v>176</v>
      </c>
      <c r="B75" s="756" t="s">
        <v>456</v>
      </c>
      <c r="C75" s="89">
        <v>24</v>
      </c>
      <c r="D75" s="89"/>
      <c r="E75" s="89"/>
      <c r="F75" s="89"/>
      <c r="G75" s="89"/>
      <c r="H75" s="89"/>
      <c r="I75" s="89">
        <v>22</v>
      </c>
      <c r="J75" s="89"/>
      <c r="K75" s="89"/>
      <c r="L75" s="89"/>
      <c r="M75" s="89"/>
      <c r="N75" s="89"/>
      <c r="O75" s="89"/>
      <c r="P75" s="89"/>
      <c r="Q75" s="89">
        <v>20</v>
      </c>
      <c r="R75" s="89"/>
      <c r="S75" s="89"/>
      <c r="T75" s="89"/>
      <c r="U75" s="89"/>
      <c r="V75" s="89"/>
      <c r="W75" s="89"/>
      <c r="X75" s="89"/>
      <c r="Y75" s="89"/>
      <c r="Z75" s="89"/>
      <c r="AA75" s="120"/>
      <c r="AB75" s="107" t="s">
        <v>376</v>
      </c>
      <c r="AC75" s="68">
        <v>200</v>
      </c>
    </row>
    <row r="76" spans="1:29" ht="15">
      <c r="A76" s="766"/>
      <c r="B76" s="638"/>
      <c r="C76" s="75">
        <f>$AC$2/C75*2*$AC$75</f>
        <v>166.66666666666669</v>
      </c>
      <c r="D76" s="75"/>
      <c r="E76" s="75"/>
      <c r="F76" s="75"/>
      <c r="G76" s="75"/>
      <c r="H76" s="75"/>
      <c r="I76" s="75">
        <f>$AC$2/I75*2*$AC$75</f>
        <v>181.81818181818181</v>
      </c>
      <c r="J76" s="75"/>
      <c r="K76" s="75"/>
      <c r="L76" s="75"/>
      <c r="M76" s="75"/>
      <c r="N76" s="75"/>
      <c r="O76" s="75"/>
      <c r="P76" s="75"/>
      <c r="Q76" s="75">
        <f>$AC$2/Q75*2*$AC$75</f>
        <v>200</v>
      </c>
      <c r="R76" s="75"/>
      <c r="S76" s="75"/>
      <c r="T76" s="75"/>
      <c r="U76" s="75"/>
      <c r="V76" s="75"/>
      <c r="W76" s="75"/>
      <c r="X76" s="75"/>
      <c r="Y76" s="75"/>
      <c r="Z76" s="75"/>
      <c r="AA76" s="101"/>
      <c r="AB76" s="107" t="s">
        <v>377</v>
      </c>
      <c r="AC76" s="68"/>
    </row>
    <row r="77" spans="1:29" ht="15.75" thickBot="1">
      <c r="A77" s="767"/>
      <c r="B77" s="757"/>
      <c r="C77" s="73" t="s">
        <v>383</v>
      </c>
      <c r="D77" s="73"/>
      <c r="E77" s="77" t="s">
        <v>383</v>
      </c>
      <c r="F77" s="77"/>
      <c r="G77" s="77" t="s">
        <v>383</v>
      </c>
      <c r="H77" s="77"/>
      <c r="I77" s="73" t="s">
        <v>382</v>
      </c>
      <c r="J77" s="73"/>
      <c r="K77" s="77" t="s">
        <v>382</v>
      </c>
      <c r="L77" s="77" t="s">
        <v>382</v>
      </c>
      <c r="M77" s="77" t="s">
        <v>382</v>
      </c>
      <c r="N77" s="77" t="s">
        <v>382</v>
      </c>
      <c r="O77" s="77"/>
      <c r="P77" s="77" t="s">
        <v>382</v>
      </c>
      <c r="Q77" s="73" t="s">
        <v>381</v>
      </c>
      <c r="R77" s="77" t="s">
        <v>381</v>
      </c>
      <c r="S77" s="77"/>
      <c r="T77" s="77" t="s">
        <v>381</v>
      </c>
      <c r="U77" s="77" t="s">
        <v>381</v>
      </c>
      <c r="V77" s="77" t="s">
        <v>381</v>
      </c>
      <c r="W77" s="77" t="s">
        <v>381</v>
      </c>
      <c r="X77" s="77" t="s">
        <v>381</v>
      </c>
      <c r="Y77" s="77" t="s">
        <v>381</v>
      </c>
      <c r="Z77" s="77" t="s">
        <v>381</v>
      </c>
      <c r="AA77" s="104" t="s">
        <v>381</v>
      </c>
      <c r="AB77" s="107" t="s">
        <v>380</v>
      </c>
      <c r="AC77" s="68"/>
    </row>
    <row r="78" spans="1:29" ht="15">
      <c r="A78" s="765" t="s">
        <v>177</v>
      </c>
      <c r="B78" s="756" t="s">
        <v>178</v>
      </c>
      <c r="C78" s="89">
        <v>22</v>
      </c>
      <c r="D78" s="89"/>
      <c r="E78" s="89"/>
      <c r="F78" s="89"/>
      <c r="G78" s="89"/>
      <c r="H78" s="89"/>
      <c r="I78" s="89">
        <v>20</v>
      </c>
      <c r="J78" s="89"/>
      <c r="K78" s="89"/>
      <c r="L78" s="89"/>
      <c r="M78" s="89"/>
      <c r="N78" s="89"/>
      <c r="O78" s="89"/>
      <c r="P78" s="89"/>
      <c r="Q78" s="89">
        <v>18</v>
      </c>
      <c r="R78" s="89"/>
      <c r="S78" s="89"/>
      <c r="T78" s="89"/>
      <c r="U78" s="89"/>
      <c r="V78" s="89"/>
      <c r="W78" s="89"/>
      <c r="X78" s="89"/>
      <c r="Y78" s="89"/>
      <c r="Z78" s="89"/>
      <c r="AA78" s="120"/>
      <c r="AB78" s="107" t="s">
        <v>376</v>
      </c>
      <c r="AC78" s="68">
        <v>200</v>
      </c>
    </row>
    <row r="79" spans="1:29" ht="15">
      <c r="A79" s="766"/>
      <c r="B79" s="638"/>
      <c r="C79" s="143">
        <f>$AC$2/C78*2*$AC$75</f>
        <v>181.81818181818181</v>
      </c>
      <c r="D79" s="143"/>
      <c r="E79" s="54"/>
      <c r="F79" s="54"/>
      <c r="G79" s="54"/>
      <c r="H79" s="54"/>
      <c r="I79" s="143">
        <f>$AC$2/I78*2*$AC$75</f>
        <v>200</v>
      </c>
      <c r="J79" s="143"/>
      <c r="K79" s="54"/>
      <c r="L79" s="54"/>
      <c r="M79" s="54"/>
      <c r="N79" s="54"/>
      <c r="O79" s="54"/>
      <c r="P79" s="54"/>
      <c r="Q79" s="143">
        <f>$AC$2/Q78*2*$AC$75</f>
        <v>222.22222222222223</v>
      </c>
      <c r="R79" s="54"/>
      <c r="S79" s="54"/>
      <c r="T79" s="54"/>
      <c r="U79" s="54"/>
      <c r="V79" s="54"/>
      <c r="W79" s="54"/>
      <c r="X79" s="54"/>
      <c r="Y79" s="54"/>
      <c r="Z79" s="54"/>
      <c r="AA79" s="144"/>
      <c r="AB79" s="107" t="s">
        <v>377</v>
      </c>
      <c r="AC79" s="68"/>
    </row>
    <row r="80" spans="1:29" ht="15">
      <c r="A80" s="766"/>
      <c r="B80" s="768"/>
      <c r="C80" s="97">
        <v>219</v>
      </c>
      <c r="D80" s="97"/>
      <c r="E80" s="13">
        <v>219</v>
      </c>
      <c r="F80" s="13"/>
      <c r="G80" s="13">
        <v>219</v>
      </c>
      <c r="H80" s="13"/>
      <c r="I80" s="97">
        <v>273</v>
      </c>
      <c r="J80" s="97"/>
      <c r="K80" s="13">
        <v>273</v>
      </c>
      <c r="L80" s="13">
        <v>273</v>
      </c>
      <c r="M80" s="13">
        <v>273</v>
      </c>
      <c r="N80" s="13">
        <v>273</v>
      </c>
      <c r="O80" s="13"/>
      <c r="P80" s="13">
        <v>273</v>
      </c>
      <c r="Q80" s="97">
        <v>377</v>
      </c>
      <c r="R80" s="13">
        <v>377</v>
      </c>
      <c r="S80" s="13"/>
      <c r="T80" s="13">
        <v>377</v>
      </c>
      <c r="U80" s="13">
        <v>377</v>
      </c>
      <c r="V80" s="13">
        <v>377</v>
      </c>
      <c r="W80" s="13">
        <v>377</v>
      </c>
      <c r="X80" s="13">
        <v>377</v>
      </c>
      <c r="Y80" s="13">
        <v>377</v>
      </c>
      <c r="Z80" s="13">
        <v>377</v>
      </c>
      <c r="AA80" s="113">
        <v>377</v>
      </c>
      <c r="AB80" s="107" t="s">
        <v>384</v>
      </c>
      <c r="AC80" s="68"/>
    </row>
    <row r="81" spans="1:29" ht="15" customHeight="1" thickBot="1">
      <c r="A81" s="767"/>
      <c r="B81" s="757"/>
      <c r="C81" s="742" t="s">
        <v>458</v>
      </c>
      <c r="D81" s="743"/>
      <c r="E81" s="743"/>
      <c r="F81" s="743"/>
      <c r="G81" s="743"/>
      <c r="H81" s="743"/>
      <c r="I81" s="743"/>
      <c r="J81" s="743"/>
      <c r="K81" s="743"/>
      <c r="L81" s="743"/>
      <c r="M81" s="743"/>
      <c r="N81" s="743"/>
      <c r="O81" s="743"/>
      <c r="P81" s="743"/>
      <c r="Q81" s="743"/>
      <c r="R81" s="743"/>
      <c r="S81" s="743"/>
      <c r="T81" s="743"/>
      <c r="U81" s="743"/>
      <c r="V81" s="743"/>
      <c r="W81" s="743"/>
      <c r="X81" s="743"/>
      <c r="Y81" s="743"/>
      <c r="Z81" s="743"/>
      <c r="AA81" s="744"/>
      <c r="AB81" s="107" t="s">
        <v>457</v>
      </c>
      <c r="AC81" s="68">
        <v>200</v>
      </c>
    </row>
    <row r="82" spans="1:29" ht="15.75" thickBot="1">
      <c r="A82" s="145"/>
      <c r="B82" s="146" t="s">
        <v>131</v>
      </c>
      <c r="C82" s="147"/>
      <c r="D82" s="147"/>
      <c r="E82" s="147"/>
      <c r="F82" s="147"/>
      <c r="G82" s="147"/>
      <c r="H82" s="147"/>
      <c r="I82" s="147"/>
      <c r="J82" s="147"/>
      <c r="K82" s="147"/>
      <c r="L82" s="147"/>
      <c r="M82" s="147"/>
      <c r="N82" s="147"/>
      <c r="O82" s="147"/>
      <c r="P82" s="147"/>
      <c r="Q82" s="147"/>
      <c r="R82" s="147"/>
      <c r="S82" s="147"/>
      <c r="T82" s="147"/>
      <c r="U82" s="147"/>
      <c r="V82" s="147"/>
      <c r="W82" s="147"/>
      <c r="X82" s="147"/>
      <c r="Y82" s="147"/>
      <c r="Z82" s="147"/>
      <c r="AA82" s="148"/>
      <c r="AB82" s="107"/>
      <c r="AC82" s="68"/>
    </row>
    <row r="83" spans="1:29" ht="15">
      <c r="A83" s="754" t="s">
        <v>182</v>
      </c>
      <c r="B83" s="756" t="s">
        <v>183</v>
      </c>
      <c r="C83" s="149"/>
      <c r="D83" s="149"/>
      <c r="E83" s="149"/>
      <c r="F83" s="149"/>
      <c r="G83" s="149"/>
      <c r="H83" s="149"/>
      <c r="I83" s="149"/>
      <c r="J83" s="149"/>
      <c r="K83" s="149"/>
      <c r="L83" s="149"/>
      <c r="M83" s="149"/>
      <c r="N83" s="149"/>
      <c r="O83" s="149"/>
      <c r="P83" s="149"/>
      <c r="Q83" s="149"/>
      <c r="R83" s="149"/>
      <c r="S83" s="535"/>
      <c r="T83" s="745" t="s">
        <v>462</v>
      </c>
      <c r="U83" s="746"/>
      <c r="V83" s="746"/>
      <c r="W83" s="746"/>
      <c r="X83" s="746"/>
      <c r="Y83" s="746"/>
      <c r="Z83" s="746"/>
      <c r="AA83" s="761"/>
      <c r="AB83" s="107"/>
      <c r="AC83" s="68">
        <v>183</v>
      </c>
    </row>
    <row r="84" spans="1:29" ht="15">
      <c r="A84" s="782"/>
      <c r="B84" s="638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536"/>
      <c r="T84" s="748"/>
      <c r="U84" s="749"/>
      <c r="V84" s="749"/>
      <c r="W84" s="749"/>
      <c r="X84" s="749"/>
      <c r="Y84" s="749"/>
      <c r="Z84" s="749"/>
      <c r="AA84" s="803"/>
      <c r="AB84" s="107"/>
      <c r="AC84" s="68"/>
    </row>
    <row r="85" spans="1:29" ht="15">
      <c r="A85" s="782"/>
      <c r="B85" s="638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536"/>
      <c r="T85" s="748"/>
      <c r="U85" s="749"/>
      <c r="V85" s="749"/>
      <c r="W85" s="749"/>
      <c r="X85" s="749"/>
      <c r="Y85" s="749"/>
      <c r="Z85" s="749"/>
      <c r="AA85" s="803"/>
      <c r="AB85" s="107"/>
      <c r="AC85" s="68"/>
    </row>
    <row r="86" spans="1:29" ht="15.75" thickBot="1">
      <c r="A86" s="755"/>
      <c r="B86" s="757"/>
      <c r="C86" s="150"/>
      <c r="D86" s="150"/>
      <c r="E86" s="150"/>
      <c r="F86" s="150"/>
      <c r="G86" s="150"/>
      <c r="H86" s="150"/>
      <c r="I86" s="150"/>
      <c r="J86" s="150"/>
      <c r="K86" s="150"/>
      <c r="L86" s="150"/>
      <c r="M86" s="150"/>
      <c r="N86" s="150"/>
      <c r="O86" s="150"/>
      <c r="P86" s="150"/>
      <c r="Q86" s="150"/>
      <c r="R86" s="150"/>
      <c r="S86" s="537"/>
      <c r="T86" s="742"/>
      <c r="U86" s="743"/>
      <c r="V86" s="743"/>
      <c r="W86" s="743"/>
      <c r="X86" s="743"/>
      <c r="Y86" s="743"/>
      <c r="Z86" s="743"/>
      <c r="AA86" s="744"/>
      <c r="AB86" s="107"/>
      <c r="AC86" s="68"/>
    </row>
    <row r="87" spans="1:29" ht="30.75" thickBot="1">
      <c r="A87" s="130" t="s">
        <v>185</v>
      </c>
      <c r="B87" s="76" t="s">
        <v>186</v>
      </c>
      <c r="C87" s="772" t="s">
        <v>460</v>
      </c>
      <c r="D87" s="773"/>
      <c r="E87" s="773"/>
      <c r="F87" s="773"/>
      <c r="G87" s="773"/>
      <c r="H87" s="773"/>
      <c r="I87" s="773"/>
      <c r="J87" s="773"/>
      <c r="K87" s="773"/>
      <c r="L87" s="773"/>
      <c r="M87" s="773"/>
      <c r="N87" s="773"/>
      <c r="O87" s="773"/>
      <c r="P87" s="773"/>
      <c r="Q87" s="773"/>
      <c r="R87" s="773"/>
      <c r="S87" s="773"/>
      <c r="T87" s="773"/>
      <c r="U87" s="773"/>
      <c r="V87" s="773"/>
      <c r="W87" s="773"/>
      <c r="X87" s="773"/>
      <c r="Y87" s="773"/>
      <c r="Z87" s="773"/>
      <c r="AA87" s="774"/>
      <c r="AC87" s="68">
        <v>183</v>
      </c>
    </row>
    <row r="88" spans="1:29" ht="15">
      <c r="A88" s="754" t="s">
        <v>188</v>
      </c>
      <c r="B88" s="795" t="s">
        <v>438</v>
      </c>
      <c r="C88" s="745" t="s">
        <v>445</v>
      </c>
      <c r="D88" s="746"/>
      <c r="E88" s="746"/>
      <c r="F88" s="746"/>
      <c r="G88" s="746"/>
      <c r="H88" s="746"/>
      <c r="I88" s="746"/>
      <c r="J88" s="746"/>
      <c r="K88" s="746"/>
      <c r="L88" s="746"/>
      <c r="M88" s="746"/>
      <c r="N88" s="746"/>
      <c r="O88" s="746"/>
      <c r="P88" s="746"/>
      <c r="Q88" s="746"/>
      <c r="R88" s="746"/>
      <c r="S88" s="746"/>
      <c r="T88" s="746"/>
      <c r="U88" s="746"/>
      <c r="V88" s="746"/>
      <c r="W88" s="746"/>
      <c r="X88" s="746"/>
      <c r="Y88" s="746"/>
      <c r="Z88" s="746"/>
      <c r="AA88" s="761"/>
      <c r="AC88" s="68">
        <v>200</v>
      </c>
    </row>
    <row r="89" spans="1:29" ht="15.75" thickBot="1">
      <c r="A89" s="782"/>
      <c r="B89" s="796"/>
      <c r="C89" s="637" t="s">
        <v>446</v>
      </c>
      <c r="D89" s="637"/>
      <c r="E89" s="637"/>
      <c r="F89" s="637"/>
      <c r="G89" s="637"/>
      <c r="H89" s="637"/>
      <c r="I89" s="637"/>
      <c r="J89" s="637"/>
      <c r="K89" s="637"/>
      <c r="L89" s="637"/>
      <c r="M89" s="637"/>
      <c r="N89" s="637"/>
      <c r="O89" s="637"/>
      <c r="P89" s="637"/>
      <c r="Q89" s="637"/>
      <c r="R89" s="637"/>
      <c r="S89" s="637"/>
      <c r="T89" s="637"/>
      <c r="U89" s="637"/>
      <c r="V89" s="637"/>
      <c r="W89" s="637"/>
      <c r="X89" s="637"/>
      <c r="Y89" s="637"/>
      <c r="Z89" s="637"/>
      <c r="AA89" s="764"/>
      <c r="AC89" s="68">
        <v>200</v>
      </c>
    </row>
    <row r="90" spans="1:29" ht="15">
      <c r="A90" s="779" t="s">
        <v>437</v>
      </c>
      <c r="B90" s="797" t="s">
        <v>439</v>
      </c>
      <c r="C90" s="745" t="s">
        <v>445</v>
      </c>
      <c r="D90" s="746"/>
      <c r="E90" s="746"/>
      <c r="F90" s="746"/>
      <c r="G90" s="746"/>
      <c r="H90" s="746"/>
      <c r="I90" s="746"/>
      <c r="J90" s="746"/>
      <c r="K90" s="746"/>
      <c r="L90" s="746"/>
      <c r="M90" s="746"/>
      <c r="N90" s="746"/>
      <c r="O90" s="746"/>
      <c r="P90" s="746"/>
      <c r="Q90" s="746"/>
      <c r="R90" s="746"/>
      <c r="S90" s="746"/>
      <c r="T90" s="746"/>
      <c r="U90" s="746"/>
      <c r="V90" s="746"/>
      <c r="W90" s="746"/>
      <c r="X90" s="746"/>
      <c r="Y90" s="746"/>
      <c r="Z90" s="746"/>
      <c r="AA90" s="761"/>
      <c r="AC90" s="68">
        <v>200</v>
      </c>
    </row>
    <row r="91" spans="1:29" ht="15">
      <c r="A91" s="780"/>
      <c r="B91" s="798"/>
      <c r="C91" s="637" t="s">
        <v>447</v>
      </c>
      <c r="D91" s="637"/>
      <c r="E91" s="637"/>
      <c r="F91" s="637"/>
      <c r="G91" s="637"/>
      <c r="H91" s="637"/>
      <c r="I91" s="637"/>
      <c r="J91" s="637"/>
      <c r="K91" s="637"/>
      <c r="L91" s="637"/>
      <c r="M91" s="637"/>
      <c r="N91" s="637"/>
      <c r="O91" s="637"/>
      <c r="P91" s="637"/>
      <c r="Q91" s="637"/>
      <c r="R91" s="637"/>
      <c r="S91" s="637"/>
      <c r="T91" s="637"/>
      <c r="U91" s="637"/>
      <c r="V91" s="637"/>
      <c r="W91" s="637"/>
      <c r="X91" s="637"/>
      <c r="Y91" s="637"/>
      <c r="Z91" s="637"/>
      <c r="AA91" s="764"/>
      <c r="AC91" s="68">
        <v>200</v>
      </c>
    </row>
    <row r="92" spans="1:29" ht="15.75" thickBot="1">
      <c r="A92" s="781"/>
      <c r="B92" s="799"/>
      <c r="C92" s="742" t="s">
        <v>448</v>
      </c>
      <c r="D92" s="743"/>
      <c r="E92" s="743"/>
      <c r="F92" s="743"/>
      <c r="G92" s="743"/>
      <c r="H92" s="743"/>
      <c r="I92" s="743"/>
      <c r="J92" s="743"/>
      <c r="K92" s="743"/>
      <c r="L92" s="743"/>
      <c r="M92" s="743"/>
      <c r="N92" s="743"/>
      <c r="O92" s="743"/>
      <c r="P92" s="743"/>
      <c r="Q92" s="743"/>
      <c r="R92" s="743"/>
      <c r="S92" s="743"/>
      <c r="T92" s="743"/>
      <c r="U92" s="743"/>
      <c r="V92" s="743"/>
      <c r="W92" s="743"/>
      <c r="X92" s="743"/>
      <c r="Y92" s="743"/>
      <c r="Z92" s="743"/>
      <c r="AA92" s="744"/>
      <c r="AC92" s="68">
        <v>138</v>
      </c>
    </row>
    <row r="93" spans="1:29" ht="15" customHeight="1">
      <c r="A93" s="754" t="s">
        <v>190</v>
      </c>
      <c r="B93" s="756" t="s">
        <v>385</v>
      </c>
      <c r="C93" s="149"/>
      <c r="D93" s="149"/>
      <c r="E93" s="149"/>
      <c r="F93" s="149"/>
      <c r="G93" s="149"/>
      <c r="H93" s="149"/>
      <c r="I93" s="149"/>
      <c r="J93" s="149"/>
      <c r="K93" s="149"/>
      <c r="L93" s="149"/>
      <c r="M93" s="149"/>
      <c r="N93" s="149"/>
      <c r="O93" s="149"/>
      <c r="P93" s="149"/>
      <c r="Q93" s="149"/>
      <c r="R93" s="149"/>
      <c r="S93" s="535"/>
      <c r="T93" s="745" t="s">
        <v>462</v>
      </c>
      <c r="U93" s="746"/>
      <c r="V93" s="746"/>
      <c r="W93" s="746"/>
      <c r="X93" s="746"/>
      <c r="Y93" s="746"/>
      <c r="Z93" s="746"/>
      <c r="AA93" s="761"/>
      <c r="AB93" s="107"/>
      <c r="AC93" s="68">
        <v>200</v>
      </c>
    </row>
    <row r="94" spans="1:29" ht="15" customHeight="1">
      <c r="A94" s="782"/>
      <c r="B94" s="638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536"/>
      <c r="T94" s="748"/>
      <c r="U94" s="749"/>
      <c r="V94" s="749"/>
      <c r="W94" s="749"/>
      <c r="X94" s="749"/>
      <c r="Y94" s="749"/>
      <c r="Z94" s="749"/>
      <c r="AA94" s="803"/>
      <c r="AB94" s="107"/>
      <c r="AC94" s="68"/>
    </row>
    <row r="95" spans="1:29" ht="15" customHeight="1">
      <c r="A95" s="782"/>
      <c r="B95" s="638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536"/>
      <c r="T95" s="748"/>
      <c r="U95" s="749"/>
      <c r="V95" s="749"/>
      <c r="W95" s="749"/>
      <c r="X95" s="749"/>
      <c r="Y95" s="749"/>
      <c r="Z95" s="749"/>
      <c r="AA95" s="803"/>
      <c r="AB95" s="107"/>
      <c r="AC95" s="68"/>
    </row>
    <row r="96" spans="1:29" ht="15.75" thickBot="1">
      <c r="A96" s="755"/>
      <c r="B96" s="757"/>
      <c r="C96" s="150"/>
      <c r="D96" s="150"/>
      <c r="E96" s="150"/>
      <c r="F96" s="150"/>
      <c r="G96" s="150"/>
      <c r="H96" s="150"/>
      <c r="I96" s="150"/>
      <c r="J96" s="150"/>
      <c r="K96" s="150"/>
      <c r="L96" s="150"/>
      <c r="M96" s="150"/>
      <c r="N96" s="150"/>
      <c r="O96" s="150"/>
      <c r="P96" s="150"/>
      <c r="Q96" s="150"/>
      <c r="R96" s="150"/>
      <c r="S96" s="537"/>
      <c r="T96" s="742"/>
      <c r="U96" s="743"/>
      <c r="V96" s="743"/>
      <c r="W96" s="743"/>
      <c r="X96" s="743"/>
      <c r="Y96" s="743"/>
      <c r="Z96" s="743"/>
      <c r="AA96" s="744"/>
      <c r="AB96" s="107"/>
      <c r="AC96" s="68"/>
    </row>
    <row r="97" spans="1:29" ht="15">
      <c r="A97" s="754" t="s">
        <v>348</v>
      </c>
      <c r="B97" s="756" t="s">
        <v>349</v>
      </c>
      <c r="C97" s="149"/>
      <c r="D97" s="149"/>
      <c r="E97" s="149"/>
      <c r="F97" s="149"/>
      <c r="G97" s="149"/>
      <c r="H97" s="149"/>
      <c r="I97" s="149"/>
      <c r="J97" s="149"/>
      <c r="K97" s="149"/>
      <c r="L97" s="149"/>
      <c r="M97" s="149"/>
      <c r="N97" s="149"/>
      <c r="O97" s="149"/>
      <c r="P97" s="149"/>
      <c r="Q97" s="149"/>
      <c r="R97" s="149"/>
      <c r="S97" s="535"/>
      <c r="T97" s="745" t="s">
        <v>449</v>
      </c>
      <c r="U97" s="746"/>
      <c r="V97" s="746"/>
      <c r="W97" s="746"/>
      <c r="X97" s="746"/>
      <c r="Y97" s="746"/>
      <c r="Z97" s="746"/>
      <c r="AA97" s="761"/>
      <c r="AB97" s="107"/>
      <c r="AC97" s="68">
        <v>183</v>
      </c>
    </row>
    <row r="98" spans="1:29" ht="15">
      <c r="A98" s="782"/>
      <c r="B98" s="638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536"/>
      <c r="T98" s="748"/>
      <c r="U98" s="749"/>
      <c r="V98" s="749"/>
      <c r="W98" s="749"/>
      <c r="X98" s="749"/>
      <c r="Y98" s="749"/>
      <c r="Z98" s="749"/>
      <c r="AA98" s="803"/>
      <c r="AB98" s="107"/>
      <c r="AC98" s="68"/>
    </row>
    <row r="99" spans="1:29" ht="15.75" thickBot="1">
      <c r="A99" s="755"/>
      <c r="B99" s="757"/>
      <c r="C99" s="150"/>
      <c r="D99" s="150"/>
      <c r="E99" s="150"/>
      <c r="F99" s="150"/>
      <c r="G99" s="150"/>
      <c r="H99" s="150"/>
      <c r="I99" s="150"/>
      <c r="J99" s="150"/>
      <c r="K99" s="150"/>
      <c r="L99" s="150"/>
      <c r="M99" s="150"/>
      <c r="N99" s="150"/>
      <c r="O99" s="150"/>
      <c r="P99" s="150"/>
      <c r="Q99" s="150"/>
      <c r="R99" s="150"/>
      <c r="S99" s="537"/>
      <c r="T99" s="742"/>
      <c r="U99" s="743"/>
      <c r="V99" s="743"/>
      <c r="W99" s="743"/>
      <c r="X99" s="743"/>
      <c r="Y99" s="743"/>
      <c r="Z99" s="743"/>
      <c r="AA99" s="744"/>
      <c r="AB99" s="107"/>
      <c r="AC99" s="68"/>
    </row>
    <row r="100" spans="1:29" ht="15">
      <c r="A100" s="754" t="s">
        <v>195</v>
      </c>
      <c r="B100" s="756" t="s">
        <v>26</v>
      </c>
      <c r="C100" s="775" t="s">
        <v>461</v>
      </c>
      <c r="D100" s="775"/>
      <c r="E100" s="775"/>
      <c r="F100" s="775"/>
      <c r="G100" s="775"/>
      <c r="H100" s="775"/>
      <c r="I100" s="775"/>
      <c r="J100" s="775"/>
      <c r="K100" s="775"/>
      <c r="L100" s="775"/>
      <c r="M100" s="775"/>
      <c r="N100" s="775"/>
      <c r="O100" s="775"/>
      <c r="P100" s="775"/>
      <c r="Q100" s="775"/>
      <c r="R100" s="775"/>
      <c r="S100" s="775"/>
      <c r="T100" s="775"/>
      <c r="U100" s="775"/>
      <c r="V100" s="775"/>
      <c r="W100" s="775"/>
      <c r="X100" s="775"/>
      <c r="Y100" s="775"/>
      <c r="Z100" s="775"/>
      <c r="AA100" s="776"/>
      <c r="AB100" s="107"/>
      <c r="AC100" s="68">
        <v>200</v>
      </c>
    </row>
    <row r="101" spans="1:29" ht="15.75" thickBot="1">
      <c r="A101" s="755"/>
      <c r="B101" s="757"/>
      <c r="C101" s="742" t="s">
        <v>445</v>
      </c>
      <c r="D101" s="743"/>
      <c r="E101" s="743"/>
      <c r="F101" s="743"/>
      <c r="G101" s="743"/>
      <c r="H101" s="743"/>
      <c r="I101" s="743"/>
      <c r="J101" s="743"/>
      <c r="K101" s="743"/>
      <c r="L101" s="743"/>
      <c r="M101" s="743"/>
      <c r="N101" s="743"/>
      <c r="O101" s="743"/>
      <c r="P101" s="743"/>
      <c r="Q101" s="743"/>
      <c r="R101" s="743"/>
      <c r="S101" s="743"/>
      <c r="T101" s="743"/>
      <c r="U101" s="743"/>
      <c r="V101" s="743"/>
      <c r="W101" s="743"/>
      <c r="X101" s="743"/>
      <c r="Y101" s="743"/>
      <c r="Z101" s="743"/>
      <c r="AA101" s="744"/>
      <c r="AB101" s="107"/>
      <c r="AC101" s="68">
        <v>200</v>
      </c>
    </row>
    <row r="102" spans="1:29" ht="15">
      <c r="A102" s="754" t="s">
        <v>325</v>
      </c>
      <c r="B102" s="756" t="s">
        <v>327</v>
      </c>
      <c r="C102" s="149"/>
      <c r="D102" s="149"/>
      <c r="E102" s="149"/>
      <c r="F102" s="149"/>
      <c r="G102" s="149"/>
      <c r="H102" s="149"/>
      <c r="I102" s="149"/>
      <c r="J102" s="149"/>
      <c r="K102" s="149"/>
      <c r="L102" s="149"/>
      <c r="M102" s="149"/>
      <c r="N102" s="149"/>
      <c r="O102" s="149"/>
      <c r="P102" s="149"/>
      <c r="Q102" s="149"/>
      <c r="R102" s="149"/>
      <c r="S102" s="535"/>
      <c r="T102" s="745" t="s">
        <v>449</v>
      </c>
      <c r="U102" s="746"/>
      <c r="V102" s="746"/>
      <c r="W102" s="746"/>
      <c r="X102" s="746"/>
      <c r="Y102" s="746"/>
      <c r="Z102" s="746"/>
      <c r="AA102" s="761"/>
      <c r="AB102" s="107"/>
      <c r="AC102" s="68">
        <v>200</v>
      </c>
    </row>
    <row r="103" spans="1:29" ht="15.75" thickBot="1">
      <c r="A103" s="755"/>
      <c r="B103" s="757"/>
      <c r="C103" s="150"/>
      <c r="D103" s="150"/>
      <c r="E103" s="150"/>
      <c r="F103" s="150"/>
      <c r="G103" s="150"/>
      <c r="H103" s="150"/>
      <c r="I103" s="150"/>
      <c r="J103" s="150"/>
      <c r="K103" s="150"/>
      <c r="L103" s="150"/>
      <c r="M103" s="150"/>
      <c r="N103" s="150"/>
      <c r="O103" s="150"/>
      <c r="P103" s="150"/>
      <c r="Q103" s="150"/>
      <c r="R103" s="150"/>
      <c r="S103" s="537"/>
      <c r="T103" s="742"/>
      <c r="U103" s="743"/>
      <c r="V103" s="743"/>
      <c r="W103" s="743"/>
      <c r="X103" s="743"/>
      <c r="Y103" s="743"/>
      <c r="Z103" s="743"/>
      <c r="AA103" s="744"/>
      <c r="AB103" s="107"/>
      <c r="AC103" s="68"/>
    </row>
    <row r="104" spans="1:29" ht="15">
      <c r="A104" s="765" t="s">
        <v>197</v>
      </c>
      <c r="B104" s="756" t="s">
        <v>110</v>
      </c>
      <c r="C104" s="149"/>
      <c r="D104" s="149"/>
      <c r="E104" s="149"/>
      <c r="F104" s="149"/>
      <c r="G104" s="149"/>
      <c r="H104" s="149"/>
      <c r="I104" s="149"/>
      <c r="J104" s="149"/>
      <c r="K104" s="149"/>
      <c r="L104" s="149"/>
      <c r="M104" s="149"/>
      <c r="N104" s="149"/>
      <c r="O104" s="149"/>
      <c r="P104" s="149"/>
      <c r="Q104" s="149"/>
      <c r="R104" s="149"/>
      <c r="S104" s="535"/>
      <c r="T104" s="745" t="s">
        <v>462</v>
      </c>
      <c r="U104" s="746"/>
      <c r="V104" s="746"/>
      <c r="W104" s="746"/>
      <c r="X104" s="746"/>
      <c r="Y104" s="746"/>
      <c r="Z104" s="746"/>
      <c r="AA104" s="761"/>
      <c r="AB104" s="107"/>
      <c r="AC104" s="68">
        <v>200</v>
      </c>
    </row>
    <row r="105" spans="1:29" ht="15">
      <c r="A105" s="766"/>
      <c r="B105" s="638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536"/>
      <c r="T105" s="748"/>
      <c r="U105" s="749"/>
      <c r="V105" s="749"/>
      <c r="W105" s="749"/>
      <c r="X105" s="749"/>
      <c r="Y105" s="749"/>
      <c r="Z105" s="749"/>
      <c r="AA105" s="803"/>
      <c r="AB105" s="107"/>
      <c r="AC105" s="68"/>
    </row>
    <row r="106" spans="1:29" ht="15.75" thickBot="1">
      <c r="A106" s="767"/>
      <c r="B106" s="757"/>
      <c r="C106" s="150"/>
      <c r="D106" s="150"/>
      <c r="E106" s="150"/>
      <c r="F106" s="150"/>
      <c r="G106" s="150"/>
      <c r="H106" s="150"/>
      <c r="I106" s="150"/>
      <c r="J106" s="150"/>
      <c r="K106" s="150"/>
      <c r="L106" s="150"/>
      <c r="M106" s="150"/>
      <c r="N106" s="150"/>
      <c r="O106" s="150"/>
      <c r="P106" s="150"/>
      <c r="Q106" s="150"/>
      <c r="R106" s="150"/>
      <c r="S106" s="537"/>
      <c r="T106" s="742"/>
      <c r="U106" s="743"/>
      <c r="V106" s="743"/>
      <c r="W106" s="743"/>
      <c r="X106" s="743"/>
      <c r="Y106" s="743"/>
      <c r="Z106" s="743"/>
      <c r="AA106" s="744"/>
      <c r="AB106" s="107"/>
      <c r="AC106" s="68"/>
    </row>
    <row r="107" spans="1:29" ht="15">
      <c r="A107" s="754" t="s">
        <v>193</v>
      </c>
      <c r="B107" s="756" t="s">
        <v>194</v>
      </c>
      <c r="C107" s="149"/>
      <c r="D107" s="149"/>
      <c r="E107" s="149"/>
      <c r="F107" s="149"/>
      <c r="G107" s="149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49"/>
      <c r="S107" s="535"/>
      <c r="T107" s="745" t="s">
        <v>462</v>
      </c>
      <c r="U107" s="746"/>
      <c r="V107" s="746"/>
      <c r="W107" s="746"/>
      <c r="X107" s="746"/>
      <c r="Y107" s="746"/>
      <c r="Z107" s="746"/>
      <c r="AA107" s="761"/>
      <c r="AB107" s="107"/>
      <c r="AC107" s="68">
        <v>183</v>
      </c>
    </row>
    <row r="108" spans="1:29" ht="15">
      <c r="A108" s="782"/>
      <c r="B108" s="638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536"/>
      <c r="T108" s="748"/>
      <c r="U108" s="749"/>
      <c r="V108" s="749"/>
      <c r="W108" s="749"/>
      <c r="X108" s="749"/>
      <c r="Y108" s="749"/>
      <c r="Z108" s="749"/>
      <c r="AA108" s="803"/>
      <c r="AB108" s="107"/>
      <c r="AC108" s="68"/>
    </row>
    <row r="109" spans="1:29" ht="15.75" thickBot="1">
      <c r="A109" s="755"/>
      <c r="B109" s="757"/>
      <c r="C109" s="150"/>
      <c r="D109" s="150"/>
      <c r="E109" s="150"/>
      <c r="F109" s="150"/>
      <c r="G109" s="150"/>
      <c r="H109" s="150"/>
      <c r="I109" s="150"/>
      <c r="J109" s="150"/>
      <c r="K109" s="150"/>
      <c r="L109" s="150"/>
      <c r="M109" s="150"/>
      <c r="N109" s="150"/>
      <c r="O109" s="150"/>
      <c r="P109" s="150"/>
      <c r="Q109" s="150"/>
      <c r="R109" s="150"/>
      <c r="S109" s="537"/>
      <c r="T109" s="742"/>
      <c r="U109" s="743"/>
      <c r="V109" s="743"/>
      <c r="W109" s="743"/>
      <c r="X109" s="743"/>
      <c r="Y109" s="743"/>
      <c r="Z109" s="743"/>
      <c r="AA109" s="744"/>
      <c r="AB109" s="107"/>
      <c r="AC109" s="68"/>
    </row>
    <row r="110" spans="1:29" ht="15">
      <c r="A110" s="765" t="s">
        <v>198</v>
      </c>
      <c r="B110" s="756" t="s">
        <v>112</v>
      </c>
      <c r="C110" s="149"/>
      <c r="D110" s="149"/>
      <c r="E110" s="149"/>
      <c r="F110" s="149"/>
      <c r="G110" s="149"/>
      <c r="H110" s="149"/>
      <c r="I110" s="149"/>
      <c r="J110" s="149"/>
      <c r="K110" s="149"/>
      <c r="L110" s="149"/>
      <c r="M110" s="149"/>
      <c r="N110" s="149"/>
      <c r="O110" s="149"/>
      <c r="P110" s="149"/>
      <c r="Q110" s="149"/>
      <c r="R110" s="149"/>
      <c r="S110" s="535"/>
      <c r="T110" s="745" t="s">
        <v>449</v>
      </c>
      <c r="U110" s="746"/>
      <c r="V110" s="746"/>
      <c r="W110" s="746"/>
      <c r="X110" s="746"/>
      <c r="Y110" s="746"/>
      <c r="Z110" s="746"/>
      <c r="AA110" s="761"/>
      <c r="AB110" s="107"/>
      <c r="AC110" s="68">
        <v>200</v>
      </c>
    </row>
    <row r="111" spans="1:29" ht="15">
      <c r="A111" s="766"/>
      <c r="B111" s="638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536"/>
      <c r="T111" s="748"/>
      <c r="U111" s="749"/>
      <c r="V111" s="749"/>
      <c r="W111" s="749"/>
      <c r="X111" s="749"/>
      <c r="Y111" s="749"/>
      <c r="Z111" s="749"/>
      <c r="AA111" s="803"/>
      <c r="AB111" s="107"/>
      <c r="AC111" s="68"/>
    </row>
    <row r="112" spans="1:29" ht="15.75" thickBot="1">
      <c r="A112" s="767"/>
      <c r="B112" s="757"/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  <c r="N112" s="150"/>
      <c r="O112" s="150"/>
      <c r="P112" s="150"/>
      <c r="Q112" s="150"/>
      <c r="R112" s="150"/>
      <c r="S112" s="537"/>
      <c r="T112" s="742"/>
      <c r="U112" s="743"/>
      <c r="V112" s="743"/>
      <c r="W112" s="743"/>
      <c r="X112" s="743"/>
      <c r="Y112" s="743"/>
      <c r="Z112" s="743"/>
      <c r="AA112" s="744"/>
      <c r="AB112" s="107"/>
      <c r="AC112" s="68"/>
    </row>
    <row r="113" spans="1:29" ht="15">
      <c r="A113" s="765" t="s">
        <v>199</v>
      </c>
      <c r="B113" s="756" t="s">
        <v>113</v>
      </c>
      <c r="C113" s="149"/>
      <c r="D113" s="149"/>
      <c r="E113" s="149"/>
      <c r="F113" s="149"/>
      <c r="G113" s="149"/>
      <c r="H113" s="149"/>
      <c r="I113" s="149"/>
      <c r="J113" s="149"/>
      <c r="K113" s="149"/>
      <c r="L113" s="149"/>
      <c r="M113" s="149"/>
      <c r="N113" s="149"/>
      <c r="O113" s="149"/>
      <c r="P113" s="149"/>
      <c r="Q113" s="149"/>
      <c r="R113" s="149"/>
      <c r="S113" s="535"/>
      <c r="T113" s="745" t="s">
        <v>449</v>
      </c>
      <c r="U113" s="746"/>
      <c r="V113" s="746"/>
      <c r="W113" s="746"/>
      <c r="X113" s="746"/>
      <c r="Y113" s="746"/>
      <c r="Z113" s="746"/>
      <c r="AA113" s="761"/>
      <c r="AB113" s="107"/>
      <c r="AC113" s="68">
        <v>200</v>
      </c>
    </row>
    <row r="114" spans="1:29" ht="15">
      <c r="A114" s="766"/>
      <c r="B114" s="638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536"/>
      <c r="T114" s="748"/>
      <c r="U114" s="749"/>
      <c r="V114" s="749"/>
      <c r="W114" s="749"/>
      <c r="X114" s="749"/>
      <c r="Y114" s="749"/>
      <c r="Z114" s="749"/>
      <c r="AA114" s="803"/>
      <c r="AB114" s="107"/>
      <c r="AC114" s="68"/>
    </row>
    <row r="115" spans="1:29" ht="15.75" thickBot="1">
      <c r="A115" s="767"/>
      <c r="B115" s="757"/>
      <c r="C115" s="150"/>
      <c r="D115" s="150"/>
      <c r="E115" s="150"/>
      <c r="F115" s="150"/>
      <c r="G115" s="150"/>
      <c r="H115" s="150"/>
      <c r="I115" s="150"/>
      <c r="J115" s="150"/>
      <c r="K115" s="150"/>
      <c r="L115" s="150"/>
      <c r="M115" s="150"/>
      <c r="N115" s="150"/>
      <c r="O115" s="150"/>
      <c r="P115" s="150"/>
      <c r="Q115" s="150"/>
      <c r="R115" s="150"/>
      <c r="S115" s="537"/>
      <c r="T115" s="742"/>
      <c r="U115" s="743"/>
      <c r="V115" s="743"/>
      <c r="W115" s="743"/>
      <c r="X115" s="743"/>
      <c r="Y115" s="743"/>
      <c r="Z115" s="743"/>
      <c r="AA115" s="744"/>
      <c r="AB115" s="107"/>
      <c r="AC115" s="68"/>
    </row>
    <row r="116" spans="1:29" ht="15.75" thickBot="1">
      <c r="A116" s="145"/>
      <c r="B116" s="146" t="s">
        <v>132</v>
      </c>
      <c r="C116" s="147"/>
      <c r="D116" s="147"/>
      <c r="E116" s="147"/>
      <c r="F116" s="147"/>
      <c r="G116" s="147"/>
      <c r="H116" s="147"/>
      <c r="I116" s="147"/>
      <c r="J116" s="147"/>
      <c r="K116" s="147"/>
      <c r="L116" s="147"/>
      <c r="M116" s="147"/>
      <c r="N116" s="147"/>
      <c r="O116" s="147"/>
      <c r="P116" s="147"/>
      <c r="Q116" s="147"/>
      <c r="R116" s="147"/>
      <c r="S116" s="147"/>
      <c r="T116" s="147"/>
      <c r="U116" s="147"/>
      <c r="V116" s="147"/>
      <c r="W116" s="147"/>
      <c r="X116" s="147"/>
      <c r="Y116" s="147"/>
      <c r="Z116" s="147"/>
      <c r="AA116" s="148"/>
      <c r="AB116" s="107"/>
      <c r="AC116" s="68"/>
    </row>
    <row r="117" spans="1:29" ht="15">
      <c r="A117" s="754" t="s">
        <v>200</v>
      </c>
      <c r="B117" s="756" t="s">
        <v>201</v>
      </c>
      <c r="C117" s="149"/>
      <c r="D117" s="149"/>
      <c r="E117" s="149"/>
      <c r="F117" s="149"/>
      <c r="G117" s="149"/>
      <c r="H117" s="149"/>
      <c r="I117" s="149"/>
      <c r="J117" s="149"/>
      <c r="K117" s="149"/>
      <c r="L117" s="149"/>
      <c r="M117" s="149"/>
      <c r="N117" s="149"/>
      <c r="O117" s="149"/>
      <c r="P117" s="149"/>
      <c r="Q117" s="149"/>
      <c r="R117" s="149"/>
      <c r="S117" s="535"/>
      <c r="T117" s="745" t="s">
        <v>462</v>
      </c>
      <c r="U117" s="746"/>
      <c r="V117" s="746"/>
      <c r="W117" s="746"/>
      <c r="X117" s="746"/>
      <c r="Y117" s="746"/>
      <c r="Z117" s="746"/>
      <c r="AA117" s="761"/>
      <c r="AB117" s="107"/>
      <c r="AC117" s="68">
        <v>183</v>
      </c>
    </row>
    <row r="118" spans="1:29" ht="15">
      <c r="A118" s="782"/>
      <c r="B118" s="638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536"/>
      <c r="T118" s="748"/>
      <c r="U118" s="749"/>
      <c r="V118" s="749"/>
      <c r="W118" s="749"/>
      <c r="X118" s="749"/>
      <c r="Y118" s="749"/>
      <c r="Z118" s="749"/>
      <c r="AA118" s="803"/>
      <c r="AB118" s="107"/>
      <c r="AC118" s="68"/>
    </row>
    <row r="119" spans="1:29" ht="15.75" thickBot="1">
      <c r="A119" s="755"/>
      <c r="B119" s="757"/>
      <c r="C119" s="150"/>
      <c r="D119" s="150"/>
      <c r="E119" s="150"/>
      <c r="F119" s="150"/>
      <c r="G119" s="150"/>
      <c r="H119" s="150"/>
      <c r="I119" s="150"/>
      <c r="J119" s="150"/>
      <c r="K119" s="150"/>
      <c r="L119" s="150"/>
      <c r="M119" s="150"/>
      <c r="N119" s="150"/>
      <c r="O119" s="150"/>
      <c r="P119" s="150"/>
      <c r="Q119" s="150"/>
      <c r="R119" s="150"/>
      <c r="S119" s="537"/>
      <c r="T119" s="742"/>
      <c r="U119" s="743"/>
      <c r="V119" s="743"/>
      <c r="W119" s="743"/>
      <c r="X119" s="743"/>
      <c r="Y119" s="743"/>
      <c r="Z119" s="743"/>
      <c r="AA119" s="744"/>
      <c r="AB119" s="107"/>
      <c r="AC119" s="68"/>
    </row>
    <row r="120" spans="1:29" ht="15">
      <c r="A120" s="791" t="s">
        <v>205</v>
      </c>
      <c r="B120" s="777" t="s">
        <v>93</v>
      </c>
      <c r="C120" s="151">
        <f>$AC$2*$AC$120*2/C121</f>
        <v>2200</v>
      </c>
      <c r="D120" s="151"/>
      <c r="E120" s="151">
        <f>$AC$2*$AC$120*2/E121</f>
        <v>2300</v>
      </c>
      <c r="F120" s="151"/>
      <c r="G120" s="151">
        <f>$AC$2*$AC$120*2/G121</f>
        <v>2400</v>
      </c>
      <c r="H120" s="151"/>
      <c r="I120" s="151">
        <f>$AC$2*$AC$120*2/I121</f>
        <v>2500</v>
      </c>
      <c r="J120" s="151"/>
      <c r="K120" s="151">
        <f>$AC$2*$AC$120*2/K121</f>
        <v>2600</v>
      </c>
      <c r="L120" s="151">
        <f>$AC$2*$AC$120*2/L121</f>
        <v>2700</v>
      </c>
      <c r="M120" s="151">
        <f>$AC$2*$AC$120*2/M121</f>
        <v>2800</v>
      </c>
      <c r="N120" s="151">
        <f>$AC$2*$AC$120*2/N121</f>
        <v>2900</v>
      </c>
      <c r="O120" s="151"/>
      <c r="P120" s="151">
        <f>$AC$2*$AC$120*2/P121</f>
        <v>3100</v>
      </c>
      <c r="Q120" s="151">
        <f>$AC$2*$AC$120*2/Q121</f>
        <v>3200</v>
      </c>
      <c r="R120" s="151">
        <f>$AC$2*$AC$120*2/R121</f>
        <v>3300</v>
      </c>
      <c r="S120" s="151"/>
      <c r="T120" s="151">
        <f t="shared" si="55" ref="T120:AA120">$AC$2*$AC$120*2/T121</f>
        <v>3499.562554680665</v>
      </c>
      <c r="U120" s="151">
        <f t="shared" si="55"/>
        <v>3600.3600360036003</v>
      </c>
      <c r="V120" s="151">
        <f t="shared" si="55"/>
        <v>3700.2775208140611</v>
      </c>
      <c r="W120" s="151">
        <f t="shared" si="55"/>
        <v>3798.6704653371321</v>
      </c>
      <c r="X120" s="151">
        <f t="shared" si="55"/>
        <v>3898.6354775828459</v>
      </c>
      <c r="Y120" s="151">
        <f t="shared" si="55"/>
        <v>4000</v>
      </c>
      <c r="Z120" s="151">
        <f t="shared" si="55"/>
        <v>4098.3606557377052</v>
      </c>
      <c r="AA120" s="152">
        <f t="shared" si="55"/>
        <v>4201.680672268908</v>
      </c>
      <c r="AB120" t="s">
        <v>377</v>
      </c>
      <c r="AC120" s="68">
        <v>200</v>
      </c>
    </row>
    <row r="121" spans="1:29" ht="15.75" thickBot="1">
      <c r="A121" s="793"/>
      <c r="B121" s="778"/>
      <c r="C121" s="153">
        <v>1.8181818181818181</v>
      </c>
      <c r="D121" s="153"/>
      <c r="E121" s="153">
        <v>1.7391304347826086</v>
      </c>
      <c r="F121" s="153"/>
      <c r="G121" s="153">
        <v>1.6666666666666667</v>
      </c>
      <c r="H121" s="153"/>
      <c r="I121" s="153">
        <v>1.60</v>
      </c>
      <c r="J121" s="153"/>
      <c r="K121" s="153">
        <v>1.5384615384615385</v>
      </c>
      <c r="L121" s="153">
        <v>1.4814814814814814</v>
      </c>
      <c r="M121" s="153">
        <v>1.4285714285714286</v>
      </c>
      <c r="N121" s="153">
        <v>1.3793103448275863</v>
      </c>
      <c r="O121" s="153"/>
      <c r="P121" s="153">
        <v>1.2903225806451613</v>
      </c>
      <c r="Q121" s="153">
        <v>1.25</v>
      </c>
      <c r="R121" s="154">
        <v>1.2121212121212122</v>
      </c>
      <c r="S121" s="154"/>
      <c r="T121" s="155">
        <v>1.143</v>
      </c>
      <c r="U121" s="155">
        <v>1.111</v>
      </c>
      <c r="V121" s="155">
        <v>1.081</v>
      </c>
      <c r="W121" s="155">
        <v>1.0529999999999999</v>
      </c>
      <c r="X121" s="156">
        <v>1.026</v>
      </c>
      <c r="Y121" s="70">
        <v>1</v>
      </c>
      <c r="Z121" s="155">
        <v>0.97599999999999998</v>
      </c>
      <c r="AA121" s="157">
        <v>0.95199999999999996</v>
      </c>
      <c r="AB121" t="s">
        <v>376</v>
      </c>
      <c r="AC121" s="68"/>
    </row>
    <row r="122" spans="1:29" ht="15">
      <c r="A122" s="791" t="s">
        <v>206</v>
      </c>
      <c r="B122" s="777" t="s">
        <v>94</v>
      </c>
      <c r="C122" s="151">
        <f>$AC$2*$AC$122/C123</f>
        <v>913.95398398152645</v>
      </c>
      <c r="D122" s="151"/>
      <c r="E122" s="151">
        <f>$AC$2*$AC$122/E123</f>
        <v>1061.4239302359249</v>
      </c>
      <c r="F122" s="151"/>
      <c r="G122" s="151">
        <f>$AC$2*$AC$122/G123</f>
        <v>1083.7242635719556</v>
      </c>
      <c r="H122" s="151"/>
      <c r="I122" s="151">
        <f>$AC$2*$AC$122/I123</f>
        <v>1226.1586506859599</v>
      </c>
      <c r="J122" s="151"/>
      <c r="K122" s="151">
        <f>$AC$2*$AC$122/K123</f>
        <v>1231.913575417839</v>
      </c>
      <c r="L122" s="151">
        <f>$AC$2*$AC$122/L123</f>
        <v>1244.8621560645665</v>
      </c>
      <c r="M122" s="151">
        <f>$AC$2*$AC$122/M123</f>
        <v>1251.6961291836728</v>
      </c>
      <c r="N122" s="151">
        <f>$AC$2*$AC$122/N123</f>
        <v>1370.7511345744188</v>
      </c>
      <c r="O122" s="151"/>
      <c r="P122" s="151">
        <f>$AC$2*$AC$122/P123</f>
        <v>1388.375591565798</v>
      </c>
      <c r="Q122" s="151">
        <f>$AC$2*$AC$122/Q123</f>
        <v>1531.5293442712871</v>
      </c>
      <c r="R122" s="151">
        <f>$AC$2*$AC$122/R123</f>
        <v>1544.4779249180149</v>
      </c>
      <c r="S122" s="151"/>
      <c r="T122" s="151">
        <f t="shared" si="56" ref="T122:AA122">$AC$2*$AC$122/T123</f>
        <v>1677.9661016949158</v>
      </c>
      <c r="U122" s="151">
        <f t="shared" si="56"/>
        <v>1748.0225988700565</v>
      </c>
      <c r="V122" s="151">
        <f t="shared" si="56"/>
        <v>1816.9491525423728</v>
      </c>
      <c r="W122" s="151">
        <f t="shared" si="56"/>
        <v>1941.2429378531076</v>
      </c>
      <c r="X122" s="151">
        <f t="shared" si="56"/>
        <v>2000</v>
      </c>
      <c r="Y122" s="151">
        <f t="shared" si="56"/>
        <v>2000</v>
      </c>
      <c r="Z122" s="151">
        <f t="shared" si="56"/>
        <v>2114.1242937853108</v>
      </c>
      <c r="AA122" s="152">
        <f t="shared" si="56"/>
        <v>2169.4915254237285</v>
      </c>
      <c r="AB122" t="s">
        <v>377</v>
      </c>
      <c r="AC122" s="68">
        <v>200</v>
      </c>
    </row>
    <row r="123" spans="1:29" ht="15.75" thickBot="1">
      <c r="A123" s="793"/>
      <c r="B123" s="778"/>
      <c r="C123" s="153">
        <v>2.1882939787485247</v>
      </c>
      <c r="D123" s="153"/>
      <c r="E123" s="153">
        <v>1.8842612673669945</v>
      </c>
      <c r="F123" s="153"/>
      <c r="G123" s="153">
        <v>1.845487885828079</v>
      </c>
      <c r="H123" s="153"/>
      <c r="I123" s="153">
        <v>1.6311102962745676</v>
      </c>
      <c r="J123" s="153"/>
      <c r="K123" s="153">
        <v>1.6234905109489051</v>
      </c>
      <c r="L123" s="153">
        <v>1.6066035827795435</v>
      </c>
      <c r="M123" s="153">
        <v>1.5978318965517242</v>
      </c>
      <c r="N123" s="153">
        <v>1.4590540540540542</v>
      </c>
      <c r="O123" s="153"/>
      <c r="P123" s="153">
        <v>1.4405323834196893</v>
      </c>
      <c r="Q123" s="153">
        <v>1.3058842179426962</v>
      </c>
      <c r="R123" s="154">
        <v>1.2949359571495109</v>
      </c>
      <c r="S123" s="154"/>
      <c r="T123" s="156">
        <v>1.1919191919191916</v>
      </c>
      <c r="U123" s="156">
        <v>1.1441499676793794</v>
      </c>
      <c r="V123" s="156">
        <v>1.1007462686567164</v>
      </c>
      <c r="W123" s="156">
        <v>1.0302677532013969</v>
      </c>
      <c r="X123" s="158">
        <v>1</v>
      </c>
      <c r="Y123" s="159">
        <v>1</v>
      </c>
      <c r="Z123" s="156">
        <v>0.946018172100481</v>
      </c>
      <c r="AA123" s="160">
        <v>0.92187500000000022</v>
      </c>
      <c r="AB123" t="s">
        <v>376</v>
      </c>
      <c r="AC123" s="68"/>
    </row>
    <row r="124" spans="1:29" ht="15">
      <c r="A124" s="791" t="s">
        <v>207</v>
      </c>
      <c r="B124" s="777" t="s">
        <v>55</v>
      </c>
      <c r="C124" s="161">
        <f>$AC$2*$AC$124/C125</f>
        <v>20.454545454545457</v>
      </c>
      <c r="D124" s="161"/>
      <c r="E124" s="161">
        <f>$AC$2*$AC$124/E125</f>
        <v>15.789473684210526</v>
      </c>
      <c r="F124" s="161"/>
      <c r="G124" s="161">
        <f>$AC$2*$AC$124/G125</f>
        <v>14.516129032258064</v>
      </c>
      <c r="H124" s="161"/>
      <c r="I124" s="161">
        <f>$AC$2*$AC$124/I125</f>
        <v>12.328767123287671</v>
      </c>
      <c r="J124" s="161"/>
      <c r="K124" s="161">
        <f>$AC$2*$AC$124/K125</f>
        <v>11.688311688311687</v>
      </c>
      <c r="L124" s="161">
        <f>$AC$2*$AC$124/L125</f>
        <v>11.39240506329114</v>
      </c>
      <c r="M124" s="161">
        <f>$AC$2*$AC$124/M125</f>
        <v>11.249999999999998</v>
      </c>
      <c r="N124" s="161">
        <f>$AC$2*$AC$124/N125</f>
        <v>9.6774193548387082</v>
      </c>
      <c r="O124" s="161"/>
      <c r="P124" s="161">
        <f>$AC$2*$AC$124/P125</f>
        <v>9.375</v>
      </c>
      <c r="Q124" s="161">
        <f>$AC$2*$AC$124/Q125</f>
        <v>8.0357142857142847</v>
      </c>
      <c r="R124" s="161">
        <f>$AC$2*$AC$124/R125</f>
        <v>7.6923076923076916</v>
      </c>
      <c r="S124" s="161"/>
      <c r="T124" s="161">
        <f>$AC$2*$AC$124/T125</f>
        <v>5.3892215568862269</v>
      </c>
      <c r="U124" s="161">
        <f>$AC$2*$AC$124/U125</f>
        <v>5</v>
      </c>
      <c r="V124" s="161">
        <f t="shared" si="57" ref="V124">$AC$2*$AC$124/V125</f>
        <v>4.6632124352331612</v>
      </c>
      <c r="W124" s="161">
        <f t="shared" si="58" ref="W124">$AC$2*$AC$124/W125</f>
        <v>3.7500000000000004</v>
      </c>
      <c r="X124" s="161">
        <f t="shared" si="59" ref="X124">$AC$2*$AC$124/X125</f>
        <v>3.5573122529644263</v>
      </c>
      <c r="Y124" s="161">
        <f t="shared" si="60" ref="Y124">$AC$2*$AC$124/Y125</f>
        <v>3.5573122529644263</v>
      </c>
      <c r="Z124" s="161">
        <f t="shared" si="61" ref="Z124">$AC$2*$AC$124/Z125</f>
        <v>3.2846715328467146</v>
      </c>
      <c r="AA124" s="162">
        <f t="shared" si="62" ref="AA124">$AC$2*$AC$124/AA125</f>
        <v>2.8391167192429019</v>
      </c>
      <c r="AB124" t="s">
        <v>376</v>
      </c>
      <c r="AC124" s="68">
        <v>166</v>
      </c>
    </row>
    <row r="125" spans="1:29" ht="15">
      <c r="A125" s="792"/>
      <c r="B125" s="640"/>
      <c r="C125" s="163">
        <f t="shared" si="63" ref="C125:T125">332*C126</f>
        <v>81.155555555555551</v>
      </c>
      <c r="D125" s="163"/>
      <c r="E125" s="163">
        <f t="shared" si="63"/>
        <v>105.13333333333334</v>
      </c>
      <c r="F125" s="163"/>
      <c r="G125" s="163">
        <f t="shared" si="63"/>
        <v>114.35555555555555</v>
      </c>
      <c r="H125" s="163"/>
      <c r="I125" s="163">
        <f t="shared" si="63"/>
        <v>134.64444444444445</v>
      </c>
      <c r="J125" s="163"/>
      <c r="K125" s="163">
        <f t="shared" si="63"/>
        <v>142.02222222222224</v>
      </c>
      <c r="L125" s="163">
        <f t="shared" si="63"/>
        <v>145.71111111111111</v>
      </c>
      <c r="M125" s="163">
        <f t="shared" si="63"/>
        <v>147.55555555555557</v>
      </c>
      <c r="N125" s="163">
        <f t="shared" si="63"/>
        <v>171.53333333333336</v>
      </c>
      <c r="O125" s="163"/>
      <c r="P125" s="163">
        <f t="shared" si="63"/>
        <v>177.06666666666666</v>
      </c>
      <c r="Q125" s="163">
        <f t="shared" si="63"/>
        <v>206.57777777777778</v>
      </c>
      <c r="R125" s="163">
        <f t="shared" si="63"/>
        <v>215.80</v>
      </c>
      <c r="S125" s="163"/>
      <c r="T125" s="163">
        <f t="shared" si="63"/>
        <v>308.02222222222224</v>
      </c>
      <c r="U125" s="163">
        <f>332*U126</f>
        <v>332</v>
      </c>
      <c r="V125" s="163">
        <f t="shared" si="64" ref="V125:AA125">332*V126</f>
        <v>355.97777777777776</v>
      </c>
      <c r="W125" s="163">
        <f t="shared" si="64"/>
        <v>442.66666666666663</v>
      </c>
      <c r="X125" s="163">
        <f t="shared" si="64"/>
        <v>466.6444444444445</v>
      </c>
      <c r="Y125" s="163">
        <f t="shared" si="64"/>
        <v>466.6444444444445</v>
      </c>
      <c r="Z125" s="163">
        <f t="shared" si="64"/>
        <v>505.37777777777785</v>
      </c>
      <c r="AA125" s="164">
        <f t="shared" si="64"/>
        <v>584.68888888888898</v>
      </c>
      <c r="AB125" t="s">
        <v>377</v>
      </c>
      <c r="AC125" s="68"/>
    </row>
    <row r="126" spans="1:29" ht="15">
      <c r="A126" s="792"/>
      <c r="B126" s="640"/>
      <c r="C126" s="165">
        <f>C127/$U$127</f>
        <v>0.24444444444444444</v>
      </c>
      <c r="D126" s="165"/>
      <c r="E126" s="165">
        <f>E127/$U$127</f>
        <v>0.31666666666666671</v>
      </c>
      <c r="F126" s="165"/>
      <c r="G126" s="165">
        <f>G127/$U$127</f>
        <v>0.34444444444444444</v>
      </c>
      <c r="H126" s="165"/>
      <c r="I126" s="165">
        <f>I127/$U$127</f>
        <v>0.40555555555555556</v>
      </c>
      <c r="J126" s="165"/>
      <c r="K126" s="165">
        <f>K127/$U$127</f>
        <v>0.42777777777777781</v>
      </c>
      <c r="L126" s="165">
        <f>L127/$U$127</f>
        <v>0.43888888888888888</v>
      </c>
      <c r="M126" s="165">
        <f>M127/$U$127</f>
        <v>0.44444444444444448</v>
      </c>
      <c r="N126" s="165">
        <f>N127/$U$127</f>
        <v>0.51666666666666672</v>
      </c>
      <c r="O126" s="165"/>
      <c r="P126" s="165">
        <f>P127/$U$127</f>
        <v>0.53333333333333333</v>
      </c>
      <c r="Q126" s="165">
        <f>Q127/$U$127</f>
        <v>0.62222222222222223</v>
      </c>
      <c r="R126" s="165">
        <f>R127/$U$127</f>
        <v>0.65</v>
      </c>
      <c r="S126" s="165"/>
      <c r="T126" s="165">
        <f>T127/$U$127</f>
        <v>0.92777777777777781</v>
      </c>
      <c r="U126" s="165">
        <f>U127/$U$127</f>
        <v>1</v>
      </c>
      <c r="V126" s="165">
        <f t="shared" si="65" ref="V126">V127/$U$127</f>
        <v>1.0722222222222222</v>
      </c>
      <c r="W126" s="165">
        <f t="shared" si="66" ref="W126">W127/$U$127</f>
        <v>1.3333333333333333</v>
      </c>
      <c r="X126" s="165">
        <f t="shared" si="67" ref="X126">X127/$U$127</f>
        <v>1.4055555555555557</v>
      </c>
      <c r="Y126" s="165">
        <f t="shared" si="68" ref="Y126">Y127/$U$127</f>
        <v>1.4055555555555557</v>
      </c>
      <c r="Z126" s="165">
        <f t="shared" si="69" ref="Z126">Z127/$U$127</f>
        <v>1.5222222222222224</v>
      </c>
      <c r="AA126" s="166">
        <f t="shared" si="70" ref="AA126">AA127/$U$127</f>
        <v>1.7611111111111113</v>
      </c>
      <c r="AB126" t="s">
        <v>463</v>
      </c>
      <c r="AC126" s="68"/>
    </row>
    <row r="127" spans="1:29" ht="15.75" thickBot="1">
      <c r="A127" s="793"/>
      <c r="B127" s="778"/>
      <c r="C127" s="77">
        <v>0.043999999999999997</v>
      </c>
      <c r="D127" s="77"/>
      <c r="E127" s="77">
        <v>0.057000000000000002</v>
      </c>
      <c r="F127" s="77"/>
      <c r="G127" s="77">
        <v>0.062</v>
      </c>
      <c r="H127" s="77"/>
      <c r="I127" s="77">
        <v>0.072999999999999995</v>
      </c>
      <c r="J127" s="77"/>
      <c r="K127" s="77">
        <v>0.076999999999999999</v>
      </c>
      <c r="L127" s="77">
        <v>0.079000000000000001</v>
      </c>
      <c r="M127" s="77">
        <v>0.08</v>
      </c>
      <c r="N127" s="77">
        <v>0.092999999999999999</v>
      </c>
      <c r="O127" s="77"/>
      <c r="P127" s="77">
        <v>0.096000000000000002</v>
      </c>
      <c r="Q127" s="77">
        <v>0.112</v>
      </c>
      <c r="R127" s="77">
        <v>0.11700000000000001</v>
      </c>
      <c r="S127" s="77"/>
      <c r="T127" s="77">
        <v>0.16700000000000001</v>
      </c>
      <c r="U127" s="73">
        <v>0.18</v>
      </c>
      <c r="V127" s="77">
        <v>0.193</v>
      </c>
      <c r="W127" s="77">
        <v>0.24</v>
      </c>
      <c r="X127" s="167">
        <v>0.253</v>
      </c>
      <c r="Y127" s="153">
        <v>0.253</v>
      </c>
      <c r="Z127" s="153">
        <v>0.27400000000000002</v>
      </c>
      <c r="AA127" s="168">
        <v>0.317</v>
      </c>
      <c r="AB127" s="107" t="s">
        <v>464</v>
      </c>
      <c r="AC127" s="68"/>
    </row>
    <row r="128" spans="1:29" ht="15">
      <c r="A128" s="791" t="s">
        <v>208</v>
      </c>
      <c r="B128" s="777" t="s">
        <v>56</v>
      </c>
      <c r="C128" s="161">
        <f>$AC$2*$AC$128/C129</f>
        <v>20.454545454545457</v>
      </c>
      <c r="D128" s="161"/>
      <c r="E128" s="161">
        <f>$AC$2*$AC$128/E129</f>
        <v>15.789473684210526</v>
      </c>
      <c r="F128" s="161"/>
      <c r="G128" s="161">
        <f>$AC$2*$AC$128/G129</f>
        <v>14.516129032258064</v>
      </c>
      <c r="H128" s="161"/>
      <c r="I128" s="161">
        <f>$AC$2*$AC$128/I129</f>
        <v>12.328767123287671</v>
      </c>
      <c r="J128" s="161"/>
      <c r="K128" s="161">
        <f>$AC$2*$AC$128/K129</f>
        <v>11.688311688311687</v>
      </c>
      <c r="L128" s="161">
        <f>$AC$2*$AC$128/L129</f>
        <v>11.39240506329114</v>
      </c>
      <c r="M128" s="161">
        <f>$AC$2*$AC$128/M129</f>
        <v>11.249999999999998</v>
      </c>
      <c r="N128" s="161">
        <f>$AC$2*$AC$128/N129</f>
        <v>9.6774193548387082</v>
      </c>
      <c r="O128" s="161"/>
      <c r="P128" s="161">
        <f>$AC$2*$AC$128/P129</f>
        <v>9.375</v>
      </c>
      <c r="Q128" s="161">
        <f>$AC$2*$AC$128/Q129</f>
        <v>8.0357142857142847</v>
      </c>
      <c r="R128" s="161">
        <f>$AC$2*$AC$128/R129</f>
        <v>7.6923076923076916</v>
      </c>
      <c r="S128" s="161"/>
      <c r="T128" s="161">
        <f>$AC$2*$AC$128/T129</f>
        <v>5.3892215568862269</v>
      </c>
      <c r="U128" s="161">
        <f>$AC$2*$AC$128/U129</f>
        <v>5</v>
      </c>
      <c r="V128" s="161">
        <f t="shared" si="71" ref="V128">$AC$2*$AC$128/V129</f>
        <v>4.6632124352331612</v>
      </c>
      <c r="W128" s="161">
        <f t="shared" si="72" ref="W128">$AC$2*$AC$128/W129</f>
        <v>3.7500000000000004</v>
      </c>
      <c r="X128" s="161">
        <f t="shared" si="73" ref="X128">$AC$2*$AC$128/X129</f>
        <v>3.5573122529644263</v>
      </c>
      <c r="Y128" s="161">
        <f t="shared" si="74" ref="Y128">$AC$2*$AC$128/Y129</f>
        <v>3.5573122529644263</v>
      </c>
      <c r="Z128" s="161">
        <f t="shared" si="75" ref="Z128">$AC$2*$AC$128/Z129</f>
        <v>3.2846715328467146</v>
      </c>
      <c r="AA128" s="162">
        <f t="shared" si="76" ref="AA128">$AC$2*$AC$128/AA129</f>
        <v>2.8391167192429019</v>
      </c>
      <c r="AB128" t="s">
        <v>376</v>
      </c>
      <c r="AC128" s="68">
        <v>166</v>
      </c>
    </row>
    <row r="129" spans="1:29" ht="15">
      <c r="A129" s="792"/>
      <c r="B129" s="640"/>
      <c r="C129" s="163">
        <f t="shared" si="77" ref="C129:T129">332*C130</f>
        <v>81.155555555555551</v>
      </c>
      <c r="D129" s="163"/>
      <c r="E129" s="163">
        <f t="shared" si="77"/>
        <v>105.13333333333334</v>
      </c>
      <c r="F129" s="163"/>
      <c r="G129" s="163">
        <f t="shared" si="77"/>
        <v>114.35555555555555</v>
      </c>
      <c r="H129" s="163"/>
      <c r="I129" s="163">
        <f t="shared" si="77"/>
        <v>134.64444444444445</v>
      </c>
      <c r="J129" s="163"/>
      <c r="K129" s="163">
        <f t="shared" si="77"/>
        <v>142.02222222222224</v>
      </c>
      <c r="L129" s="163">
        <f t="shared" si="77"/>
        <v>145.71111111111111</v>
      </c>
      <c r="M129" s="163">
        <f t="shared" si="77"/>
        <v>147.55555555555557</v>
      </c>
      <c r="N129" s="163">
        <f t="shared" si="77"/>
        <v>171.53333333333336</v>
      </c>
      <c r="O129" s="163"/>
      <c r="P129" s="163">
        <f t="shared" si="77"/>
        <v>177.06666666666666</v>
      </c>
      <c r="Q129" s="163">
        <f t="shared" si="77"/>
        <v>206.57777777777778</v>
      </c>
      <c r="R129" s="163">
        <f t="shared" si="77"/>
        <v>215.80</v>
      </c>
      <c r="S129" s="163"/>
      <c r="T129" s="163">
        <f t="shared" si="77"/>
        <v>308.02222222222224</v>
      </c>
      <c r="U129" s="163">
        <f>332*U130</f>
        <v>332</v>
      </c>
      <c r="V129" s="163">
        <f t="shared" si="78" ref="V129:AA129">332*V130</f>
        <v>355.97777777777776</v>
      </c>
      <c r="W129" s="163">
        <f t="shared" si="78"/>
        <v>442.66666666666663</v>
      </c>
      <c r="X129" s="163">
        <f t="shared" si="78"/>
        <v>466.6444444444445</v>
      </c>
      <c r="Y129" s="163">
        <f t="shared" si="78"/>
        <v>466.6444444444445</v>
      </c>
      <c r="Z129" s="163">
        <f t="shared" si="78"/>
        <v>505.37777777777785</v>
      </c>
      <c r="AA129" s="164">
        <f t="shared" si="78"/>
        <v>584.68888888888898</v>
      </c>
      <c r="AB129" t="s">
        <v>377</v>
      </c>
      <c r="AC129" s="68"/>
    </row>
    <row r="130" spans="1:29" ht="15">
      <c r="A130" s="792"/>
      <c r="B130" s="640"/>
      <c r="C130" s="165">
        <f>C131/$U$131</f>
        <v>0.24444444444444444</v>
      </c>
      <c r="D130" s="165"/>
      <c r="E130" s="165">
        <f>E131/$U$131</f>
        <v>0.31666666666666671</v>
      </c>
      <c r="F130" s="165"/>
      <c r="G130" s="165">
        <f>G131/$U$131</f>
        <v>0.34444444444444444</v>
      </c>
      <c r="H130" s="165"/>
      <c r="I130" s="165">
        <f>I131/$U$131</f>
        <v>0.40555555555555556</v>
      </c>
      <c r="J130" s="165"/>
      <c r="K130" s="165">
        <f>K131/$U$131</f>
        <v>0.42777777777777781</v>
      </c>
      <c r="L130" s="165">
        <f>L131/$U$131</f>
        <v>0.43888888888888888</v>
      </c>
      <c r="M130" s="165">
        <f>M131/$U$131</f>
        <v>0.44444444444444448</v>
      </c>
      <c r="N130" s="165">
        <f>N131/$U$131</f>
        <v>0.51666666666666672</v>
      </c>
      <c r="O130" s="165"/>
      <c r="P130" s="165">
        <f>P131/$U$131</f>
        <v>0.53333333333333333</v>
      </c>
      <c r="Q130" s="165">
        <f>Q131/$U$131</f>
        <v>0.62222222222222223</v>
      </c>
      <c r="R130" s="165">
        <f>R131/$U$131</f>
        <v>0.65</v>
      </c>
      <c r="S130" s="165"/>
      <c r="T130" s="165">
        <f>T131/$U$131</f>
        <v>0.92777777777777781</v>
      </c>
      <c r="U130" s="165">
        <f>U131/$U$131</f>
        <v>1</v>
      </c>
      <c r="V130" s="165">
        <f t="shared" si="79" ref="V130">V131/$U$131</f>
        <v>1.0722222222222222</v>
      </c>
      <c r="W130" s="165">
        <f t="shared" si="80" ref="W130">W131/$U$131</f>
        <v>1.3333333333333333</v>
      </c>
      <c r="X130" s="165">
        <f t="shared" si="81" ref="X130">X131/$U$131</f>
        <v>1.4055555555555557</v>
      </c>
      <c r="Y130" s="165">
        <f t="shared" si="82" ref="Y130">Y131/$U$131</f>
        <v>1.4055555555555557</v>
      </c>
      <c r="Z130" s="165">
        <f t="shared" si="83" ref="Z130">Z131/$U$131</f>
        <v>1.5222222222222224</v>
      </c>
      <c r="AA130" s="166">
        <f t="shared" si="84" ref="AA130">AA131/$U$131</f>
        <v>1.7611111111111113</v>
      </c>
      <c r="AB130" t="s">
        <v>463</v>
      </c>
      <c r="AC130" s="68"/>
    </row>
    <row r="131" spans="1:29" ht="15.75" thickBot="1">
      <c r="A131" s="793"/>
      <c r="B131" s="778"/>
      <c r="C131" s="77">
        <v>0.043999999999999997</v>
      </c>
      <c r="D131" s="77"/>
      <c r="E131" s="77">
        <v>0.057000000000000002</v>
      </c>
      <c r="F131" s="77"/>
      <c r="G131" s="77">
        <v>0.062</v>
      </c>
      <c r="H131" s="77"/>
      <c r="I131" s="77">
        <v>0.072999999999999995</v>
      </c>
      <c r="J131" s="77"/>
      <c r="K131" s="77">
        <v>0.076999999999999999</v>
      </c>
      <c r="L131" s="77">
        <v>0.079000000000000001</v>
      </c>
      <c r="M131" s="77">
        <v>0.08</v>
      </c>
      <c r="N131" s="77">
        <v>0.092999999999999999</v>
      </c>
      <c r="O131" s="77"/>
      <c r="P131" s="77">
        <v>0.096000000000000002</v>
      </c>
      <c r="Q131" s="77">
        <v>0.112</v>
      </c>
      <c r="R131" s="77">
        <v>0.11700000000000001</v>
      </c>
      <c r="S131" s="77"/>
      <c r="T131" s="77">
        <v>0.16700000000000001</v>
      </c>
      <c r="U131" s="73">
        <v>0.18</v>
      </c>
      <c r="V131" s="77">
        <v>0.193</v>
      </c>
      <c r="W131" s="77">
        <v>0.24</v>
      </c>
      <c r="X131" s="167">
        <v>0.253</v>
      </c>
      <c r="Y131" s="153">
        <v>0.253</v>
      </c>
      <c r="Z131" s="153">
        <v>0.27400000000000002</v>
      </c>
      <c r="AA131" s="168">
        <v>0.317</v>
      </c>
      <c r="AB131" s="107" t="s">
        <v>464</v>
      </c>
      <c r="AC131" s="68"/>
    </row>
    <row r="132" spans="1:29" ht="15">
      <c r="A132" s="765" t="s">
        <v>209</v>
      </c>
      <c r="B132" s="801" t="s">
        <v>57</v>
      </c>
      <c r="C132" s="775" t="s">
        <v>504</v>
      </c>
      <c r="D132" s="775"/>
      <c r="E132" s="775"/>
      <c r="F132" s="775"/>
      <c r="G132" s="775"/>
      <c r="H132" s="775"/>
      <c r="I132" s="775"/>
      <c r="J132" s="775"/>
      <c r="K132" s="775"/>
      <c r="L132" s="775"/>
      <c r="M132" s="775"/>
      <c r="N132" s="775"/>
      <c r="O132" s="775"/>
      <c r="P132" s="775"/>
      <c r="Q132" s="775"/>
      <c r="R132" s="775"/>
      <c r="S132" s="775"/>
      <c r="T132" s="775"/>
      <c r="U132" s="775"/>
      <c r="V132" s="775"/>
      <c r="W132" s="775"/>
      <c r="X132" s="775"/>
      <c r="Y132" s="775"/>
      <c r="Z132" s="775"/>
      <c r="AA132" s="776"/>
      <c r="AB132" s="107"/>
      <c r="AC132" s="68">
        <v>183</v>
      </c>
    </row>
    <row r="133" spans="1:29" ht="15.75" thickBot="1">
      <c r="A133" s="800"/>
      <c r="B133" s="702"/>
      <c r="C133" s="172"/>
      <c r="D133" s="172"/>
      <c r="E133" s="172"/>
      <c r="F133" s="172"/>
      <c r="G133" s="172"/>
      <c r="H133" s="172"/>
      <c r="I133" s="172"/>
      <c r="J133" s="172"/>
      <c r="K133" s="172"/>
      <c r="L133" s="172"/>
      <c r="M133" s="172"/>
      <c r="N133" s="172"/>
      <c r="O133" s="172"/>
      <c r="P133" s="172"/>
      <c r="Q133" s="172"/>
      <c r="R133" s="172"/>
      <c r="S133" s="538"/>
      <c r="T133" s="804" t="s">
        <v>462</v>
      </c>
      <c r="U133" s="805"/>
      <c r="V133" s="805"/>
      <c r="W133" s="805"/>
      <c r="X133" s="805"/>
      <c r="Y133" s="805"/>
      <c r="Z133" s="805"/>
      <c r="AA133" s="806"/>
      <c r="AB133" s="107" t="s">
        <v>465</v>
      </c>
      <c r="AC133" s="68"/>
    </row>
    <row r="134" spans="1:29" ht="15">
      <c r="A134" s="765" t="s">
        <v>210</v>
      </c>
      <c r="B134" s="808" t="s">
        <v>114</v>
      </c>
      <c r="C134" s="173">
        <v>3.90</v>
      </c>
      <c r="D134" s="173"/>
      <c r="E134" s="173">
        <v>3.80</v>
      </c>
      <c r="F134" s="173"/>
      <c r="G134" s="173">
        <v>3.70</v>
      </c>
      <c r="H134" s="173"/>
      <c r="I134" s="173">
        <v>3.60</v>
      </c>
      <c r="J134" s="173"/>
      <c r="K134" s="173">
        <v>3.50</v>
      </c>
      <c r="L134" s="173">
        <v>3.40</v>
      </c>
      <c r="M134" s="173">
        <v>3.30</v>
      </c>
      <c r="N134" s="173">
        <v>3.20</v>
      </c>
      <c r="O134" s="173"/>
      <c r="P134" s="173">
        <v>3.10</v>
      </c>
      <c r="Q134" s="173">
        <v>3</v>
      </c>
      <c r="R134" s="173">
        <v>2.90</v>
      </c>
      <c r="S134" s="173"/>
      <c r="T134" s="173">
        <v>2.80</v>
      </c>
      <c r="U134" s="173">
        <v>2.70</v>
      </c>
      <c r="V134" s="173">
        <v>2.60</v>
      </c>
      <c r="W134" s="173">
        <v>2.50</v>
      </c>
      <c r="X134" s="173">
        <v>2.40</v>
      </c>
      <c r="Y134" s="173">
        <v>2.2999999999999998</v>
      </c>
      <c r="Z134" s="173">
        <v>2.2000000000000002</v>
      </c>
      <c r="AA134" s="174">
        <v>2.10</v>
      </c>
      <c r="AB134" t="s">
        <v>376</v>
      </c>
      <c r="AC134" s="68">
        <v>200</v>
      </c>
    </row>
    <row r="135" spans="1:29" ht="15.75" thickBot="1">
      <c r="A135" s="800"/>
      <c r="B135" s="809"/>
      <c r="C135" s="170">
        <f>$AC$2*$AC$134*2/C134</f>
        <v>1025.6410256410256</v>
      </c>
      <c r="D135" s="170"/>
      <c r="E135" s="170">
        <f>$AC$2*$AC$134*2/E134</f>
        <v>1052.6315789473686</v>
      </c>
      <c r="F135" s="170"/>
      <c r="G135" s="170">
        <f>$AC$2*$AC$134*2/G134</f>
        <v>1081.081081081081</v>
      </c>
      <c r="H135" s="170"/>
      <c r="I135" s="170">
        <f>$AC$2*$AC$134*2/I134</f>
        <v>1111.1111111111111</v>
      </c>
      <c r="J135" s="170"/>
      <c r="K135" s="170">
        <f>$AC$2*$AC$134*2/K134</f>
        <v>1142.8571428571429</v>
      </c>
      <c r="L135" s="170">
        <f>$AC$2*$AC$134*2/L134</f>
        <v>1176.4705882352941</v>
      </c>
      <c r="M135" s="170">
        <f>$AC$2*$AC$134*2/M134</f>
        <v>1212.1212121212122</v>
      </c>
      <c r="N135" s="170">
        <f>$AC$2*$AC$134*2/N134</f>
        <v>1250</v>
      </c>
      <c r="O135" s="170"/>
      <c r="P135" s="170">
        <f>$AC$2*$AC$134*2/P134</f>
        <v>1290.3225806451612</v>
      </c>
      <c r="Q135" s="170">
        <f>$AC$2*$AC$134*2/Q134</f>
        <v>1333.3333333333333</v>
      </c>
      <c r="R135" s="170">
        <f>$AC$2*$AC$134*2/R134</f>
        <v>1379.3103448275863</v>
      </c>
      <c r="S135" s="170"/>
      <c r="T135" s="170">
        <f t="shared" si="85" ref="T135:AA135">$AC$2*$AC$134*2/T134</f>
        <v>1428.5714285714287</v>
      </c>
      <c r="U135" s="170">
        <f t="shared" si="85"/>
        <v>1481.4814814814813</v>
      </c>
      <c r="V135" s="170">
        <f t="shared" si="85"/>
        <v>1538.4615384615383</v>
      </c>
      <c r="W135" s="170">
        <f t="shared" si="85"/>
        <v>1600</v>
      </c>
      <c r="X135" s="170">
        <f t="shared" si="85"/>
        <v>1666.6666666666667</v>
      </c>
      <c r="Y135" s="170">
        <f t="shared" si="85"/>
        <v>1739.1304347826087</v>
      </c>
      <c r="Z135" s="170">
        <f t="shared" si="85"/>
        <v>1818.181818181818</v>
      </c>
      <c r="AA135" s="171">
        <f t="shared" si="85"/>
        <v>1904.7619047619046</v>
      </c>
      <c r="AB135" s="107" t="s">
        <v>377</v>
      </c>
      <c r="AC135" s="68"/>
    </row>
    <row r="136" spans="1:29" ht="15" customHeight="1">
      <c r="A136" s="791" t="s">
        <v>211</v>
      </c>
      <c r="B136" s="777" t="s">
        <v>60</v>
      </c>
      <c r="C136" s="89">
        <f>$AC$138*C137</f>
        <v>0</v>
      </c>
      <c r="D136" s="89"/>
      <c r="E136" s="89">
        <f>$AC$138*E137</f>
        <v>0</v>
      </c>
      <c r="F136" s="89"/>
      <c r="G136" s="89">
        <f>$AC$138*G137</f>
        <v>0</v>
      </c>
      <c r="H136" s="89"/>
      <c r="I136" s="89">
        <f>$AC$138*I137</f>
        <v>0</v>
      </c>
      <c r="J136" s="89"/>
      <c r="K136" s="89">
        <f>$AC$138*K137</f>
        <v>0</v>
      </c>
      <c r="L136" s="89">
        <f>$AC$138*L137</f>
        <v>0</v>
      </c>
      <c r="M136" s="89">
        <f>$AC$138*M137</f>
        <v>0</v>
      </c>
      <c r="N136" s="89">
        <f>$AC$138*N137</f>
        <v>0</v>
      </c>
      <c r="O136" s="89"/>
      <c r="P136" s="89">
        <f>$AC$138*P137</f>
        <v>0</v>
      </c>
      <c r="Q136" s="89">
        <f>$AC$138*Q137</f>
        <v>0</v>
      </c>
      <c r="R136" s="745" t="s">
        <v>462</v>
      </c>
      <c r="S136" s="746"/>
      <c r="T136" s="746"/>
      <c r="U136" s="746"/>
      <c r="V136" s="746"/>
      <c r="W136" s="746"/>
      <c r="X136" s="746"/>
      <c r="Y136" s="746"/>
      <c r="Z136" s="746"/>
      <c r="AA136" s="761"/>
      <c r="AB136" t="s">
        <v>377</v>
      </c>
      <c r="AC136" s="68">
        <v>183</v>
      </c>
    </row>
    <row r="137" spans="1:30" ht="15">
      <c r="A137" s="792"/>
      <c r="B137" s="640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748"/>
      <c r="S137" s="749"/>
      <c r="T137" s="749"/>
      <c r="U137" s="749"/>
      <c r="V137" s="749"/>
      <c r="W137" s="749"/>
      <c r="X137" s="749"/>
      <c r="Y137" s="749"/>
      <c r="Z137" s="749"/>
      <c r="AA137" s="803"/>
      <c r="AB137" t="s">
        <v>466</v>
      </c>
      <c r="AC137" s="68">
        <v>1</v>
      </c>
      <c r="AD137" t="s">
        <v>467</v>
      </c>
    </row>
    <row r="138" spans="1:30" ht="15">
      <c r="A138" s="792"/>
      <c r="B138" s="640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751"/>
      <c r="S138" s="752"/>
      <c r="T138" s="752"/>
      <c r="U138" s="752"/>
      <c r="V138" s="752"/>
      <c r="W138" s="752"/>
      <c r="X138" s="752"/>
      <c r="Y138" s="752"/>
      <c r="Z138" s="752"/>
      <c r="AA138" s="807"/>
      <c r="AC138" s="68">
        <f>(80+20)*AC137</f>
        <v>100</v>
      </c>
      <c r="AD138" t="s">
        <v>468</v>
      </c>
    </row>
    <row r="139" spans="1:30" ht="15.75" thickBot="1">
      <c r="A139" s="793"/>
      <c r="B139" s="778"/>
      <c r="C139" s="762" t="s">
        <v>469</v>
      </c>
      <c r="D139" s="762"/>
      <c r="E139" s="762"/>
      <c r="F139" s="762"/>
      <c r="G139" s="762"/>
      <c r="H139" s="762"/>
      <c r="I139" s="762"/>
      <c r="J139" s="762"/>
      <c r="K139" s="762"/>
      <c r="L139" s="762"/>
      <c r="M139" s="762"/>
      <c r="N139" s="762"/>
      <c r="O139" s="762"/>
      <c r="P139" s="762"/>
      <c r="Q139" s="762"/>
      <c r="R139" s="762"/>
      <c r="S139" s="762"/>
      <c r="T139" s="762"/>
      <c r="U139" s="762"/>
      <c r="V139" s="762"/>
      <c r="W139" s="762"/>
      <c r="X139" s="762"/>
      <c r="Y139" s="762"/>
      <c r="Z139" s="762"/>
      <c r="AA139" s="763"/>
      <c r="AC139" s="175">
        <f>$AC$136*$AC$2/AC138</f>
        <v>18.30</v>
      </c>
      <c r="AD139" t="s">
        <v>470</v>
      </c>
    </row>
    <row r="140" spans="1:29" ht="15.75" thickBot="1">
      <c r="A140" s="145"/>
      <c r="B140" s="146" t="s">
        <v>140</v>
      </c>
      <c r="C140" s="147"/>
      <c r="D140" s="147"/>
      <c r="E140" s="147"/>
      <c r="F140" s="147"/>
      <c r="G140" s="147"/>
      <c r="H140" s="147"/>
      <c r="I140" s="147"/>
      <c r="J140" s="147"/>
      <c r="K140" s="147"/>
      <c r="L140" s="147"/>
      <c r="M140" s="147"/>
      <c r="N140" s="147"/>
      <c r="O140" s="147"/>
      <c r="P140" s="147"/>
      <c r="Q140" s="147"/>
      <c r="R140" s="147"/>
      <c r="S140" s="147"/>
      <c r="T140" s="147"/>
      <c r="U140" s="147"/>
      <c r="V140" s="147"/>
      <c r="W140" s="147"/>
      <c r="X140" s="147"/>
      <c r="Y140" s="147"/>
      <c r="Z140" s="147"/>
      <c r="AA140" s="148"/>
      <c r="AB140" s="107"/>
      <c r="AC140" s="68"/>
    </row>
    <row r="141" spans="1:29" ht="15">
      <c r="A141" s="754" t="s">
        <v>212</v>
      </c>
      <c r="B141" s="756" t="s">
        <v>213</v>
      </c>
      <c r="C141" s="149"/>
      <c r="D141" s="149"/>
      <c r="E141" s="149"/>
      <c r="F141" s="149"/>
      <c r="G141" s="149"/>
      <c r="H141" s="149"/>
      <c r="I141" s="149"/>
      <c r="J141" s="149"/>
      <c r="K141" s="149"/>
      <c r="L141" s="149"/>
      <c r="M141" s="149"/>
      <c r="N141" s="149"/>
      <c r="O141" s="149"/>
      <c r="P141" s="149"/>
      <c r="Q141" s="149"/>
      <c r="R141" s="745" t="s">
        <v>462</v>
      </c>
      <c r="S141" s="746"/>
      <c r="T141" s="746"/>
      <c r="U141" s="746"/>
      <c r="V141" s="746"/>
      <c r="W141" s="746"/>
      <c r="X141" s="746"/>
      <c r="Y141" s="746"/>
      <c r="Z141" s="746"/>
      <c r="AA141" s="761"/>
      <c r="AB141" s="107"/>
      <c r="AC141" s="68">
        <v>183</v>
      </c>
    </row>
    <row r="142" spans="1:29" ht="15">
      <c r="A142" s="782"/>
      <c r="B142" s="638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748"/>
      <c r="S142" s="749"/>
      <c r="T142" s="749"/>
      <c r="U142" s="749"/>
      <c r="V142" s="749"/>
      <c r="W142" s="749"/>
      <c r="X142" s="749"/>
      <c r="Y142" s="749"/>
      <c r="Z142" s="749"/>
      <c r="AA142" s="803"/>
      <c r="AB142" s="107"/>
      <c r="AC142" s="68"/>
    </row>
    <row r="143" spans="1:29" ht="15.75" thickBot="1">
      <c r="A143" s="755"/>
      <c r="B143" s="757"/>
      <c r="C143" s="150"/>
      <c r="D143" s="150"/>
      <c r="E143" s="150"/>
      <c r="F143" s="150"/>
      <c r="G143" s="150"/>
      <c r="H143" s="150"/>
      <c r="I143" s="150"/>
      <c r="J143" s="150"/>
      <c r="K143" s="150"/>
      <c r="L143" s="150"/>
      <c r="M143" s="150"/>
      <c r="N143" s="150"/>
      <c r="O143" s="150"/>
      <c r="P143" s="150"/>
      <c r="Q143" s="150"/>
      <c r="R143" s="742"/>
      <c r="S143" s="743"/>
      <c r="T143" s="743"/>
      <c r="U143" s="743"/>
      <c r="V143" s="743"/>
      <c r="W143" s="743"/>
      <c r="X143" s="743"/>
      <c r="Y143" s="743"/>
      <c r="Z143" s="743"/>
      <c r="AA143" s="744"/>
      <c r="AB143" s="107"/>
      <c r="AC143" s="68"/>
    </row>
    <row r="144" spans="1:29" ht="30.75" thickBot="1">
      <c r="A144" s="130" t="s">
        <v>214</v>
      </c>
      <c r="B144" s="76" t="s">
        <v>215</v>
      </c>
      <c r="C144" s="772" t="s">
        <v>471</v>
      </c>
      <c r="D144" s="773"/>
      <c r="E144" s="773"/>
      <c r="F144" s="773"/>
      <c r="G144" s="773"/>
      <c r="H144" s="773"/>
      <c r="I144" s="773"/>
      <c r="J144" s="773"/>
      <c r="K144" s="773"/>
      <c r="L144" s="773"/>
      <c r="M144" s="773"/>
      <c r="N144" s="773"/>
      <c r="O144" s="773"/>
      <c r="P144" s="773"/>
      <c r="Q144" s="773"/>
      <c r="R144" s="773"/>
      <c r="S144" s="773"/>
      <c r="T144" s="773"/>
      <c r="U144" s="773"/>
      <c r="V144" s="773"/>
      <c r="W144" s="773"/>
      <c r="X144" s="773"/>
      <c r="Y144" s="773"/>
      <c r="Z144" s="773"/>
      <c r="AA144" s="774"/>
      <c r="AB144" s="107"/>
      <c r="AC144" s="68">
        <v>200</v>
      </c>
    </row>
    <row r="145" spans="1:29" ht="15.75" thickBot="1">
      <c r="A145" s="130" t="s">
        <v>216</v>
      </c>
      <c r="B145" s="76" t="s">
        <v>217</v>
      </c>
      <c r="C145" s="772" t="s">
        <v>472</v>
      </c>
      <c r="D145" s="773"/>
      <c r="E145" s="773"/>
      <c r="F145" s="773"/>
      <c r="G145" s="773"/>
      <c r="H145" s="773"/>
      <c r="I145" s="773"/>
      <c r="J145" s="773"/>
      <c r="K145" s="773"/>
      <c r="L145" s="773"/>
      <c r="M145" s="773"/>
      <c r="N145" s="773"/>
      <c r="O145" s="773"/>
      <c r="P145" s="773"/>
      <c r="Q145" s="773"/>
      <c r="R145" s="773"/>
      <c r="S145" s="773"/>
      <c r="T145" s="773"/>
      <c r="U145" s="773"/>
      <c r="V145" s="773"/>
      <c r="W145" s="773"/>
      <c r="X145" s="773"/>
      <c r="Y145" s="773"/>
      <c r="Z145" s="773"/>
      <c r="AA145" s="774"/>
      <c r="AB145" s="107"/>
      <c r="AC145" s="68">
        <v>183</v>
      </c>
    </row>
    <row r="146" spans="1:29" ht="15.75" thickBot="1">
      <c r="A146" s="176" t="s">
        <v>219</v>
      </c>
      <c r="B146" s="76" t="s">
        <v>91</v>
      </c>
      <c r="C146" s="177">
        <v>3.6363636363636362</v>
      </c>
      <c r="D146" s="177"/>
      <c r="E146" s="177">
        <v>3.4782608695652173</v>
      </c>
      <c r="F146" s="177"/>
      <c r="G146" s="177">
        <v>3.3333333333333335</v>
      </c>
      <c r="H146" s="177"/>
      <c r="I146" s="177">
        <v>3.20</v>
      </c>
      <c r="J146" s="177"/>
      <c r="K146" s="177">
        <v>3.0769230769230771</v>
      </c>
      <c r="L146" s="177">
        <v>2.9629629629629628</v>
      </c>
      <c r="M146" s="177">
        <v>2.8571428571428572</v>
      </c>
      <c r="N146" s="177">
        <v>2.7586206896551726</v>
      </c>
      <c r="O146" s="177"/>
      <c r="P146" s="177">
        <v>2.5806451612903225</v>
      </c>
      <c r="Q146" s="177">
        <v>2.50</v>
      </c>
      <c r="R146" s="178">
        <v>2.4242424242424243</v>
      </c>
      <c r="S146" s="178"/>
      <c r="T146" s="179">
        <v>2.286</v>
      </c>
      <c r="U146" s="179">
        <v>2.222</v>
      </c>
      <c r="V146" s="179">
        <v>2.1619999999999999</v>
      </c>
      <c r="W146" s="179">
        <v>2.105</v>
      </c>
      <c r="X146" s="180">
        <v>2.0510000000000002</v>
      </c>
      <c r="Y146" s="179">
        <v>2</v>
      </c>
      <c r="Z146" s="179">
        <v>1.9510000000000001</v>
      </c>
      <c r="AA146" s="181">
        <v>1.905</v>
      </c>
      <c r="AB146" s="107" t="s">
        <v>376</v>
      </c>
      <c r="AC146" s="68">
        <v>200</v>
      </c>
    </row>
    <row r="147" spans="1:29" ht="15.75" thickBot="1">
      <c r="A147" s="93" t="s">
        <v>220</v>
      </c>
      <c r="B147" s="94" t="s">
        <v>92</v>
      </c>
      <c r="C147" s="182">
        <v>4.3765879574970494</v>
      </c>
      <c r="D147" s="182"/>
      <c r="E147" s="182">
        <v>3.768522534733989</v>
      </c>
      <c r="F147" s="182"/>
      <c r="G147" s="182">
        <v>3.690975771656158</v>
      </c>
      <c r="H147" s="182"/>
      <c r="I147" s="182">
        <v>3.2622205925491352</v>
      </c>
      <c r="J147" s="182"/>
      <c r="K147" s="182">
        <v>3.2469810218978101</v>
      </c>
      <c r="L147" s="182">
        <v>3.213207165559087</v>
      </c>
      <c r="M147" s="182">
        <v>3.1956637931034484</v>
      </c>
      <c r="N147" s="182">
        <v>2.9181081081081084</v>
      </c>
      <c r="O147" s="182"/>
      <c r="P147" s="182">
        <v>2.8810647668393785</v>
      </c>
      <c r="Q147" s="182">
        <v>2.6117684358853923</v>
      </c>
      <c r="R147" s="183">
        <v>2.5898719142990219</v>
      </c>
      <c r="S147" s="183"/>
      <c r="T147" s="184">
        <v>2.3838383838383832</v>
      </c>
      <c r="U147" s="184">
        <v>2.2882999353587588</v>
      </c>
      <c r="V147" s="184">
        <v>2.2014925373134329</v>
      </c>
      <c r="W147" s="184">
        <v>2.0605355064027937</v>
      </c>
      <c r="X147" s="185">
        <v>2</v>
      </c>
      <c r="Y147" s="185">
        <v>2</v>
      </c>
      <c r="Z147" s="184">
        <v>1.892036344200962</v>
      </c>
      <c r="AA147" s="186">
        <v>1.8437500000000004</v>
      </c>
      <c r="AB147" s="107" t="s">
        <v>376</v>
      </c>
      <c r="AC147" s="68">
        <v>200</v>
      </c>
    </row>
    <row r="148" spans="1:29" ht="15.75" thickBot="1">
      <c r="A148" s="145"/>
      <c r="B148" s="810" t="s">
        <v>135</v>
      </c>
      <c r="C148" s="810"/>
      <c r="D148" s="810"/>
      <c r="E148" s="810"/>
      <c r="F148" s="810"/>
      <c r="G148" s="810"/>
      <c r="H148" s="810"/>
      <c r="I148" s="810"/>
      <c r="J148" s="810"/>
      <c r="K148" s="810"/>
      <c r="L148" s="810"/>
      <c r="M148" s="810"/>
      <c r="N148" s="810"/>
      <c r="O148" s="810"/>
      <c r="P148" s="810"/>
      <c r="Q148" s="810"/>
      <c r="R148" s="810"/>
      <c r="S148" s="810"/>
      <c r="T148" s="810"/>
      <c r="U148" s="810"/>
      <c r="V148" s="810"/>
      <c r="W148" s="810"/>
      <c r="X148" s="810"/>
      <c r="Y148" s="810"/>
      <c r="Z148" s="810"/>
      <c r="AA148" s="811"/>
      <c r="AC148" s="68"/>
    </row>
    <row r="149" spans="1:29" ht="15.75" thickBot="1">
      <c r="A149" s="176" t="s">
        <v>136</v>
      </c>
      <c r="B149" s="76" t="s">
        <v>137</v>
      </c>
      <c r="C149" s="772" t="s">
        <v>473</v>
      </c>
      <c r="D149" s="773"/>
      <c r="E149" s="773"/>
      <c r="F149" s="773"/>
      <c r="G149" s="773"/>
      <c r="H149" s="773"/>
      <c r="I149" s="773"/>
      <c r="J149" s="773"/>
      <c r="K149" s="773"/>
      <c r="L149" s="773"/>
      <c r="M149" s="773"/>
      <c r="N149" s="773"/>
      <c r="O149" s="773"/>
      <c r="P149" s="773"/>
      <c r="Q149" s="773"/>
      <c r="R149" s="773"/>
      <c r="S149" s="773"/>
      <c r="T149" s="773"/>
      <c r="U149" s="773"/>
      <c r="V149" s="773"/>
      <c r="W149" s="773"/>
      <c r="X149" s="773"/>
      <c r="Y149" s="773"/>
      <c r="Z149" s="773"/>
      <c r="AA149" s="774"/>
      <c r="AC149" s="68">
        <v>200</v>
      </c>
    </row>
    <row r="150" spans="1:29" ht="15.75" thickBot="1">
      <c r="A150" s="176" t="s">
        <v>346</v>
      </c>
      <c r="B150" s="76" t="s">
        <v>347</v>
      </c>
      <c r="C150" s="772" t="s">
        <v>474</v>
      </c>
      <c r="D150" s="773"/>
      <c r="E150" s="773"/>
      <c r="F150" s="773"/>
      <c r="G150" s="773"/>
      <c r="H150" s="773"/>
      <c r="I150" s="773"/>
      <c r="J150" s="773"/>
      <c r="K150" s="773"/>
      <c r="L150" s="773"/>
      <c r="M150" s="773"/>
      <c r="N150" s="773"/>
      <c r="O150" s="773"/>
      <c r="P150" s="773"/>
      <c r="Q150" s="773"/>
      <c r="R150" s="773"/>
      <c r="S150" s="773"/>
      <c r="T150" s="773"/>
      <c r="U150" s="773"/>
      <c r="V150" s="773"/>
      <c r="W150" s="773"/>
      <c r="X150" s="773"/>
      <c r="Y150" s="773"/>
      <c r="Z150" s="773"/>
      <c r="AA150" s="774"/>
      <c r="AC150" s="68">
        <v>183</v>
      </c>
    </row>
    <row r="151" spans="1:29" ht="15.75" thickBot="1">
      <c r="A151" s="176" t="s">
        <v>344</v>
      </c>
      <c r="B151" s="76" t="s">
        <v>345</v>
      </c>
      <c r="C151" s="772" t="s">
        <v>475</v>
      </c>
      <c r="D151" s="773"/>
      <c r="E151" s="773"/>
      <c r="F151" s="773"/>
      <c r="G151" s="773"/>
      <c r="H151" s="773"/>
      <c r="I151" s="773"/>
      <c r="J151" s="773"/>
      <c r="K151" s="773"/>
      <c r="L151" s="773"/>
      <c r="M151" s="773"/>
      <c r="N151" s="773"/>
      <c r="O151" s="773"/>
      <c r="P151" s="773"/>
      <c r="Q151" s="773"/>
      <c r="R151" s="773"/>
      <c r="S151" s="773"/>
      <c r="T151" s="773"/>
      <c r="U151" s="773"/>
      <c r="V151" s="773"/>
      <c r="W151" s="773"/>
      <c r="X151" s="773"/>
      <c r="Y151" s="773"/>
      <c r="Z151" s="773"/>
      <c r="AA151" s="774"/>
      <c r="AC151" s="68">
        <v>200</v>
      </c>
    </row>
    <row r="152" spans="1:29" ht="15.75" thickBot="1">
      <c r="A152" s="145"/>
      <c r="B152" s="810" t="s">
        <v>133</v>
      </c>
      <c r="C152" s="810"/>
      <c r="D152" s="810"/>
      <c r="E152" s="810"/>
      <c r="F152" s="810"/>
      <c r="G152" s="810"/>
      <c r="H152" s="810"/>
      <c r="I152" s="810"/>
      <c r="J152" s="810"/>
      <c r="K152" s="810"/>
      <c r="L152" s="810"/>
      <c r="M152" s="810"/>
      <c r="N152" s="810"/>
      <c r="O152" s="810"/>
      <c r="P152" s="810"/>
      <c r="Q152" s="810"/>
      <c r="R152" s="810"/>
      <c r="S152" s="810"/>
      <c r="T152" s="810"/>
      <c r="U152" s="810"/>
      <c r="V152" s="810"/>
      <c r="W152" s="810"/>
      <c r="X152" s="810"/>
      <c r="Y152" s="810"/>
      <c r="Z152" s="810"/>
      <c r="AA152" s="811"/>
      <c r="AC152" s="68"/>
    </row>
    <row r="153" spans="1:29" ht="15" customHeight="1">
      <c r="A153" s="791" t="s">
        <v>221</v>
      </c>
      <c r="B153" s="777" t="s">
        <v>129</v>
      </c>
      <c r="C153" s="187">
        <f>$AC$2*$AC$228*2/C154</f>
        <v>0</v>
      </c>
      <c r="D153" s="187"/>
      <c r="E153" s="187">
        <f>$AC$2*$AC$228*2/E154</f>
        <v>0</v>
      </c>
      <c r="F153" s="187"/>
      <c r="G153" s="187">
        <f>$AC$2*$AC$228*2/G154</f>
        <v>0</v>
      </c>
      <c r="H153" s="187"/>
      <c r="I153" s="187">
        <f>$AC$2*$AC$228*2/I154</f>
        <v>0</v>
      </c>
      <c r="J153" s="187"/>
      <c r="K153" s="187">
        <f>$AC$2*$AC$228*2/K154</f>
        <v>0</v>
      </c>
      <c r="L153" s="187">
        <f>$AC$2*$AC$228*2/L154</f>
        <v>0</v>
      </c>
      <c r="M153" s="187">
        <f>$AC$2*$AC$228*2/M154</f>
        <v>0</v>
      </c>
      <c r="N153" s="187">
        <f>$AC$2*$AC$228*2/N154</f>
        <v>0</v>
      </c>
      <c r="O153" s="187"/>
      <c r="P153" s="187">
        <f>$AC$2*$AC$228*2/P154</f>
        <v>0</v>
      </c>
      <c r="Q153" s="187">
        <f>$AC$2*$AC$228*2/Q154</f>
        <v>0</v>
      </c>
      <c r="R153" s="187">
        <f>$AC$2*$AC$228*2/R154</f>
        <v>0</v>
      </c>
      <c r="S153" s="187"/>
      <c r="T153" s="187">
        <f t="shared" si="86" ref="T153:AA153">$AC$2*$AC$228*2/T154</f>
        <v>0</v>
      </c>
      <c r="U153" s="187">
        <f t="shared" si="86"/>
        <v>0</v>
      </c>
      <c r="V153" s="187">
        <f t="shared" si="86"/>
        <v>0</v>
      </c>
      <c r="W153" s="187">
        <f t="shared" si="86"/>
        <v>0</v>
      </c>
      <c r="X153" s="187">
        <f t="shared" si="86"/>
        <v>0</v>
      </c>
      <c r="Y153" s="187">
        <f t="shared" si="86"/>
        <v>0</v>
      </c>
      <c r="Z153" s="187">
        <f t="shared" si="86"/>
        <v>0</v>
      </c>
      <c r="AA153" s="188">
        <f t="shared" si="86"/>
        <v>0</v>
      </c>
      <c r="AB153" t="s">
        <v>377</v>
      </c>
      <c r="AC153" s="68">
        <v>200</v>
      </c>
    </row>
    <row r="154" spans="1:29" ht="15">
      <c r="A154" s="792"/>
      <c r="B154" s="640"/>
      <c r="C154" s="102">
        <v>10</v>
      </c>
      <c r="D154" s="102"/>
      <c r="E154" s="102">
        <v>10</v>
      </c>
      <c r="F154" s="102"/>
      <c r="G154" s="102">
        <v>9</v>
      </c>
      <c r="H154" s="102"/>
      <c r="I154" s="102">
        <v>9</v>
      </c>
      <c r="J154" s="102"/>
      <c r="K154" s="102">
        <v>8</v>
      </c>
      <c r="L154" s="102">
        <v>8</v>
      </c>
      <c r="M154" s="102">
        <v>7</v>
      </c>
      <c r="N154" s="102">
        <v>7</v>
      </c>
      <c r="O154" s="102"/>
      <c r="P154" s="102">
        <v>7</v>
      </c>
      <c r="Q154" s="102">
        <v>6</v>
      </c>
      <c r="R154" s="102">
        <v>6</v>
      </c>
      <c r="S154" s="102"/>
      <c r="T154" s="102">
        <v>5</v>
      </c>
      <c r="U154" s="102">
        <v>5</v>
      </c>
      <c r="V154" s="102">
        <v>4</v>
      </c>
      <c r="W154" s="102">
        <v>4</v>
      </c>
      <c r="X154" s="102">
        <v>3</v>
      </c>
      <c r="Y154" s="102">
        <v>3</v>
      </c>
      <c r="Z154" s="102">
        <v>2.50</v>
      </c>
      <c r="AA154" s="103">
        <v>2.50</v>
      </c>
      <c r="AB154" t="s">
        <v>379</v>
      </c>
      <c r="AC154" s="68"/>
    </row>
    <row r="155" spans="1:29" ht="15.75" thickBot="1">
      <c r="A155" s="793"/>
      <c r="B155" s="778"/>
      <c r="C155" s="77">
        <v>426</v>
      </c>
      <c r="D155" s="77"/>
      <c r="E155" s="77">
        <v>530</v>
      </c>
      <c r="F155" s="77"/>
      <c r="G155" s="77">
        <v>530</v>
      </c>
      <c r="H155" s="77"/>
      <c r="I155" s="77">
        <v>630</v>
      </c>
      <c r="J155" s="77"/>
      <c r="K155" s="77">
        <v>630</v>
      </c>
      <c r="L155" s="77">
        <v>630</v>
      </c>
      <c r="M155" s="77">
        <v>630</v>
      </c>
      <c r="N155" s="77">
        <v>720</v>
      </c>
      <c r="O155" s="77"/>
      <c r="P155" s="77">
        <v>720</v>
      </c>
      <c r="Q155" s="77">
        <v>824</v>
      </c>
      <c r="R155" s="71">
        <v>824</v>
      </c>
      <c r="S155" s="71"/>
      <c r="T155" s="77">
        <v>874</v>
      </c>
      <c r="U155" s="71">
        <v>924</v>
      </c>
      <c r="V155" s="77">
        <v>978</v>
      </c>
      <c r="W155" s="77">
        <v>1028</v>
      </c>
      <c r="X155" s="72">
        <v>1078</v>
      </c>
      <c r="Y155" s="77">
        <v>1078</v>
      </c>
      <c r="Z155" s="77">
        <v>1132</v>
      </c>
      <c r="AA155" s="104">
        <v>1182</v>
      </c>
      <c r="AB155" s="107" t="s">
        <v>375</v>
      </c>
      <c r="AC155" s="68"/>
    </row>
    <row r="156" spans="1:29" ht="15.75" thickBot="1">
      <c r="A156" s="176" t="s">
        <v>222</v>
      </c>
      <c r="B156" s="76" t="s">
        <v>223</v>
      </c>
      <c r="C156" s="772" t="s">
        <v>476</v>
      </c>
      <c r="D156" s="773"/>
      <c r="E156" s="773"/>
      <c r="F156" s="773"/>
      <c r="G156" s="773"/>
      <c r="H156" s="773"/>
      <c r="I156" s="773"/>
      <c r="J156" s="773"/>
      <c r="K156" s="773"/>
      <c r="L156" s="773"/>
      <c r="M156" s="773"/>
      <c r="N156" s="773"/>
      <c r="O156" s="773"/>
      <c r="P156" s="773"/>
      <c r="Q156" s="773"/>
      <c r="R156" s="773"/>
      <c r="S156" s="773"/>
      <c r="T156" s="773"/>
      <c r="U156" s="773"/>
      <c r="V156" s="773"/>
      <c r="W156" s="773"/>
      <c r="X156" s="773"/>
      <c r="Y156" s="773"/>
      <c r="Z156" s="773"/>
      <c r="AA156" s="774"/>
      <c r="AC156" s="68">
        <v>200</v>
      </c>
    </row>
    <row r="157" spans="1:29" ht="15">
      <c r="A157" s="791" t="s">
        <v>225</v>
      </c>
      <c r="B157" s="777" t="s">
        <v>477</v>
      </c>
      <c r="C157" s="812" t="s">
        <v>478</v>
      </c>
      <c r="D157" s="813"/>
      <c r="E157" s="813"/>
      <c r="F157" s="813"/>
      <c r="G157" s="813"/>
      <c r="H157" s="813"/>
      <c r="I157" s="813"/>
      <c r="J157" s="813"/>
      <c r="K157" s="813"/>
      <c r="L157" s="813"/>
      <c r="M157" s="813"/>
      <c r="N157" s="813"/>
      <c r="O157" s="813"/>
      <c r="P157" s="813"/>
      <c r="Q157" s="813"/>
      <c r="R157" s="814"/>
      <c r="S157" s="521"/>
      <c r="T157" s="812" t="s">
        <v>479</v>
      </c>
      <c r="U157" s="813"/>
      <c r="V157" s="814"/>
      <c r="W157" s="812" t="s">
        <v>480</v>
      </c>
      <c r="X157" s="813"/>
      <c r="Y157" s="814"/>
      <c r="Z157" s="812" t="s">
        <v>481</v>
      </c>
      <c r="AA157" s="815"/>
      <c r="AB157" s="107" t="s">
        <v>376</v>
      </c>
      <c r="AC157" s="68">
        <v>151</v>
      </c>
    </row>
    <row r="158" spans="1:29" ht="15.75" thickBot="1">
      <c r="A158" s="793"/>
      <c r="B158" s="778"/>
      <c r="C158" s="189">
        <v>51</v>
      </c>
      <c r="D158" s="189"/>
      <c r="E158" s="189">
        <v>51</v>
      </c>
      <c r="F158" s="189"/>
      <c r="G158" s="189">
        <v>51</v>
      </c>
      <c r="H158" s="189"/>
      <c r="I158" s="189">
        <v>51</v>
      </c>
      <c r="J158" s="189"/>
      <c r="K158" s="189">
        <v>51</v>
      </c>
      <c r="L158" s="189">
        <v>51</v>
      </c>
      <c r="M158" s="189">
        <v>51</v>
      </c>
      <c r="N158" s="189">
        <v>51</v>
      </c>
      <c r="O158" s="189"/>
      <c r="P158" s="189">
        <v>51</v>
      </c>
      <c r="Q158" s="189">
        <v>51</v>
      </c>
      <c r="R158" s="189">
        <v>51</v>
      </c>
      <c r="S158" s="189"/>
      <c r="T158" s="189">
        <v>57</v>
      </c>
      <c r="U158" s="189">
        <v>57</v>
      </c>
      <c r="V158" s="189">
        <v>57</v>
      </c>
      <c r="W158" s="189">
        <v>68</v>
      </c>
      <c r="X158" s="189">
        <v>68</v>
      </c>
      <c r="Y158" s="189">
        <v>68</v>
      </c>
      <c r="Z158" s="189">
        <v>76</v>
      </c>
      <c r="AA158" s="190">
        <v>76</v>
      </c>
      <c r="AB158" s="107" t="s">
        <v>482</v>
      </c>
      <c r="AC158" s="68"/>
    </row>
    <row r="159" spans="1:29" ht="15.75" thickBot="1">
      <c r="A159" s="176" t="s">
        <v>228</v>
      </c>
      <c r="B159" s="191" t="s">
        <v>483</v>
      </c>
      <c r="C159" s="772" t="s">
        <v>518</v>
      </c>
      <c r="D159" s="773"/>
      <c r="E159" s="773"/>
      <c r="F159" s="773"/>
      <c r="G159" s="773"/>
      <c r="H159" s="773"/>
      <c r="I159" s="773"/>
      <c r="J159" s="773"/>
      <c r="K159" s="773"/>
      <c r="L159" s="773"/>
      <c r="M159" s="773"/>
      <c r="N159" s="773"/>
      <c r="O159" s="773"/>
      <c r="P159" s="773"/>
      <c r="Q159" s="773"/>
      <c r="R159" s="773"/>
      <c r="S159" s="773"/>
      <c r="T159" s="773"/>
      <c r="U159" s="773"/>
      <c r="V159" s="773"/>
      <c r="W159" s="773"/>
      <c r="X159" s="773"/>
      <c r="Y159" s="773"/>
      <c r="Z159" s="773"/>
      <c r="AA159" s="774"/>
      <c r="AC159" s="68">
        <v>138</v>
      </c>
    </row>
    <row r="160" spans="1:29" ht="15.75" thickBot="1">
      <c r="A160" s="176" t="s">
        <v>232</v>
      </c>
      <c r="B160" s="192" t="s">
        <v>484</v>
      </c>
      <c r="C160" s="772" t="s">
        <v>479</v>
      </c>
      <c r="D160" s="773"/>
      <c r="E160" s="773"/>
      <c r="F160" s="773"/>
      <c r="G160" s="773"/>
      <c r="H160" s="773"/>
      <c r="I160" s="773"/>
      <c r="J160" s="773"/>
      <c r="K160" s="773"/>
      <c r="L160" s="773"/>
      <c r="M160" s="773"/>
      <c r="N160" s="773"/>
      <c r="O160" s="773"/>
      <c r="P160" s="773"/>
      <c r="Q160" s="773"/>
      <c r="R160" s="773"/>
      <c r="S160" s="773"/>
      <c r="T160" s="773"/>
      <c r="U160" s="773"/>
      <c r="V160" s="773"/>
      <c r="W160" s="773"/>
      <c r="X160" s="773"/>
      <c r="Y160" s="773"/>
      <c r="Z160" s="773"/>
      <c r="AA160" s="774"/>
      <c r="AC160" s="68">
        <v>138</v>
      </c>
    </row>
    <row r="161" spans="1:29" ht="15.75" thickBot="1">
      <c r="A161" s="92" t="s">
        <v>233</v>
      </c>
      <c r="B161" s="193" t="s">
        <v>66</v>
      </c>
      <c r="C161" s="745" t="s">
        <v>485</v>
      </c>
      <c r="D161" s="746"/>
      <c r="E161" s="746"/>
      <c r="F161" s="746"/>
      <c r="G161" s="746"/>
      <c r="H161" s="746"/>
      <c r="I161" s="746"/>
      <c r="J161" s="746"/>
      <c r="K161" s="746"/>
      <c r="L161" s="746"/>
      <c r="M161" s="746"/>
      <c r="N161" s="746"/>
      <c r="O161" s="746"/>
      <c r="P161" s="746"/>
      <c r="Q161" s="746"/>
      <c r="R161" s="746"/>
      <c r="S161" s="746"/>
      <c r="T161" s="746"/>
      <c r="U161" s="746"/>
      <c r="V161" s="746"/>
      <c r="W161" s="746"/>
      <c r="X161" s="746"/>
      <c r="Y161" s="746"/>
      <c r="Z161" s="746"/>
      <c r="AA161" s="761"/>
      <c r="AC161" s="68">
        <v>200</v>
      </c>
    </row>
    <row r="162" spans="1:29" ht="15">
      <c r="A162" s="765" t="s">
        <v>234</v>
      </c>
      <c r="B162" s="816" t="s">
        <v>235</v>
      </c>
      <c r="C162" s="775" t="s">
        <v>488</v>
      </c>
      <c r="D162" s="775"/>
      <c r="E162" s="775"/>
      <c r="F162" s="775"/>
      <c r="G162" s="775"/>
      <c r="H162" s="89"/>
      <c r="I162" s="775" t="s">
        <v>487</v>
      </c>
      <c r="J162" s="775"/>
      <c r="K162" s="775"/>
      <c r="L162" s="775"/>
      <c r="M162" s="775"/>
      <c r="N162" s="775"/>
      <c r="O162" s="775"/>
      <c r="P162" s="775"/>
      <c r="Q162" s="775"/>
      <c r="R162" s="775"/>
      <c r="S162" s="520"/>
      <c r="T162" s="745" t="s">
        <v>462</v>
      </c>
      <c r="U162" s="746"/>
      <c r="V162" s="746"/>
      <c r="W162" s="746"/>
      <c r="X162" s="746"/>
      <c r="Y162" s="746"/>
      <c r="Z162" s="746"/>
      <c r="AA162" s="761"/>
      <c r="AB162" t="s">
        <v>376</v>
      </c>
      <c r="AC162" s="68">
        <v>200</v>
      </c>
    </row>
    <row r="163" spans="1:29" ht="15.75" thickBot="1">
      <c r="A163" s="767"/>
      <c r="B163" s="817"/>
      <c r="C163" s="762" t="s">
        <v>445</v>
      </c>
      <c r="D163" s="762"/>
      <c r="E163" s="762"/>
      <c r="F163" s="762"/>
      <c r="G163" s="762"/>
      <c r="H163" s="762"/>
      <c r="I163" s="762"/>
      <c r="J163" s="762"/>
      <c r="K163" s="762"/>
      <c r="L163" s="762"/>
      <c r="M163" s="762"/>
      <c r="N163" s="762"/>
      <c r="O163" s="762"/>
      <c r="P163" s="762"/>
      <c r="Q163" s="762"/>
      <c r="R163" s="762"/>
      <c r="S163" s="519"/>
      <c r="T163" s="742"/>
      <c r="U163" s="743"/>
      <c r="V163" s="743"/>
      <c r="W163" s="743"/>
      <c r="X163" s="743"/>
      <c r="Y163" s="743"/>
      <c r="Z163" s="743"/>
      <c r="AA163" s="744"/>
      <c r="AC163" s="68">
        <v>200</v>
      </c>
    </row>
    <row r="164" spans="1:29" ht="15.75" thickBot="1">
      <c r="A164" s="176" t="s">
        <v>237</v>
      </c>
      <c r="B164" s="76" t="s">
        <v>71</v>
      </c>
      <c r="C164" s="772" t="s">
        <v>486</v>
      </c>
      <c r="D164" s="773"/>
      <c r="E164" s="773"/>
      <c r="F164" s="773"/>
      <c r="G164" s="773"/>
      <c r="H164" s="773"/>
      <c r="I164" s="773"/>
      <c r="J164" s="773"/>
      <c r="K164" s="773"/>
      <c r="L164" s="773"/>
      <c r="M164" s="773"/>
      <c r="N164" s="773"/>
      <c r="O164" s="773"/>
      <c r="P164" s="773"/>
      <c r="Q164" s="773"/>
      <c r="R164" s="773"/>
      <c r="S164" s="773"/>
      <c r="T164" s="773"/>
      <c r="U164" s="773"/>
      <c r="V164" s="773"/>
      <c r="W164" s="773"/>
      <c r="X164" s="773"/>
      <c r="Y164" s="773"/>
      <c r="Z164" s="773"/>
      <c r="AA164" s="774"/>
      <c r="AC164" s="68">
        <v>200</v>
      </c>
    </row>
    <row r="165" spans="1:29" ht="30.75" thickBot="1">
      <c r="A165" s="176" t="s">
        <v>239</v>
      </c>
      <c r="B165" s="76" t="s">
        <v>240</v>
      </c>
      <c r="C165" s="772" t="s">
        <v>489</v>
      </c>
      <c r="D165" s="773"/>
      <c r="E165" s="773"/>
      <c r="F165" s="773"/>
      <c r="G165" s="773"/>
      <c r="H165" s="773"/>
      <c r="I165" s="773"/>
      <c r="J165" s="773"/>
      <c r="K165" s="773"/>
      <c r="L165" s="773"/>
      <c r="M165" s="773"/>
      <c r="N165" s="773"/>
      <c r="O165" s="773"/>
      <c r="P165" s="773"/>
      <c r="Q165" s="773"/>
      <c r="R165" s="773"/>
      <c r="S165" s="773"/>
      <c r="T165" s="773"/>
      <c r="U165" s="773"/>
      <c r="V165" s="773"/>
      <c r="W165" s="773"/>
      <c r="X165" s="773"/>
      <c r="Y165" s="773"/>
      <c r="Z165" s="773"/>
      <c r="AA165" s="774"/>
      <c r="AB165" s="107"/>
      <c r="AC165" s="68">
        <v>260</v>
      </c>
    </row>
    <row r="166" spans="1:29" ht="30.75" thickBot="1">
      <c r="A166" s="254" t="s">
        <v>241</v>
      </c>
      <c r="B166" s="255" t="s">
        <v>242</v>
      </c>
      <c r="C166" s="818" t="s">
        <v>445</v>
      </c>
      <c r="D166" s="819"/>
      <c r="E166" s="819"/>
      <c r="F166" s="819"/>
      <c r="G166" s="819"/>
      <c r="H166" s="819"/>
      <c r="I166" s="819"/>
      <c r="J166" s="819"/>
      <c r="K166" s="819"/>
      <c r="L166" s="819"/>
      <c r="M166" s="819"/>
      <c r="N166" s="819"/>
      <c r="O166" s="819"/>
      <c r="P166" s="819"/>
      <c r="Q166" s="819"/>
      <c r="R166" s="819"/>
      <c r="S166" s="819"/>
      <c r="T166" s="819"/>
      <c r="U166" s="819"/>
      <c r="V166" s="819"/>
      <c r="W166" s="819"/>
      <c r="X166" s="819"/>
      <c r="Y166" s="819"/>
      <c r="Z166" s="819"/>
      <c r="AA166" s="820"/>
      <c r="AC166" s="68">
        <v>200</v>
      </c>
    </row>
    <row r="167" spans="1:29" ht="30.75" thickBot="1">
      <c r="A167" s="176" t="s">
        <v>317</v>
      </c>
      <c r="B167" s="76" t="s">
        <v>242</v>
      </c>
      <c r="C167" s="772" t="s">
        <v>445</v>
      </c>
      <c r="D167" s="773"/>
      <c r="E167" s="773"/>
      <c r="F167" s="773"/>
      <c r="G167" s="773"/>
      <c r="H167" s="773"/>
      <c r="I167" s="773"/>
      <c r="J167" s="773"/>
      <c r="K167" s="773"/>
      <c r="L167" s="773"/>
      <c r="M167" s="773"/>
      <c r="N167" s="773"/>
      <c r="O167" s="773"/>
      <c r="P167" s="773"/>
      <c r="Q167" s="773"/>
      <c r="R167" s="773"/>
      <c r="S167" s="773"/>
      <c r="T167" s="773"/>
      <c r="U167" s="773"/>
      <c r="V167" s="773"/>
      <c r="W167" s="773"/>
      <c r="X167" s="773"/>
      <c r="Y167" s="773"/>
      <c r="Z167" s="773"/>
      <c r="AA167" s="774"/>
      <c r="AC167" s="68">
        <v>200</v>
      </c>
    </row>
    <row r="168" spans="1:29" ht="30.75" thickBot="1">
      <c r="A168" s="90" t="s">
        <v>243</v>
      </c>
      <c r="B168" s="91" t="s">
        <v>244</v>
      </c>
      <c r="C168" s="748" t="s">
        <v>445</v>
      </c>
      <c r="D168" s="749"/>
      <c r="E168" s="749"/>
      <c r="F168" s="749"/>
      <c r="G168" s="749"/>
      <c r="H168" s="749"/>
      <c r="I168" s="749"/>
      <c r="J168" s="749"/>
      <c r="K168" s="749"/>
      <c r="L168" s="749"/>
      <c r="M168" s="749"/>
      <c r="N168" s="749"/>
      <c r="O168" s="749"/>
      <c r="P168" s="749"/>
      <c r="Q168" s="749"/>
      <c r="R168" s="749"/>
      <c r="S168" s="749"/>
      <c r="T168" s="749"/>
      <c r="U168" s="749"/>
      <c r="V168" s="749"/>
      <c r="W168" s="749"/>
      <c r="X168" s="749"/>
      <c r="Y168" s="749"/>
      <c r="Z168" s="749"/>
      <c r="AA168" s="803"/>
      <c r="AC168" s="68">
        <v>200</v>
      </c>
    </row>
    <row r="169" spans="1:29" ht="15.75" thickBot="1">
      <c r="A169" s="176" t="s">
        <v>237</v>
      </c>
      <c r="B169" s="76" t="s">
        <v>71</v>
      </c>
      <c r="C169" s="772" t="s">
        <v>486</v>
      </c>
      <c r="D169" s="773"/>
      <c r="E169" s="773"/>
      <c r="F169" s="773"/>
      <c r="G169" s="773"/>
      <c r="H169" s="773"/>
      <c r="I169" s="773"/>
      <c r="J169" s="773"/>
      <c r="K169" s="773"/>
      <c r="L169" s="773"/>
      <c r="M169" s="773"/>
      <c r="N169" s="773"/>
      <c r="O169" s="773"/>
      <c r="P169" s="773"/>
      <c r="Q169" s="773"/>
      <c r="R169" s="773"/>
      <c r="S169" s="773"/>
      <c r="T169" s="773"/>
      <c r="U169" s="773"/>
      <c r="V169" s="773"/>
      <c r="W169" s="773"/>
      <c r="X169" s="773"/>
      <c r="Y169" s="773"/>
      <c r="Z169" s="773"/>
      <c r="AA169" s="774"/>
      <c r="AC169" s="68">
        <v>200</v>
      </c>
    </row>
    <row r="170" spans="1:29" ht="30.75" thickBot="1">
      <c r="A170" s="176" t="s">
        <v>245</v>
      </c>
      <c r="B170" s="76" t="s">
        <v>246</v>
      </c>
      <c r="C170" s="772" t="s">
        <v>489</v>
      </c>
      <c r="D170" s="773"/>
      <c r="E170" s="773"/>
      <c r="F170" s="773"/>
      <c r="G170" s="773"/>
      <c r="H170" s="773"/>
      <c r="I170" s="773"/>
      <c r="J170" s="773"/>
      <c r="K170" s="773"/>
      <c r="L170" s="773"/>
      <c r="M170" s="773"/>
      <c r="N170" s="773"/>
      <c r="O170" s="773"/>
      <c r="P170" s="773"/>
      <c r="Q170" s="773"/>
      <c r="R170" s="773"/>
      <c r="S170" s="773"/>
      <c r="T170" s="773"/>
      <c r="U170" s="773"/>
      <c r="V170" s="773"/>
      <c r="W170" s="773"/>
      <c r="X170" s="773"/>
      <c r="Y170" s="773"/>
      <c r="Z170" s="773"/>
      <c r="AA170" s="774"/>
      <c r="AC170" s="68">
        <v>260</v>
      </c>
    </row>
    <row r="171" spans="1:29" ht="30.75" thickBot="1">
      <c r="A171" s="176" t="s">
        <v>249</v>
      </c>
      <c r="B171" s="76" t="s">
        <v>248</v>
      </c>
      <c r="C171" s="772" t="s">
        <v>445</v>
      </c>
      <c r="D171" s="773"/>
      <c r="E171" s="773"/>
      <c r="F171" s="773"/>
      <c r="G171" s="773"/>
      <c r="H171" s="773"/>
      <c r="I171" s="773"/>
      <c r="J171" s="773"/>
      <c r="K171" s="773"/>
      <c r="L171" s="773"/>
      <c r="M171" s="773"/>
      <c r="N171" s="773"/>
      <c r="O171" s="773"/>
      <c r="P171" s="773"/>
      <c r="Q171" s="773"/>
      <c r="R171" s="773"/>
      <c r="S171" s="773"/>
      <c r="T171" s="773"/>
      <c r="U171" s="773"/>
      <c r="V171" s="773"/>
      <c r="W171" s="773"/>
      <c r="X171" s="773"/>
      <c r="Y171" s="773"/>
      <c r="Z171" s="773"/>
      <c r="AA171" s="774"/>
      <c r="AC171" s="68">
        <v>200</v>
      </c>
    </row>
    <row r="172" spans="1:29" ht="15.75" thickBot="1">
      <c r="A172" s="176" t="s">
        <v>247</v>
      </c>
      <c r="B172" s="76" t="s">
        <v>64</v>
      </c>
      <c r="C172" s="772" t="s">
        <v>445</v>
      </c>
      <c r="D172" s="773"/>
      <c r="E172" s="773"/>
      <c r="F172" s="773"/>
      <c r="G172" s="773"/>
      <c r="H172" s="773"/>
      <c r="I172" s="773"/>
      <c r="J172" s="773"/>
      <c r="K172" s="773"/>
      <c r="L172" s="773"/>
      <c r="M172" s="773"/>
      <c r="N172" s="773"/>
      <c r="O172" s="773"/>
      <c r="P172" s="773"/>
      <c r="Q172" s="773"/>
      <c r="R172" s="773"/>
      <c r="S172" s="773"/>
      <c r="T172" s="773"/>
      <c r="U172" s="773"/>
      <c r="V172" s="773"/>
      <c r="W172" s="773"/>
      <c r="X172" s="773"/>
      <c r="Y172" s="773"/>
      <c r="Z172" s="773"/>
      <c r="AA172" s="774"/>
      <c r="AC172" s="68">
        <v>200</v>
      </c>
    </row>
    <row r="173" spans="1:29" ht="15.75" thickBot="1">
      <c r="A173" s="176" t="s">
        <v>237</v>
      </c>
      <c r="B173" s="76" t="s">
        <v>71</v>
      </c>
      <c r="C173" s="772" t="s">
        <v>486</v>
      </c>
      <c r="D173" s="773"/>
      <c r="E173" s="773"/>
      <c r="F173" s="773"/>
      <c r="G173" s="773"/>
      <c r="H173" s="773"/>
      <c r="I173" s="773"/>
      <c r="J173" s="773"/>
      <c r="K173" s="773"/>
      <c r="L173" s="773"/>
      <c r="M173" s="773"/>
      <c r="N173" s="773"/>
      <c r="O173" s="773"/>
      <c r="P173" s="773"/>
      <c r="Q173" s="773"/>
      <c r="R173" s="773"/>
      <c r="S173" s="773"/>
      <c r="T173" s="773"/>
      <c r="U173" s="773"/>
      <c r="V173" s="773"/>
      <c r="W173" s="773"/>
      <c r="X173" s="773"/>
      <c r="Y173" s="773"/>
      <c r="Z173" s="773"/>
      <c r="AA173" s="774"/>
      <c r="AC173" s="68">
        <v>200</v>
      </c>
    </row>
    <row r="174" spans="1:29" ht="30.75" thickBot="1">
      <c r="A174" s="176" t="s">
        <v>250</v>
      </c>
      <c r="B174" s="76" t="s">
        <v>251</v>
      </c>
      <c r="C174" s="772" t="s">
        <v>490</v>
      </c>
      <c r="D174" s="773"/>
      <c r="E174" s="773"/>
      <c r="F174" s="773"/>
      <c r="G174" s="773"/>
      <c r="H174" s="773"/>
      <c r="I174" s="773"/>
      <c r="J174" s="773"/>
      <c r="K174" s="773"/>
      <c r="L174" s="773"/>
      <c r="M174" s="773"/>
      <c r="N174" s="773"/>
      <c r="O174" s="773"/>
      <c r="P174" s="773"/>
      <c r="Q174" s="773"/>
      <c r="R174" s="773"/>
      <c r="S174" s="773"/>
      <c r="T174" s="773"/>
      <c r="U174" s="773"/>
      <c r="V174" s="773"/>
      <c r="W174" s="773"/>
      <c r="X174" s="773"/>
      <c r="Y174" s="773"/>
      <c r="Z174" s="773"/>
      <c r="AA174" s="774"/>
      <c r="AC174" s="68">
        <v>138</v>
      </c>
    </row>
    <row r="175" spans="1:29" ht="30.75" thickBot="1">
      <c r="A175" s="176" t="s">
        <v>252</v>
      </c>
      <c r="B175" s="76" t="s">
        <v>253</v>
      </c>
      <c r="C175" s="772" t="s">
        <v>490</v>
      </c>
      <c r="D175" s="773"/>
      <c r="E175" s="773"/>
      <c r="F175" s="773"/>
      <c r="G175" s="773"/>
      <c r="H175" s="773"/>
      <c r="I175" s="773"/>
      <c r="J175" s="773"/>
      <c r="K175" s="773"/>
      <c r="L175" s="773"/>
      <c r="M175" s="773"/>
      <c r="N175" s="773"/>
      <c r="O175" s="773"/>
      <c r="P175" s="773"/>
      <c r="Q175" s="773"/>
      <c r="R175" s="773"/>
      <c r="S175" s="773"/>
      <c r="T175" s="773"/>
      <c r="U175" s="773"/>
      <c r="V175" s="773"/>
      <c r="W175" s="773"/>
      <c r="X175" s="773"/>
      <c r="Y175" s="773"/>
      <c r="Z175" s="773"/>
      <c r="AA175" s="774"/>
      <c r="AC175" s="68">
        <v>138</v>
      </c>
    </row>
    <row r="176" spans="1:29" ht="15">
      <c r="A176" s="647" t="s">
        <v>255</v>
      </c>
      <c r="B176" s="641" t="s">
        <v>115</v>
      </c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  <c r="AA176" s="69"/>
      <c r="AB176" s="107"/>
      <c r="AC176" s="68"/>
    </row>
    <row r="177" spans="1:29" ht="15">
      <c r="A177" s="637"/>
      <c r="B177" s="638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07"/>
      <c r="AC177" s="68"/>
    </row>
    <row r="178" spans="1:29" ht="15" customHeight="1">
      <c r="A178" s="637" t="s">
        <v>256</v>
      </c>
      <c r="B178" s="638" t="s">
        <v>80</v>
      </c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07"/>
      <c r="AC178" s="68"/>
    </row>
    <row r="179" spans="1:29" ht="15">
      <c r="A179" s="637"/>
      <c r="B179" s="638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07"/>
      <c r="AC179" s="68"/>
    </row>
    <row r="180" spans="1:29" ht="15" customHeight="1">
      <c r="A180" s="637" t="s">
        <v>254</v>
      </c>
      <c r="B180" s="638" t="s">
        <v>81</v>
      </c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07"/>
      <c r="AC180" s="68"/>
    </row>
    <row r="181" spans="1:29" ht="15.75" thickBot="1">
      <c r="A181" s="637"/>
      <c r="B181" s="638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07"/>
      <c r="AC181" s="68"/>
    </row>
    <row r="182" spans="1:29" ht="15" customHeight="1">
      <c r="A182" s="765" t="s">
        <v>257</v>
      </c>
      <c r="B182" s="756" t="s">
        <v>258</v>
      </c>
      <c r="C182" s="745" t="s">
        <v>491</v>
      </c>
      <c r="D182" s="746"/>
      <c r="E182" s="746"/>
      <c r="F182" s="746"/>
      <c r="G182" s="746"/>
      <c r="H182" s="746"/>
      <c r="I182" s="746"/>
      <c r="J182" s="746"/>
      <c r="K182" s="746"/>
      <c r="L182" s="746"/>
      <c r="M182" s="746"/>
      <c r="N182" s="746"/>
      <c r="O182" s="746"/>
      <c r="P182" s="746"/>
      <c r="Q182" s="746"/>
      <c r="R182" s="746"/>
      <c r="S182" s="746"/>
      <c r="T182" s="746"/>
      <c r="U182" s="746"/>
      <c r="V182" s="746"/>
      <c r="W182" s="746"/>
      <c r="X182" s="746"/>
      <c r="Y182" s="746"/>
      <c r="Z182" s="746"/>
      <c r="AA182" s="761"/>
      <c r="AC182" s="68">
        <v>200</v>
      </c>
    </row>
    <row r="183" spans="1:29" ht="15">
      <c r="A183" s="766"/>
      <c r="B183" s="638"/>
      <c r="C183" s="748"/>
      <c r="D183" s="749"/>
      <c r="E183" s="749"/>
      <c r="F183" s="749"/>
      <c r="G183" s="749"/>
      <c r="H183" s="749"/>
      <c r="I183" s="749"/>
      <c r="J183" s="749"/>
      <c r="K183" s="749"/>
      <c r="L183" s="749"/>
      <c r="M183" s="749"/>
      <c r="N183" s="749"/>
      <c r="O183" s="749"/>
      <c r="P183" s="749"/>
      <c r="Q183" s="749"/>
      <c r="R183" s="749"/>
      <c r="S183" s="749"/>
      <c r="T183" s="749"/>
      <c r="U183" s="749"/>
      <c r="V183" s="749"/>
      <c r="W183" s="749"/>
      <c r="X183" s="749"/>
      <c r="Y183" s="749"/>
      <c r="Z183" s="749"/>
      <c r="AA183" s="803"/>
      <c r="AC183" s="68"/>
    </row>
    <row r="184" spans="1:29" ht="15.75" thickBot="1">
      <c r="A184" s="767"/>
      <c r="B184" s="757"/>
      <c r="C184" s="742"/>
      <c r="D184" s="743"/>
      <c r="E184" s="743"/>
      <c r="F184" s="743"/>
      <c r="G184" s="743"/>
      <c r="H184" s="743"/>
      <c r="I184" s="743"/>
      <c r="J184" s="743"/>
      <c r="K184" s="743"/>
      <c r="L184" s="743"/>
      <c r="M184" s="743"/>
      <c r="N184" s="743"/>
      <c r="O184" s="743"/>
      <c r="P184" s="743"/>
      <c r="Q184" s="743"/>
      <c r="R184" s="743"/>
      <c r="S184" s="743"/>
      <c r="T184" s="743"/>
      <c r="U184" s="743"/>
      <c r="V184" s="743"/>
      <c r="W184" s="743"/>
      <c r="X184" s="743"/>
      <c r="Y184" s="743"/>
      <c r="Z184" s="743"/>
      <c r="AA184" s="744"/>
      <c r="AC184" s="68"/>
    </row>
    <row r="185" spans="1:29" ht="15">
      <c r="A185" s="791" t="s">
        <v>265</v>
      </c>
      <c r="B185" s="777" t="s">
        <v>266</v>
      </c>
      <c r="C185" s="89">
        <v>10</v>
      </c>
      <c r="D185" s="89"/>
      <c r="E185" s="89">
        <v>9</v>
      </c>
      <c r="F185" s="89"/>
      <c r="G185" s="89">
        <v>9</v>
      </c>
      <c r="H185" s="89"/>
      <c r="I185" s="89">
        <v>8</v>
      </c>
      <c r="J185" s="89"/>
      <c r="K185" s="89">
        <v>8</v>
      </c>
      <c r="L185" s="89">
        <v>8</v>
      </c>
      <c r="M185" s="89">
        <v>7</v>
      </c>
      <c r="N185" s="89">
        <v>7</v>
      </c>
      <c r="O185" s="89"/>
      <c r="P185" s="89">
        <v>6</v>
      </c>
      <c r="Q185" s="89">
        <v>6</v>
      </c>
      <c r="R185" s="89">
        <v>6</v>
      </c>
      <c r="S185" s="89"/>
      <c r="T185" s="194">
        <v>5</v>
      </c>
      <c r="U185" s="195">
        <v>5</v>
      </c>
      <c r="V185" s="194">
        <v>5</v>
      </c>
      <c r="W185" s="194">
        <v>4</v>
      </c>
      <c r="X185" s="194">
        <v>4</v>
      </c>
      <c r="Y185" s="194">
        <v>4</v>
      </c>
      <c r="Z185" s="194">
        <v>4</v>
      </c>
      <c r="AA185" s="196">
        <v>3</v>
      </c>
      <c r="AB185" t="s">
        <v>376</v>
      </c>
      <c r="AC185" s="68">
        <v>200</v>
      </c>
    </row>
    <row r="186" spans="1:29" ht="15">
      <c r="A186" s="792"/>
      <c r="B186" s="640"/>
      <c r="C186" s="80">
        <f>$AC$2*$AC$185*2/C185</f>
        <v>400</v>
      </c>
      <c r="D186" s="80"/>
      <c r="E186" s="80">
        <f>$AC$2*$AC$185*2/E185</f>
        <v>444.44444444444446</v>
      </c>
      <c r="F186" s="80"/>
      <c r="G186" s="80">
        <f>$AC$2*$AC$185*2/G185</f>
        <v>444.44444444444446</v>
      </c>
      <c r="H186" s="80"/>
      <c r="I186" s="80">
        <f>$AC$2*$AC$185*2/I185</f>
        <v>500</v>
      </c>
      <c r="J186" s="80"/>
      <c r="K186" s="80">
        <f>$AC$2*$AC$185*2/K185</f>
        <v>500</v>
      </c>
      <c r="L186" s="80">
        <f>$AC$2*$AC$185*2/L185</f>
        <v>500</v>
      </c>
      <c r="M186" s="80">
        <f>$AC$2*$AC$185*2/M185</f>
        <v>571.42857142857144</v>
      </c>
      <c r="N186" s="80">
        <f>$AC$2*$AC$185*2/N185</f>
        <v>571.42857142857144</v>
      </c>
      <c r="O186" s="80"/>
      <c r="P186" s="80">
        <f>$AC$2*$AC$185*2/P185</f>
        <v>666.66666666666663</v>
      </c>
      <c r="Q186" s="80">
        <f>$AC$2*$AC$185*2/Q185</f>
        <v>666.66666666666663</v>
      </c>
      <c r="R186" s="80">
        <f>$AC$2*$AC$185*2/R185</f>
        <v>666.66666666666663</v>
      </c>
      <c r="S186" s="80"/>
      <c r="T186" s="80">
        <f t="shared" si="87" ref="T186:AA186">$AC$2*$AC$185*2/T185</f>
        <v>800</v>
      </c>
      <c r="U186" s="80">
        <f t="shared" si="87"/>
        <v>800</v>
      </c>
      <c r="V186" s="80">
        <f t="shared" si="87"/>
        <v>800</v>
      </c>
      <c r="W186" s="80">
        <f t="shared" si="87"/>
        <v>1000</v>
      </c>
      <c r="X186" s="80">
        <f t="shared" si="87"/>
        <v>1000</v>
      </c>
      <c r="Y186" s="80">
        <f t="shared" si="87"/>
        <v>1000</v>
      </c>
      <c r="Z186" s="80">
        <f t="shared" si="87"/>
        <v>1000</v>
      </c>
      <c r="AA186" s="197">
        <f t="shared" si="87"/>
        <v>1333.3333333333333</v>
      </c>
      <c r="AB186" t="s">
        <v>377</v>
      </c>
      <c r="AC186" s="68"/>
    </row>
    <row r="187" spans="1:29" ht="15">
      <c r="A187" s="792"/>
      <c r="B187" s="640"/>
      <c r="C187" s="13" t="s">
        <v>492</v>
      </c>
      <c r="D187" s="29"/>
      <c r="E187" s="824" t="s">
        <v>493</v>
      </c>
      <c r="F187" s="825"/>
      <c r="G187" s="826"/>
      <c r="H187" s="276"/>
      <c r="I187" s="824" t="s">
        <v>494</v>
      </c>
      <c r="J187" s="825"/>
      <c r="K187" s="825"/>
      <c r="L187" s="826"/>
      <c r="M187" s="824" t="s">
        <v>495</v>
      </c>
      <c r="N187" s="826"/>
      <c r="O187" s="276"/>
      <c r="P187" s="824" t="s">
        <v>496</v>
      </c>
      <c r="Q187" s="825"/>
      <c r="R187" s="826"/>
      <c r="S187" s="276"/>
      <c r="T187" s="824" t="s">
        <v>497</v>
      </c>
      <c r="U187" s="825"/>
      <c r="V187" s="826"/>
      <c r="W187" s="824" t="s">
        <v>498</v>
      </c>
      <c r="X187" s="825"/>
      <c r="Y187" s="825"/>
      <c r="Z187" s="826"/>
      <c r="AA187" s="113" t="s">
        <v>499</v>
      </c>
      <c r="AB187" t="s">
        <v>500</v>
      </c>
      <c r="AC187" s="68"/>
    </row>
    <row r="188" spans="1:29" ht="15">
      <c r="A188" s="792"/>
      <c r="B188" s="640"/>
      <c r="C188" s="13"/>
      <c r="D188" s="13"/>
      <c r="E188" s="637"/>
      <c r="F188" s="637"/>
      <c r="G188" s="637"/>
      <c r="H188" s="13"/>
      <c r="I188" s="637" t="s">
        <v>501</v>
      </c>
      <c r="J188" s="637"/>
      <c r="K188" s="637"/>
      <c r="L188" s="637"/>
      <c r="M188" s="637" t="s">
        <v>501</v>
      </c>
      <c r="N188" s="637"/>
      <c r="O188" s="13"/>
      <c r="P188" s="637" t="s">
        <v>502</v>
      </c>
      <c r="Q188" s="637"/>
      <c r="R188" s="637"/>
      <c r="S188" s="13"/>
      <c r="T188" s="637" t="s">
        <v>502</v>
      </c>
      <c r="U188" s="637"/>
      <c r="V188" s="637"/>
      <c r="W188" s="637" t="s">
        <v>502</v>
      </c>
      <c r="X188" s="637"/>
      <c r="Y188" s="637"/>
      <c r="Z188" s="637"/>
      <c r="AA188" s="113"/>
      <c r="AB188" t="s">
        <v>500</v>
      </c>
      <c r="AC188" s="68"/>
    </row>
    <row r="189" spans="1:29" ht="15.75" thickBot="1">
      <c r="A189" s="767"/>
      <c r="B189" s="757"/>
      <c r="C189" s="821" t="s">
        <v>503</v>
      </c>
      <c r="D189" s="822"/>
      <c r="E189" s="822"/>
      <c r="F189" s="822"/>
      <c r="G189" s="822"/>
      <c r="H189" s="822"/>
      <c r="I189" s="822"/>
      <c r="J189" s="822"/>
      <c r="K189" s="822"/>
      <c r="L189" s="822"/>
      <c r="M189" s="822"/>
      <c r="N189" s="822"/>
      <c r="O189" s="822"/>
      <c r="P189" s="822"/>
      <c r="Q189" s="822"/>
      <c r="R189" s="822"/>
      <c r="S189" s="822"/>
      <c r="T189" s="822"/>
      <c r="U189" s="822"/>
      <c r="V189" s="822"/>
      <c r="W189" s="822"/>
      <c r="X189" s="822"/>
      <c r="Y189" s="822"/>
      <c r="Z189" s="822"/>
      <c r="AA189" s="823"/>
      <c r="AC189" s="68">
        <v>200</v>
      </c>
    </row>
    <row r="190" spans="1:29" ht="30">
      <c r="A190" s="13" t="s">
        <v>267</v>
      </c>
      <c r="B190" s="27" t="s">
        <v>116</v>
      </c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07"/>
      <c r="AC190" s="68"/>
    </row>
    <row r="191" spans="1:29" ht="15" customHeight="1">
      <c r="A191" s="13" t="s">
        <v>268</v>
      </c>
      <c r="B191" s="27" t="s">
        <v>334</v>
      </c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07"/>
      <c r="AC191" s="68"/>
    </row>
    <row r="192" spans="1:29" ht="15" customHeight="1">
      <c r="A192" s="13" t="s">
        <v>335</v>
      </c>
      <c r="B192" s="27" t="s">
        <v>336</v>
      </c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07"/>
      <c r="AC192" s="68"/>
    </row>
    <row r="193" spans="1:29" ht="15" customHeight="1">
      <c r="A193" s="13" t="s">
        <v>269</v>
      </c>
      <c r="B193" s="56" t="s">
        <v>270</v>
      </c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07"/>
      <c r="AC193" s="68"/>
    </row>
    <row r="194" spans="1:29" ht="30" customHeight="1">
      <c r="A194" s="13" t="s">
        <v>271</v>
      </c>
      <c r="B194" s="56" t="s">
        <v>85</v>
      </c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07"/>
      <c r="AC194" s="68"/>
    </row>
    <row r="195" spans="1:29" ht="15">
      <c r="A195" s="13" t="s">
        <v>272</v>
      </c>
      <c r="B195" s="27" t="s">
        <v>337</v>
      </c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07"/>
      <c r="AC195" s="68"/>
    </row>
    <row r="196" spans="1:29" ht="30">
      <c r="A196" s="13" t="s">
        <v>339</v>
      </c>
      <c r="B196" s="27" t="s">
        <v>338</v>
      </c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07"/>
      <c r="AC196" s="68"/>
    </row>
    <row r="197" spans="1:29" ht="30" customHeight="1" thickBot="1">
      <c r="A197" s="54" t="s">
        <v>273</v>
      </c>
      <c r="B197" s="476" t="s">
        <v>125</v>
      </c>
      <c r="C197" s="539"/>
      <c r="D197" s="539"/>
      <c r="E197" s="539"/>
      <c r="F197" s="539"/>
      <c r="G197" s="539"/>
      <c r="H197" s="539"/>
      <c r="I197" s="539"/>
      <c r="J197" s="539"/>
      <c r="K197" s="539"/>
      <c r="L197" s="539"/>
      <c r="M197" s="539"/>
      <c r="N197" s="539"/>
      <c r="O197" s="539"/>
      <c r="P197" s="539"/>
      <c r="Q197" s="539"/>
      <c r="R197" s="539"/>
      <c r="S197" s="539"/>
      <c r="T197" s="539"/>
      <c r="U197" s="539"/>
      <c r="V197" s="539"/>
      <c r="W197" s="539"/>
      <c r="X197" s="539"/>
      <c r="Y197" s="539"/>
      <c r="Z197" s="539"/>
      <c r="AA197" s="539"/>
      <c r="AB197" s="107"/>
      <c r="AC197" s="68"/>
    </row>
    <row r="198" spans="1:29" ht="15">
      <c r="A198" s="704" t="s">
        <v>1668</v>
      </c>
      <c r="B198" s="707" t="s">
        <v>1670</v>
      </c>
      <c r="C198" s="551">
        <f t="shared" si="88" ref="C198:R198">$AC$2/C199*2</f>
        <v>18.558295027162558</v>
      </c>
      <c r="D198" s="551">
        <f t="shared" si="88"/>
        <v>16.108088501994924</v>
      </c>
      <c r="E198" s="551">
        <f t="shared" si="88"/>
        <v>15.484658298465829</v>
      </c>
      <c r="F198" s="551">
        <f t="shared" si="88"/>
        <v>15.388080388080388</v>
      </c>
      <c r="G198" s="551">
        <f t="shared" si="88"/>
        <v>15.324361628709456</v>
      </c>
      <c r="H198" s="551">
        <f t="shared" si="88"/>
        <v>13.268598745144905</v>
      </c>
      <c r="I198" s="551">
        <f t="shared" si="88"/>
        <v>13.162418494368703</v>
      </c>
      <c r="J198" s="551">
        <f t="shared" si="88"/>
        <v>13.376506024096386</v>
      </c>
      <c r="K198" s="551">
        <f t="shared" si="88"/>
        <v>13.376506024096386</v>
      </c>
      <c r="L198" s="551">
        <f t="shared" si="88"/>
        <v>12.973999415717207</v>
      </c>
      <c r="M198" s="551">
        <f t="shared" si="88"/>
        <v>12.943748178373651</v>
      </c>
      <c r="N198" s="551">
        <f t="shared" si="88"/>
        <v>11.466563387554867</v>
      </c>
      <c r="O198" s="551">
        <f t="shared" si="88"/>
        <v>11.355152135003834</v>
      </c>
      <c r="P198" s="551">
        <f t="shared" si="88"/>
        <v>11.355152135003834</v>
      </c>
      <c r="Q198" s="551">
        <f t="shared" si="88"/>
        <v>10.320706483848477</v>
      </c>
      <c r="R198" s="551">
        <f t="shared" si="88"/>
        <v>10</v>
      </c>
      <c r="S198" s="551">
        <f>$AC$2/S199*2</f>
        <v>10</v>
      </c>
      <c r="T198" s="709" t="s">
        <v>449</v>
      </c>
      <c r="U198" s="710"/>
      <c r="V198" s="710"/>
      <c r="W198" s="710"/>
      <c r="X198" s="710"/>
      <c r="Y198" s="710"/>
      <c r="Z198" s="710"/>
      <c r="AA198" s="711"/>
      <c r="AB198" s="107" t="s">
        <v>1681</v>
      </c>
      <c r="AC198" s="68"/>
    </row>
    <row r="199" spans="1:29" ht="15">
      <c r="A199" s="705"/>
      <c r="B199" s="668"/>
      <c r="C199" s="546">
        <f t="shared" si="89" ref="C199:R199">C200*2</f>
        <v>1.0776852060346769</v>
      </c>
      <c r="D199" s="546">
        <f t="shared" si="89"/>
        <v>1.2416122494933572</v>
      </c>
      <c r="E199" s="546">
        <f t="shared" si="89"/>
        <v>1.2916009907678452</v>
      </c>
      <c r="F199" s="546">
        <f t="shared" si="89"/>
        <v>1.299707273136681</v>
      </c>
      <c r="G199" s="546">
        <f t="shared" si="89"/>
        <v>1.3051114613825714</v>
      </c>
      <c r="H199" s="546">
        <f t="shared" si="89"/>
        <v>1.5073181715829769</v>
      </c>
      <c r="I199" s="546">
        <f t="shared" si="89"/>
        <v>1.5194775951362305</v>
      </c>
      <c r="J199" s="546">
        <f t="shared" si="89"/>
        <v>1.495158748029723</v>
      </c>
      <c r="K199" s="546">
        <f t="shared" si="89"/>
        <v>1.495158748029723</v>
      </c>
      <c r="L199" s="546">
        <f t="shared" si="89"/>
        <v>1.5415446971402837</v>
      </c>
      <c r="M199" s="546">
        <f t="shared" si="89"/>
        <v>1.5451474893042108</v>
      </c>
      <c r="N199" s="546">
        <f t="shared" si="89"/>
        <v>1.74420175636118</v>
      </c>
      <c r="O199" s="546">
        <f t="shared" si="89"/>
        <v>1.7613150191398335</v>
      </c>
      <c r="P199" s="546">
        <f t="shared" si="89"/>
        <v>1.7613150191398335</v>
      </c>
      <c r="Q199" s="546">
        <f t="shared" si="89"/>
        <v>1.9378518351722585</v>
      </c>
      <c r="R199" s="546">
        <f t="shared" si="89"/>
        <v>2</v>
      </c>
      <c r="S199" s="546">
        <f>S200*2</f>
        <v>2</v>
      </c>
      <c r="T199" s="712"/>
      <c r="U199" s="713"/>
      <c r="V199" s="713"/>
      <c r="W199" s="713"/>
      <c r="X199" s="713"/>
      <c r="Y199" s="713"/>
      <c r="Z199" s="713"/>
      <c r="AA199" s="714"/>
      <c r="AB199" s="107" t="s">
        <v>393</v>
      </c>
      <c r="AC199" s="68"/>
    </row>
    <row r="200" spans="1:29" ht="15">
      <c r="A200" s="705"/>
      <c r="B200" s="668"/>
      <c r="C200" s="548">
        <f t="shared" si="90" ref="C200:Q200">$S$200*C201</f>
        <v>0.53884260301733844</v>
      </c>
      <c r="D200" s="548">
        <f t="shared" si="90"/>
        <v>0.62080612474667862</v>
      </c>
      <c r="E200" s="548">
        <f t="shared" si="90"/>
        <v>0.64580049538392259</v>
      </c>
      <c r="F200" s="548">
        <f t="shared" si="90"/>
        <v>0.6498536365683405</v>
      </c>
      <c r="G200" s="548">
        <f t="shared" si="90"/>
        <v>0.6525557306912857</v>
      </c>
      <c r="H200" s="548">
        <f t="shared" si="90"/>
        <v>0.75365908579148844</v>
      </c>
      <c r="I200" s="548">
        <f t="shared" si="90"/>
        <v>0.75973879756811524</v>
      </c>
      <c r="J200" s="548">
        <f t="shared" si="90"/>
        <v>0.74757937401486152</v>
      </c>
      <c r="K200" s="548">
        <f t="shared" si="90"/>
        <v>0.74757937401486152</v>
      </c>
      <c r="L200" s="548">
        <f t="shared" si="90"/>
        <v>0.77077234857014187</v>
      </c>
      <c r="M200" s="548">
        <f t="shared" si="90"/>
        <v>0.77257374465210538</v>
      </c>
      <c r="N200" s="548">
        <f t="shared" si="90"/>
        <v>0.87210087818059001</v>
      </c>
      <c r="O200" s="548">
        <f t="shared" si="90"/>
        <v>0.88065750956991673</v>
      </c>
      <c r="P200" s="548">
        <f t="shared" si="90"/>
        <v>0.88065750956991673</v>
      </c>
      <c r="Q200" s="548">
        <f t="shared" si="90"/>
        <v>0.96892591758612923</v>
      </c>
      <c r="R200" s="534">
        <f>$S$200*R201</f>
        <v>1</v>
      </c>
      <c r="S200" s="549">
        <v>1</v>
      </c>
      <c r="T200" s="712"/>
      <c r="U200" s="713"/>
      <c r="V200" s="713"/>
      <c r="W200" s="713"/>
      <c r="X200" s="713"/>
      <c r="Y200" s="713"/>
      <c r="Z200" s="713"/>
      <c r="AA200" s="714"/>
      <c r="AB200" s="107" t="s">
        <v>1680</v>
      </c>
      <c r="AC200" s="107"/>
    </row>
    <row r="201" spans="1:29" ht="15">
      <c r="A201" s="705"/>
      <c r="B201" s="668"/>
      <c r="C201" s="547">
        <f t="shared" si="91" ref="C201:R201">C202/$S$202</f>
        <v>0.53884260301733844</v>
      </c>
      <c r="D201" s="547">
        <f t="shared" si="91"/>
        <v>0.62080612474667862</v>
      </c>
      <c r="E201" s="547">
        <f t="shared" si="91"/>
        <v>0.64580049538392259</v>
      </c>
      <c r="F201" s="547">
        <f t="shared" si="91"/>
        <v>0.6498536365683405</v>
      </c>
      <c r="G201" s="547">
        <f t="shared" si="91"/>
        <v>0.6525557306912857</v>
      </c>
      <c r="H201" s="547">
        <f t="shared" si="91"/>
        <v>0.75365908579148844</v>
      </c>
      <c r="I201" s="547">
        <f t="shared" si="91"/>
        <v>0.75973879756811524</v>
      </c>
      <c r="J201" s="547">
        <f t="shared" si="91"/>
        <v>0.74757937401486152</v>
      </c>
      <c r="K201" s="547">
        <f t="shared" si="91"/>
        <v>0.74757937401486152</v>
      </c>
      <c r="L201" s="547">
        <f t="shared" si="91"/>
        <v>0.77077234857014187</v>
      </c>
      <c r="M201" s="547">
        <f t="shared" si="91"/>
        <v>0.77257374465210538</v>
      </c>
      <c r="N201" s="547">
        <f t="shared" si="91"/>
        <v>0.87210087818059001</v>
      </c>
      <c r="O201" s="547">
        <f t="shared" si="91"/>
        <v>0.88065750956991673</v>
      </c>
      <c r="P201" s="547">
        <f t="shared" si="91"/>
        <v>0.88065750956991673</v>
      </c>
      <c r="Q201" s="547">
        <f t="shared" si="91"/>
        <v>0.96892591758612923</v>
      </c>
      <c r="R201" s="547">
        <f t="shared" si="91"/>
        <v>1</v>
      </c>
      <c r="S201" s="550">
        <f>S202/$S$202</f>
        <v>1</v>
      </c>
      <c r="T201" s="712"/>
      <c r="U201" s="713"/>
      <c r="V201" s="713"/>
      <c r="W201" s="713"/>
      <c r="X201" s="713"/>
      <c r="Y201" s="713"/>
      <c r="Z201" s="713"/>
      <c r="AA201" s="714"/>
      <c r="AB201" s="107" t="s">
        <v>395</v>
      </c>
      <c r="AC201" s="68"/>
    </row>
    <row r="202" spans="1:29" ht="15.75" thickBot="1">
      <c r="A202" s="706"/>
      <c r="B202" s="708"/>
      <c r="C202" s="222">
        <v>2393</v>
      </c>
      <c r="D202" s="222">
        <v>2757</v>
      </c>
      <c r="E202" s="223">
        <v>2868</v>
      </c>
      <c r="F202" s="223">
        <v>2886</v>
      </c>
      <c r="G202" s="223">
        <v>2898</v>
      </c>
      <c r="H202" s="223">
        <v>3347</v>
      </c>
      <c r="I202" s="223">
        <v>3374</v>
      </c>
      <c r="J202" s="223">
        <v>3320</v>
      </c>
      <c r="K202" s="223">
        <v>3320</v>
      </c>
      <c r="L202" s="223">
        <v>3423</v>
      </c>
      <c r="M202" s="223">
        <v>3431</v>
      </c>
      <c r="N202" s="223">
        <v>3873</v>
      </c>
      <c r="O202" s="223">
        <v>3911</v>
      </c>
      <c r="P202" s="223">
        <v>3911</v>
      </c>
      <c r="Q202" s="223">
        <v>4303</v>
      </c>
      <c r="R202" s="223">
        <v>4441</v>
      </c>
      <c r="S202" s="540">
        <v>4441</v>
      </c>
      <c r="T202" s="715"/>
      <c r="U202" s="716"/>
      <c r="V202" s="716"/>
      <c r="W202" s="716"/>
      <c r="X202" s="716"/>
      <c r="Y202" s="716"/>
      <c r="Z202" s="716"/>
      <c r="AA202" s="717"/>
      <c r="AB202" s="107" t="s">
        <v>1672</v>
      </c>
      <c r="AC202" s="68"/>
    </row>
    <row r="203" spans="1:29" ht="15">
      <c r="A203" s="704" t="s">
        <v>1669</v>
      </c>
      <c r="B203" s="707" t="s">
        <v>1671</v>
      </c>
      <c r="C203" s="718" t="s">
        <v>1673</v>
      </c>
      <c r="D203" s="718"/>
      <c r="E203" s="718"/>
      <c r="F203" s="718"/>
      <c r="G203" s="718"/>
      <c r="H203" s="718"/>
      <c r="I203" s="718"/>
      <c r="J203" s="718"/>
      <c r="K203" s="718"/>
      <c r="L203" s="718"/>
      <c r="M203" s="718"/>
      <c r="N203" s="718"/>
      <c r="O203" s="718"/>
      <c r="P203" s="718"/>
      <c r="Q203" s="718"/>
      <c r="R203" s="718"/>
      <c r="S203" s="541"/>
      <c r="T203" s="709" t="s">
        <v>449</v>
      </c>
      <c r="U203" s="719"/>
      <c r="V203" s="719"/>
      <c r="W203" s="719"/>
      <c r="X203" s="719"/>
      <c r="Y203" s="719"/>
      <c r="Z203" s="719"/>
      <c r="AA203" s="720"/>
      <c r="AB203" s="107"/>
      <c r="AC203" s="68"/>
    </row>
    <row r="204" spans="1:29" ht="15.75" thickBot="1">
      <c r="A204" s="706"/>
      <c r="B204" s="708"/>
      <c r="C204" s="222">
        <v>2393</v>
      </c>
      <c r="D204" s="222">
        <v>2757</v>
      </c>
      <c r="E204" s="223">
        <v>2868</v>
      </c>
      <c r="F204" s="223">
        <v>2886</v>
      </c>
      <c r="G204" s="223">
        <v>2898</v>
      </c>
      <c r="H204" s="223">
        <v>3347</v>
      </c>
      <c r="I204" s="223">
        <v>3374</v>
      </c>
      <c r="J204" s="223">
        <v>3320</v>
      </c>
      <c r="K204" s="223">
        <v>3320</v>
      </c>
      <c r="L204" s="223">
        <v>3423</v>
      </c>
      <c r="M204" s="223">
        <v>3431</v>
      </c>
      <c r="N204" s="223">
        <v>3873</v>
      </c>
      <c r="O204" s="223">
        <v>3911</v>
      </c>
      <c r="P204" s="223">
        <v>3911</v>
      </c>
      <c r="Q204" s="223">
        <v>4303</v>
      </c>
      <c r="R204" s="223">
        <v>4441</v>
      </c>
      <c r="S204" s="540">
        <v>4441</v>
      </c>
      <c r="T204" s="721"/>
      <c r="U204" s="722"/>
      <c r="V204" s="722"/>
      <c r="W204" s="722"/>
      <c r="X204" s="722"/>
      <c r="Y204" s="722"/>
      <c r="Z204" s="722"/>
      <c r="AA204" s="723"/>
      <c r="AB204" s="107" t="s">
        <v>1674</v>
      </c>
      <c r="AC204" s="68"/>
    </row>
    <row r="205" spans="1:29" ht="15">
      <c r="A205" s="90" t="s">
        <v>274</v>
      </c>
      <c r="B205" s="369" t="s">
        <v>275</v>
      </c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  <c r="AA205" s="69"/>
      <c r="AB205" s="107"/>
      <c r="AC205" s="68"/>
    </row>
    <row r="206" spans="1:29" ht="15.75" thickBot="1">
      <c r="A206" s="13" t="s">
        <v>277</v>
      </c>
      <c r="B206" s="27" t="s">
        <v>278</v>
      </c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07"/>
      <c r="AC206" s="68"/>
    </row>
    <row r="207" spans="1:29" ht="15.75" thickBot="1">
      <c r="A207" s="176" t="s">
        <v>279</v>
      </c>
      <c r="B207" s="192" t="s">
        <v>280</v>
      </c>
      <c r="C207" s="198">
        <v>13</v>
      </c>
      <c r="D207" s="198"/>
      <c r="E207" s="198">
        <v>13</v>
      </c>
      <c r="F207" s="198"/>
      <c r="G207" s="198">
        <v>13</v>
      </c>
      <c r="H207" s="198"/>
      <c r="I207" s="198">
        <v>11</v>
      </c>
      <c r="J207" s="198"/>
      <c r="K207" s="198">
        <v>11</v>
      </c>
      <c r="L207" s="198">
        <v>11</v>
      </c>
      <c r="M207" s="198">
        <v>10</v>
      </c>
      <c r="N207" s="198">
        <v>10</v>
      </c>
      <c r="O207" s="198"/>
      <c r="P207" s="198">
        <v>10</v>
      </c>
      <c r="Q207" s="198">
        <v>10</v>
      </c>
      <c r="R207" s="179">
        <v>10</v>
      </c>
      <c r="S207" s="179"/>
      <c r="T207" s="179">
        <v>9</v>
      </c>
      <c r="U207" s="179">
        <v>9</v>
      </c>
      <c r="V207" s="179">
        <v>9</v>
      </c>
      <c r="W207" s="179">
        <v>8</v>
      </c>
      <c r="X207" s="179">
        <v>8</v>
      </c>
      <c r="Y207" s="179">
        <v>8</v>
      </c>
      <c r="Z207" s="179">
        <v>8</v>
      </c>
      <c r="AA207" s="181">
        <v>7</v>
      </c>
      <c r="AC207" s="68">
        <v>166</v>
      </c>
    </row>
    <row r="208" spans="1:29" ht="15">
      <c r="A208" s="791" t="s">
        <v>281</v>
      </c>
      <c r="B208" s="777" t="s">
        <v>30</v>
      </c>
      <c r="C208" s="199">
        <f>$AC$2/C210</f>
        <v>15.285451197053407</v>
      </c>
      <c r="D208" s="199"/>
      <c r="E208" s="199">
        <f>$AC$2/E210</f>
        <v>9.6124150710315011</v>
      </c>
      <c r="F208" s="199"/>
      <c r="G208" s="199">
        <f>$AC$2/G210</f>
        <v>8.4286778146367887</v>
      </c>
      <c r="H208" s="199"/>
      <c r="I208" s="199">
        <f>$AC$2/I210</f>
        <v>6.6026728892660165</v>
      </c>
      <c r="J208" s="199"/>
      <c r="K208" s="199">
        <f t="shared" si="92" ref="K208:R208">$AC$2/K210</f>
        <v>6</v>
      </c>
      <c r="L208" s="199">
        <f t="shared" si="92"/>
        <v>5.8046017204000284</v>
      </c>
      <c r="M208" s="199">
        <f t="shared" si="92"/>
        <v>5.6598627085511657</v>
      </c>
      <c r="N208" s="199">
        <f t="shared" si="92"/>
        <v>4.5979133967316042</v>
      </c>
      <c r="O208" s="199">
        <f t="shared" si="92"/>
        <v>4.3841115571519111</v>
      </c>
      <c r="P208" s="199">
        <f t="shared" si="92"/>
        <v>4.3458531136554042</v>
      </c>
      <c r="Q208" s="199">
        <f t="shared" si="92"/>
        <v>3.50482088816947</v>
      </c>
      <c r="R208" s="199">
        <f t="shared" si="92"/>
        <v>3.3474040814131687</v>
      </c>
      <c r="S208" s="199"/>
      <c r="T208" s="199">
        <f t="shared" si="93" ref="T208:AA208">$AC$2/T210</f>
        <v>2.9447939826860301</v>
      </c>
      <c r="U208" s="199">
        <f t="shared" si="93"/>
        <v>2.6795514710629962</v>
      </c>
      <c r="V208" s="199">
        <f t="shared" si="93"/>
        <v>2.3797236080050461</v>
      </c>
      <c r="W208" s="199">
        <f t="shared" si="93"/>
        <v>2.4493891282535558</v>
      </c>
      <c r="X208" s="199">
        <f t="shared" si="93"/>
        <v>2.2711932429720707</v>
      </c>
      <c r="Y208" s="199">
        <f t="shared" si="93"/>
        <v>2.2305032516975118</v>
      </c>
      <c r="Z208" s="199">
        <f t="shared" si="93"/>
        <v>2.2008131518472691</v>
      </c>
      <c r="AA208" s="200">
        <f t="shared" si="93"/>
        <v>2.055880313088279</v>
      </c>
      <c r="AB208" t="s">
        <v>376</v>
      </c>
      <c r="AC208" s="68">
        <v>166</v>
      </c>
    </row>
    <row r="209" spans="1:29" ht="15">
      <c r="A209" s="792"/>
      <c r="B209" s="640"/>
      <c r="C209" s="201">
        <f>C210*$AC$208</f>
        <v>108.59999999999999</v>
      </c>
      <c r="D209" s="201"/>
      <c r="E209" s="201">
        <f>E210*$AC$208</f>
        <v>172.69333333333336</v>
      </c>
      <c r="F209" s="201"/>
      <c r="G209" s="201">
        <f>G210*$AC$208</f>
        <v>196.94666666666669</v>
      </c>
      <c r="H209" s="201"/>
      <c r="I209" s="201">
        <f>I210*$AC$208</f>
        <v>251.41333333333333</v>
      </c>
      <c r="J209" s="201"/>
      <c r="K209" s="201">
        <f t="shared" si="94" ref="K209:P209">K210*$AC$208</f>
        <v>276.66666666666669</v>
      </c>
      <c r="L209" s="201">
        <f t="shared" si="94"/>
        <v>285.98000000000002</v>
      </c>
      <c r="M209" s="201">
        <f t="shared" si="94"/>
        <v>293.29333333333335</v>
      </c>
      <c r="N209" s="201">
        <f t="shared" si="94"/>
        <v>361.0333333333333</v>
      </c>
      <c r="O209" s="201">
        <f t="shared" si="94"/>
        <v>378.64000000000004</v>
      </c>
      <c r="P209" s="201">
        <f t="shared" si="94"/>
        <v>381.9733333333333</v>
      </c>
      <c r="Q209" s="201">
        <f t="shared" si="95" ref="Q209">Q210*$AC$208</f>
        <v>473.63333333333333</v>
      </c>
      <c r="R209" s="201">
        <f>R210*$AC$208</f>
        <v>495.90666666666675</v>
      </c>
      <c r="S209" s="201"/>
      <c r="T209" s="201">
        <f>T210*$AC$208</f>
        <v>563.70666666666671</v>
      </c>
      <c r="U209" s="201">
        <f t="shared" si="96" ref="U209">U210*$AC$208</f>
        <v>619.50666666666666</v>
      </c>
      <c r="V209" s="201">
        <f t="shared" si="97" ref="V209">V210*$AC$208</f>
        <v>697.56</v>
      </c>
      <c r="W209" s="201">
        <f t="shared" si="98" ref="W209">W210*$AC$208</f>
        <v>677.72</v>
      </c>
      <c r="X209" s="201">
        <f t="shared" si="99" ref="X209">X210*$AC$208</f>
        <v>730.89333333333332</v>
      </c>
      <c r="Y209" s="201">
        <f t="shared" si="100" ref="Y209:Z209">Y210*$AC$208</f>
        <v>744.22666666666657</v>
      </c>
      <c r="Z209" s="201">
        <f t="shared" si="100"/>
        <v>754.26666666666665</v>
      </c>
      <c r="AA209" s="202">
        <f t="shared" si="101" ref="AA209">AA210*$AC$208</f>
        <v>807.44</v>
      </c>
      <c r="AB209" t="s">
        <v>377</v>
      </c>
      <c r="AC209" s="68"/>
    </row>
    <row r="210" spans="1:29" ht="15">
      <c r="A210" s="792"/>
      <c r="B210" s="640"/>
      <c r="C210" s="203">
        <f t="shared" si="102" ref="C210:K210">(C211+C214)/60</f>
        <v>0.6542168674698795</v>
      </c>
      <c r="D210" s="203"/>
      <c r="E210" s="203">
        <f t="shared" si="102"/>
        <v>1.0403212851405623</v>
      </c>
      <c r="F210" s="203"/>
      <c r="G210" s="203">
        <f t="shared" si="102"/>
        <v>1.186425702811245</v>
      </c>
      <c r="H210" s="203"/>
      <c r="I210" s="203">
        <f t="shared" si="102"/>
        <v>1.5145381526104418</v>
      </c>
      <c r="J210" s="203"/>
      <c r="K210" s="203">
        <f t="shared" si="102"/>
        <v>1.6666666666666667</v>
      </c>
      <c r="L210" s="203">
        <f>(L211+L214)/60</f>
        <v>1.7227710843373494</v>
      </c>
      <c r="M210" s="203">
        <f t="shared" si="103" ref="M210:AA210">(M211+M214)/60</f>
        <v>1.766827309236948</v>
      </c>
      <c r="N210" s="203">
        <f t="shared" si="103"/>
        <v>2.1748995983935742</v>
      </c>
      <c r="O210" s="203">
        <f t="shared" si="104" ref="O210">(O211+O214)/60</f>
        <v>2.2809638554216871</v>
      </c>
      <c r="P210" s="203">
        <f t="shared" si="103"/>
        <v>2.301044176706827</v>
      </c>
      <c r="Q210" s="203">
        <f t="shared" si="103"/>
        <v>2.8532128514056225</v>
      </c>
      <c r="R210" s="203">
        <f t="shared" si="103"/>
        <v>2.9873895582329322</v>
      </c>
      <c r="S210" s="203"/>
      <c r="T210" s="203">
        <f t="shared" si="103"/>
        <v>3.395823293172691</v>
      </c>
      <c r="U210" s="203">
        <f t="shared" si="103"/>
        <v>3.7319678714859439</v>
      </c>
      <c r="V210" s="203">
        <f t="shared" si="103"/>
        <v>4.202168674698795</v>
      </c>
      <c r="W210" s="203">
        <f t="shared" si="103"/>
        <v>4.0826506024096387</v>
      </c>
      <c r="X210" s="203">
        <f t="shared" si="103"/>
        <v>4.4029718875502004</v>
      </c>
      <c r="Y210" s="203">
        <f t="shared" si="103"/>
        <v>4.4832931726907628</v>
      </c>
      <c r="Z210" s="203">
        <f t="shared" si="103"/>
        <v>4.5437751004016063</v>
      </c>
      <c r="AA210" s="204">
        <f t="shared" si="103"/>
        <v>4.8640963855421688</v>
      </c>
      <c r="AB210" t="s">
        <v>17</v>
      </c>
      <c r="AC210" s="68"/>
    </row>
    <row r="211" spans="1:29" ht="15">
      <c r="A211" s="792"/>
      <c r="B211" s="640"/>
      <c r="C211" s="54">
        <f>$K$211*C212</f>
        <v>36</v>
      </c>
      <c r="D211" s="54"/>
      <c r="E211" s="54">
        <f>$K$211*E212</f>
        <v>57.60</v>
      </c>
      <c r="F211" s="54"/>
      <c r="G211" s="54">
        <f>$K$211*G212</f>
        <v>64.80</v>
      </c>
      <c r="H211" s="54"/>
      <c r="I211" s="54">
        <f>$K$211*I212</f>
        <v>82.80</v>
      </c>
      <c r="J211" s="54"/>
      <c r="K211" s="169">
        <v>90</v>
      </c>
      <c r="L211" s="54">
        <f>$K$211*L212</f>
        <v>91.80</v>
      </c>
      <c r="M211" s="54">
        <f t="shared" si="105" ref="M211:AA211">$K$211*M212</f>
        <v>93.60</v>
      </c>
      <c r="N211" s="54">
        <f t="shared" si="105"/>
        <v>117</v>
      </c>
      <c r="O211" s="54">
        <f t="shared" si="105"/>
        <v>122.40000000000001</v>
      </c>
      <c r="P211" s="54">
        <f t="shared" si="105"/>
        <v>122.40000000000001</v>
      </c>
      <c r="Q211" s="54">
        <f t="shared" si="105"/>
        <v>153</v>
      </c>
      <c r="R211" s="54">
        <f t="shared" si="105"/>
        <v>158.40000000000001</v>
      </c>
      <c r="S211" s="54"/>
      <c r="T211" s="54">
        <f t="shared" si="105"/>
        <v>176.40</v>
      </c>
      <c r="U211" s="54">
        <f t="shared" si="105"/>
        <v>194.40</v>
      </c>
      <c r="V211" s="54">
        <f t="shared" si="105"/>
        <v>219.60</v>
      </c>
      <c r="W211" s="54">
        <f t="shared" si="105"/>
        <v>205.20</v>
      </c>
      <c r="X211" s="54">
        <f t="shared" si="105"/>
        <v>219.60</v>
      </c>
      <c r="Y211" s="54">
        <f t="shared" si="105"/>
        <v>219.60</v>
      </c>
      <c r="Z211" s="54">
        <f t="shared" si="105"/>
        <v>216</v>
      </c>
      <c r="AA211" s="144">
        <f t="shared" si="105"/>
        <v>230.40</v>
      </c>
      <c r="AB211" t="s">
        <v>505</v>
      </c>
      <c r="AC211" s="68"/>
    </row>
    <row r="212" spans="1:29" ht="15">
      <c r="A212" s="792"/>
      <c r="B212" s="640"/>
      <c r="C212" s="205">
        <f>C213/$K$213</f>
        <v>0.40</v>
      </c>
      <c r="D212" s="205"/>
      <c r="E212" s="205">
        <f>E213/$K$213</f>
        <v>0.64</v>
      </c>
      <c r="F212" s="205"/>
      <c r="G212" s="205">
        <f>G213/$K$213</f>
        <v>0.72</v>
      </c>
      <c r="H212" s="205"/>
      <c r="I212" s="205">
        <f>I213/$K$213</f>
        <v>0.92</v>
      </c>
      <c r="J212" s="205"/>
      <c r="K212" s="205">
        <f>K213/$K$213</f>
        <v>1</v>
      </c>
      <c r="L212" s="205">
        <f t="shared" si="106" ref="L212">L213/$K$213</f>
        <v>1.02</v>
      </c>
      <c r="M212" s="205">
        <f t="shared" si="107" ref="M212">M213/$K$213</f>
        <v>1.04</v>
      </c>
      <c r="N212" s="205">
        <f t="shared" si="108" ref="N212">N213/$K$213</f>
        <v>1.30</v>
      </c>
      <c r="O212" s="205">
        <f t="shared" si="109" ref="O212:Q212">O213/$K$213</f>
        <v>1.36</v>
      </c>
      <c r="P212" s="205">
        <f t="shared" si="109"/>
        <v>1.36</v>
      </c>
      <c r="Q212" s="205">
        <f t="shared" si="109"/>
        <v>1.70</v>
      </c>
      <c r="R212" s="205">
        <f t="shared" si="110" ref="R212">R213/$K$213</f>
        <v>1.76</v>
      </c>
      <c r="S212" s="205"/>
      <c r="T212" s="205">
        <f t="shared" si="111" ref="T212">T213/$K$213</f>
        <v>1.96</v>
      </c>
      <c r="U212" s="205">
        <f t="shared" si="112" ref="U212">U213/$K$213</f>
        <v>2.16</v>
      </c>
      <c r="V212" s="205">
        <f t="shared" si="113" ref="V212:W212">V213/$K$213</f>
        <v>2.44</v>
      </c>
      <c r="W212" s="205">
        <f t="shared" si="113"/>
        <v>2.2799999999999998</v>
      </c>
      <c r="X212" s="205">
        <f t="shared" si="114" ref="X212">X213/$K$213</f>
        <v>2.44</v>
      </c>
      <c r="Y212" s="205">
        <f t="shared" si="115" ref="Y212">Y213/$K$213</f>
        <v>2.44</v>
      </c>
      <c r="Z212" s="205">
        <f t="shared" si="116" ref="Z212">Z213/$K$213</f>
        <v>2.40</v>
      </c>
      <c r="AA212" s="206">
        <f t="shared" si="117" ref="AA212">AA213/$K$213</f>
        <v>2.56</v>
      </c>
      <c r="AB212" t="s">
        <v>506</v>
      </c>
      <c r="AC212" s="68"/>
    </row>
    <row r="213" spans="1:29" ht="15">
      <c r="A213" s="792"/>
      <c r="B213" s="640"/>
      <c r="C213" s="54">
        <v>20</v>
      </c>
      <c r="D213" s="54"/>
      <c r="E213" s="54">
        <v>32</v>
      </c>
      <c r="F213" s="54"/>
      <c r="G213" s="54">
        <v>36</v>
      </c>
      <c r="H213" s="54"/>
      <c r="I213" s="54">
        <v>46</v>
      </c>
      <c r="J213" s="54"/>
      <c r="K213" s="54">
        <v>50</v>
      </c>
      <c r="L213" s="54">
        <v>51</v>
      </c>
      <c r="M213" s="54">
        <v>52</v>
      </c>
      <c r="N213" s="54">
        <v>65</v>
      </c>
      <c r="O213" s="54">
        <v>68</v>
      </c>
      <c r="P213" s="54">
        <v>68</v>
      </c>
      <c r="Q213" s="54">
        <v>85</v>
      </c>
      <c r="R213" s="207">
        <v>88</v>
      </c>
      <c r="S213" s="207"/>
      <c r="T213" s="207">
        <v>98</v>
      </c>
      <c r="U213" s="207">
        <v>108</v>
      </c>
      <c r="V213" s="208">
        <v>122</v>
      </c>
      <c r="W213" s="208">
        <v>114</v>
      </c>
      <c r="X213" s="209">
        <v>122</v>
      </c>
      <c r="Y213" s="208">
        <v>122</v>
      </c>
      <c r="Z213" s="208">
        <v>120</v>
      </c>
      <c r="AA213" s="210">
        <v>128</v>
      </c>
      <c r="AB213" t="s">
        <v>507</v>
      </c>
      <c r="AC213" s="68"/>
    </row>
    <row r="214" spans="1:29" ht="15">
      <c r="A214" s="792"/>
      <c r="B214" s="640"/>
      <c r="C214" s="203">
        <f>$K$214*C215</f>
        <v>3.2530120481927716</v>
      </c>
      <c r="D214" s="203"/>
      <c r="E214" s="203">
        <f>$K$214*E215</f>
        <v>4.8192771084337354</v>
      </c>
      <c r="F214" s="203"/>
      <c r="G214" s="203">
        <f>$K$214*G215</f>
        <v>6.3855421686746991</v>
      </c>
      <c r="H214" s="203"/>
      <c r="I214" s="203">
        <f>$K$214*I215</f>
        <v>8.0722891566265069</v>
      </c>
      <c r="J214" s="203"/>
      <c r="K214" s="169">
        <v>10</v>
      </c>
      <c r="L214" s="203">
        <f>$K$214*L215</f>
        <v>11.566265060240964</v>
      </c>
      <c r="M214" s="203">
        <f t="shared" si="118" ref="M214:AA214">$K$214*M215</f>
        <v>12.409638554216869</v>
      </c>
      <c r="N214" s="203">
        <f t="shared" si="118"/>
        <v>13.493975903614459</v>
      </c>
      <c r="O214" s="203">
        <f t="shared" si="118"/>
        <v>14.457831325301205</v>
      </c>
      <c r="P214" s="203">
        <f t="shared" si="118"/>
        <v>15.66265060240964</v>
      </c>
      <c r="Q214" s="203">
        <f t="shared" si="118"/>
        <v>18.192771084337352</v>
      </c>
      <c r="R214" s="203">
        <f t="shared" si="118"/>
        <v>20.843373493975903</v>
      </c>
      <c r="S214" s="203"/>
      <c r="T214" s="203">
        <f t="shared" si="118"/>
        <v>27.349397590361448</v>
      </c>
      <c r="U214" s="203">
        <f t="shared" si="118"/>
        <v>29.518072289156628</v>
      </c>
      <c r="V214" s="203">
        <f t="shared" si="118"/>
        <v>32.530120481927717</v>
      </c>
      <c r="W214" s="203">
        <f t="shared" si="118"/>
        <v>39.759036144578317</v>
      </c>
      <c r="X214" s="203">
        <f t="shared" si="118"/>
        <v>44.578313253012055</v>
      </c>
      <c r="Y214" s="203">
        <f t="shared" si="118"/>
        <v>49.397590361445786</v>
      </c>
      <c r="Z214" s="203">
        <f t="shared" si="118"/>
        <v>56.626506024096386</v>
      </c>
      <c r="AA214" s="204">
        <f t="shared" si="118"/>
        <v>61.445783132530124</v>
      </c>
      <c r="AB214" t="s">
        <v>508</v>
      </c>
      <c r="AC214" s="68"/>
    </row>
    <row r="215" spans="1:29" ht="15">
      <c r="A215" s="792"/>
      <c r="B215" s="640"/>
      <c r="C215" s="205">
        <f>C216/$K$216</f>
        <v>0.32530120481927716</v>
      </c>
      <c r="D215" s="205"/>
      <c r="E215" s="205">
        <f>E216/$K$216</f>
        <v>0.48192771084337355</v>
      </c>
      <c r="F215" s="205"/>
      <c r="G215" s="205">
        <f>G216/$K$216</f>
        <v>0.63855421686746994</v>
      </c>
      <c r="H215" s="205"/>
      <c r="I215" s="205">
        <f>I216/$K$216</f>
        <v>0.80722891566265065</v>
      </c>
      <c r="J215" s="205"/>
      <c r="K215" s="205">
        <f>K216/$K$216</f>
        <v>1</v>
      </c>
      <c r="L215" s="205">
        <f t="shared" si="119" ref="L215">L216/$K$216</f>
        <v>1.1566265060240963</v>
      </c>
      <c r="M215" s="205">
        <f t="shared" si="120" ref="M215">M216/$K$216</f>
        <v>1.2409638554216869</v>
      </c>
      <c r="N215" s="205">
        <f t="shared" si="121" ref="N215">N216/$K$216</f>
        <v>1.3493975903614459</v>
      </c>
      <c r="O215" s="205">
        <f t="shared" si="122" ref="O215:Q215">O216/$K$216</f>
        <v>1.4457831325301205</v>
      </c>
      <c r="P215" s="205">
        <f t="shared" si="122"/>
        <v>1.566265060240964</v>
      </c>
      <c r="Q215" s="205">
        <f t="shared" si="122"/>
        <v>1.8192771084337351</v>
      </c>
      <c r="R215" s="205">
        <f t="shared" si="123" ref="R215">R216/$K$216</f>
        <v>2.0843373493975905</v>
      </c>
      <c r="S215" s="205"/>
      <c r="T215" s="205">
        <f t="shared" si="124" ref="T215">T216/$K$216</f>
        <v>2.7349397590361448</v>
      </c>
      <c r="U215" s="205">
        <f t="shared" si="125" ref="U215">U216/$K$216</f>
        <v>2.9518072289156629</v>
      </c>
      <c r="V215" s="205">
        <f t="shared" si="126" ref="V215:W215">V216/$K$216</f>
        <v>3.2530120481927716</v>
      </c>
      <c r="W215" s="205">
        <f t="shared" si="126"/>
        <v>3.9759036144578315</v>
      </c>
      <c r="X215" s="205">
        <f t="shared" si="127" ref="X215">X216/$K$216</f>
        <v>4.4578313253012052</v>
      </c>
      <c r="Y215" s="205">
        <f t="shared" si="128" ref="Y215">Y216/$K$216</f>
        <v>4.9397590361445785</v>
      </c>
      <c r="Z215" s="205">
        <f t="shared" si="129" ref="Z215">Z216/$K$216</f>
        <v>5.6626506024096388</v>
      </c>
      <c r="AA215" s="206">
        <f t="shared" si="130" ref="AA215">AA216/$K$216</f>
        <v>6.1445783132530121</v>
      </c>
      <c r="AB215" t="s">
        <v>463</v>
      </c>
      <c r="AC215" s="68"/>
    </row>
    <row r="216" spans="1:29" ht="15.75" thickBot="1">
      <c r="A216" s="793"/>
      <c r="B216" s="778"/>
      <c r="C216" s="77">
        <v>0.27</v>
      </c>
      <c r="D216" s="77"/>
      <c r="E216" s="77">
        <v>0.40</v>
      </c>
      <c r="F216" s="77"/>
      <c r="G216" s="77">
        <v>0.53</v>
      </c>
      <c r="H216" s="77"/>
      <c r="I216" s="77">
        <v>0.67</v>
      </c>
      <c r="J216" s="77"/>
      <c r="K216" s="77">
        <v>0.83</v>
      </c>
      <c r="L216" s="77">
        <v>0.96</v>
      </c>
      <c r="M216" s="77">
        <v>1.03</v>
      </c>
      <c r="N216" s="77">
        <v>1.1200000000000001</v>
      </c>
      <c r="O216" s="77">
        <v>1.20</v>
      </c>
      <c r="P216" s="77">
        <v>1.30</v>
      </c>
      <c r="Q216" s="77">
        <v>1.51</v>
      </c>
      <c r="R216" s="155">
        <v>1.73</v>
      </c>
      <c r="S216" s="155"/>
      <c r="T216" s="155">
        <v>2.27</v>
      </c>
      <c r="U216" s="155">
        <v>2.4500000000000002</v>
      </c>
      <c r="V216" s="155">
        <v>2.70</v>
      </c>
      <c r="W216" s="155">
        <v>3.30</v>
      </c>
      <c r="X216" s="211">
        <v>3.70</v>
      </c>
      <c r="Y216" s="155">
        <v>4.0999999999999996</v>
      </c>
      <c r="Z216" s="155">
        <v>4.70</v>
      </c>
      <c r="AA216" s="157">
        <v>5.0999999999999996</v>
      </c>
      <c r="AB216" s="107" t="s">
        <v>464</v>
      </c>
      <c r="AC216" s="68"/>
    </row>
    <row r="217" spans="1:29" ht="15">
      <c r="A217" s="791" t="s">
        <v>282</v>
      </c>
      <c r="B217" s="777" t="s">
        <v>283</v>
      </c>
      <c r="C217" s="199">
        <f>$AC$2/C219</f>
        <v>21.227621483375955</v>
      </c>
      <c r="D217" s="199"/>
      <c r="E217" s="199">
        <f>$AC$2/E219</f>
        <v>13.857969723953694</v>
      </c>
      <c r="F217" s="199"/>
      <c r="G217" s="199">
        <f>$AC$2/G219</f>
        <v>11.209147384532276</v>
      </c>
      <c r="H217" s="199"/>
      <c r="I217" s="199">
        <f>$AC$2/I219</f>
        <v>8.8285349595801996</v>
      </c>
      <c r="J217" s="199"/>
      <c r="K217" s="199">
        <f t="shared" si="131" ref="K217:R217">$AC$2/K219</f>
        <v>7.50</v>
      </c>
      <c r="L217" s="199">
        <f t="shared" si="131"/>
        <v>6.7849260197825556</v>
      </c>
      <c r="M217" s="199">
        <f t="shared" si="131"/>
        <v>6.4344410563853423</v>
      </c>
      <c r="N217" s="199">
        <f t="shared" si="131"/>
        <v>5.6353966278148695</v>
      </c>
      <c r="O217" s="199">
        <f t="shared" si="131"/>
        <v>5.3055484530810535</v>
      </c>
      <c r="P217" s="199">
        <f t="shared" si="131"/>
        <v>5.0372228515941089</v>
      </c>
      <c r="Q217" s="199">
        <f t="shared" si="131"/>
        <v>4.2264279046083333</v>
      </c>
      <c r="R217" s="199">
        <f t="shared" si="131"/>
        <v>3.8212455111875023</v>
      </c>
      <c r="S217" s="199"/>
      <c r="T217" s="199">
        <f t="shared" si="132" ref="T217:AA217">$AC$2/T219</f>
        <v>3.0683162460567819</v>
      </c>
      <c r="U217" s="199">
        <f t="shared" si="132"/>
        <v>2.8249869528715026</v>
      </c>
      <c r="V217" s="199">
        <f t="shared" si="132"/>
        <v>2.5439833261815727</v>
      </c>
      <c r="W217" s="199">
        <f t="shared" si="132"/>
        <v>2.2455494832530709</v>
      </c>
      <c r="X217" s="199">
        <f t="shared" si="132"/>
        <v>2.0264001692735887</v>
      </c>
      <c r="Y217" s="199">
        <f t="shared" si="132"/>
        <v>1.8738993663360377</v>
      </c>
      <c r="Z217" s="199">
        <f t="shared" si="132"/>
        <v>1.6895101099199348</v>
      </c>
      <c r="AA217" s="200">
        <f t="shared" si="132"/>
        <v>1.5623823507266019</v>
      </c>
      <c r="AB217" t="s">
        <v>376</v>
      </c>
      <c r="AC217" s="68">
        <v>166</v>
      </c>
    </row>
    <row r="218" spans="1:29" ht="15">
      <c r="A218" s="792"/>
      <c r="B218" s="640"/>
      <c r="C218" s="201">
        <f>C219*$AC$217</f>
        <v>78.20</v>
      </c>
      <c r="D218" s="201"/>
      <c r="E218" s="201">
        <f>E219*$AC$217</f>
        <v>119.78666666666668</v>
      </c>
      <c r="F218" s="201"/>
      <c r="G218" s="201">
        <f>G219*$AC$217</f>
        <v>148.09333333333333</v>
      </c>
      <c r="H218" s="201"/>
      <c r="I218" s="201">
        <f>I219*$AC$217</f>
        <v>188.0266666666667</v>
      </c>
      <c r="J218" s="201"/>
      <c r="K218" s="201">
        <f t="shared" si="133" ref="K218:R218">K219*$AC$217</f>
        <v>221.33333333333331</v>
      </c>
      <c r="L218" s="201">
        <f t="shared" si="133"/>
        <v>244.66</v>
      </c>
      <c r="M218" s="201">
        <f t="shared" si="133"/>
        <v>257.98666666666668</v>
      </c>
      <c r="N218" s="201">
        <f t="shared" si="133"/>
        <v>294.56666666666666</v>
      </c>
      <c r="O218" s="201">
        <f t="shared" si="133"/>
        <v>312.88</v>
      </c>
      <c r="P218" s="201">
        <f t="shared" si="133"/>
        <v>329.54666666666668</v>
      </c>
      <c r="Q218" s="201">
        <f t="shared" si="133"/>
        <v>392.76666666666671</v>
      </c>
      <c r="R218" s="201">
        <f t="shared" si="133"/>
        <v>434.4133333333333</v>
      </c>
      <c r="S218" s="201"/>
      <c r="T218" s="201">
        <f t="shared" si="134" ref="T218:AA218">T219*$AC$217</f>
        <v>541.01333333333343</v>
      </c>
      <c r="U218" s="201">
        <f t="shared" si="134"/>
        <v>587.61333333333346</v>
      </c>
      <c r="V218" s="201">
        <f t="shared" si="134"/>
        <v>652.52</v>
      </c>
      <c r="W218" s="201">
        <f t="shared" si="134"/>
        <v>739.24</v>
      </c>
      <c r="X218" s="201">
        <f t="shared" si="134"/>
        <v>819.18666666666661</v>
      </c>
      <c r="Y218" s="201">
        <f t="shared" si="134"/>
        <v>885.85333333333324</v>
      </c>
      <c r="Z218" s="201">
        <f t="shared" si="134"/>
        <v>982.53333333333342</v>
      </c>
      <c r="AA218" s="202">
        <f t="shared" si="134"/>
        <v>1062.48</v>
      </c>
      <c r="AB218" t="s">
        <v>377</v>
      </c>
      <c r="AC218" s="68"/>
    </row>
    <row r="219" spans="1:29" ht="15">
      <c r="A219" s="792"/>
      <c r="B219" s="640"/>
      <c r="C219" s="203">
        <f t="shared" si="135" ref="C219:K219">(C220+C223)/60</f>
        <v>0.47108433734939764</v>
      </c>
      <c r="D219" s="203"/>
      <c r="E219" s="203">
        <f t="shared" si="135"/>
        <v>0.7216064257028113</v>
      </c>
      <c r="F219" s="203"/>
      <c r="G219" s="203">
        <f t="shared" si="135"/>
        <v>0.89212851405622495</v>
      </c>
      <c r="H219" s="203"/>
      <c r="I219" s="203">
        <f t="shared" si="135"/>
        <v>1.1326907630522089</v>
      </c>
      <c r="J219" s="203"/>
      <c r="K219" s="203">
        <f t="shared" si="135"/>
        <v>1.3333333333333333</v>
      </c>
      <c r="L219" s="203">
        <f>(L220+L223)/60</f>
        <v>1.473855421686747</v>
      </c>
      <c r="M219" s="203">
        <f t="shared" si="136" ref="M219:AA219">(M220+M223)/60</f>
        <v>1.5541365461847392</v>
      </c>
      <c r="N219" s="203">
        <f t="shared" si="136"/>
        <v>1.7744979919678714</v>
      </c>
      <c r="O219" s="203">
        <f t="shared" si="137" ref="O219">(O220+O223)/60</f>
        <v>1.8848192771084338</v>
      </c>
      <c r="P219" s="203">
        <f t="shared" si="136"/>
        <v>1.9852208835341367</v>
      </c>
      <c r="Q219" s="203">
        <f t="shared" si="136"/>
        <v>2.3660642570281127</v>
      </c>
      <c r="R219" s="203">
        <f t="shared" si="136"/>
        <v>2.6169477911646584</v>
      </c>
      <c r="S219" s="203"/>
      <c r="T219" s="203">
        <f t="shared" si="136"/>
        <v>3.2591164658634542</v>
      </c>
      <c r="U219" s="203">
        <f t="shared" si="136"/>
        <v>3.5398393574297193</v>
      </c>
      <c r="V219" s="203">
        <f t="shared" si="136"/>
        <v>3.9308433734939761</v>
      </c>
      <c r="W219" s="203">
        <f t="shared" si="136"/>
        <v>4.4532530120481928</v>
      </c>
      <c r="X219" s="203">
        <f t="shared" si="136"/>
        <v>4.9348594377510038</v>
      </c>
      <c r="Y219" s="203">
        <f t="shared" si="136"/>
        <v>5.3364658634538147</v>
      </c>
      <c r="Z219" s="203">
        <f t="shared" si="136"/>
        <v>5.9188755020080324</v>
      </c>
      <c r="AA219" s="204">
        <f t="shared" si="136"/>
        <v>6.4004819277108433</v>
      </c>
      <c r="AB219" t="s">
        <v>17</v>
      </c>
      <c r="AC219" s="68"/>
    </row>
    <row r="220" spans="1:29" ht="15">
      <c r="A220" s="792"/>
      <c r="B220" s="640"/>
      <c r="C220" s="54">
        <f>$K$220*C221</f>
        <v>12</v>
      </c>
      <c r="D220" s="54"/>
      <c r="E220" s="54">
        <f>$K$220*E221</f>
        <v>19.20</v>
      </c>
      <c r="F220" s="54"/>
      <c r="G220" s="54">
        <f>$K$220*G221</f>
        <v>21.60</v>
      </c>
      <c r="H220" s="54"/>
      <c r="I220" s="54">
        <f>$K$220*I221</f>
        <v>27.60</v>
      </c>
      <c r="J220" s="54"/>
      <c r="K220" s="169">
        <v>30</v>
      </c>
      <c r="L220" s="54">
        <f>$K$220*L221</f>
        <v>30.60</v>
      </c>
      <c r="M220" s="54">
        <f t="shared" si="138" ref="M220:AA220">$K$220*M221</f>
        <v>31.200000000000003</v>
      </c>
      <c r="N220" s="54">
        <f t="shared" si="138"/>
        <v>39</v>
      </c>
      <c r="O220" s="54">
        <f t="shared" si="138"/>
        <v>40.800000000000004</v>
      </c>
      <c r="P220" s="54">
        <f t="shared" si="138"/>
        <v>40.800000000000004</v>
      </c>
      <c r="Q220" s="54">
        <f t="shared" si="138"/>
        <v>51</v>
      </c>
      <c r="R220" s="54">
        <f t="shared" si="138"/>
        <v>52.80</v>
      </c>
      <c r="S220" s="54"/>
      <c r="T220" s="54">
        <f t="shared" si="138"/>
        <v>58.80</v>
      </c>
      <c r="U220" s="54">
        <f t="shared" si="138"/>
        <v>64.800000000000011</v>
      </c>
      <c r="V220" s="54">
        <f t="shared" si="138"/>
        <v>73.20</v>
      </c>
      <c r="W220" s="54">
        <f t="shared" si="138"/>
        <v>68.399999999999991</v>
      </c>
      <c r="X220" s="54">
        <f t="shared" si="138"/>
        <v>73.20</v>
      </c>
      <c r="Y220" s="54">
        <f t="shared" si="138"/>
        <v>73.20</v>
      </c>
      <c r="Z220" s="54">
        <f t="shared" si="138"/>
        <v>72</v>
      </c>
      <c r="AA220" s="144">
        <f t="shared" si="138"/>
        <v>76.80</v>
      </c>
      <c r="AB220" t="s">
        <v>505</v>
      </c>
      <c r="AC220" s="68"/>
    </row>
    <row r="221" spans="1:29" ht="15">
      <c r="A221" s="792"/>
      <c r="B221" s="640"/>
      <c r="C221" s="54">
        <f>C222/$K$222</f>
        <v>0.40</v>
      </c>
      <c r="D221" s="54"/>
      <c r="E221" s="54">
        <f>E222/$K$222</f>
        <v>0.64</v>
      </c>
      <c r="F221" s="54"/>
      <c r="G221" s="54">
        <f>G222/$K$222</f>
        <v>0.72</v>
      </c>
      <c r="H221" s="54"/>
      <c r="I221" s="54">
        <f>I222/$K$222</f>
        <v>0.92</v>
      </c>
      <c r="J221" s="54"/>
      <c r="K221" s="54">
        <f>K222/$K$222</f>
        <v>1</v>
      </c>
      <c r="L221" s="54">
        <f t="shared" si="139" ref="L221">L222/$K$222</f>
        <v>1.02</v>
      </c>
      <c r="M221" s="54">
        <f t="shared" si="140" ref="M221">M222/$K$222</f>
        <v>1.04</v>
      </c>
      <c r="N221" s="54">
        <f t="shared" si="141" ref="N221">N222/$K$222</f>
        <v>1.30</v>
      </c>
      <c r="O221" s="54">
        <f t="shared" si="142" ref="O221:Q221">O222/$K$222</f>
        <v>1.36</v>
      </c>
      <c r="P221" s="54">
        <f t="shared" si="142"/>
        <v>1.36</v>
      </c>
      <c r="Q221" s="54">
        <f t="shared" si="142"/>
        <v>1.70</v>
      </c>
      <c r="R221" s="54">
        <f t="shared" si="143" ref="R221">R222/$K$222</f>
        <v>1.76</v>
      </c>
      <c r="S221" s="54"/>
      <c r="T221" s="54">
        <f t="shared" si="144" ref="T221">T222/$K$222</f>
        <v>1.96</v>
      </c>
      <c r="U221" s="54">
        <f t="shared" si="145" ref="U221">U222/$K$222</f>
        <v>2.16</v>
      </c>
      <c r="V221" s="54">
        <f t="shared" si="146" ref="V221:W221">V222/$K$222</f>
        <v>2.44</v>
      </c>
      <c r="W221" s="54">
        <f t="shared" si="146"/>
        <v>2.2799999999999998</v>
      </c>
      <c r="X221" s="54">
        <f t="shared" si="147" ref="X221">X222/$K$222</f>
        <v>2.44</v>
      </c>
      <c r="Y221" s="54">
        <f t="shared" si="148" ref="Y221">Y222/$K$222</f>
        <v>2.44</v>
      </c>
      <c r="Z221" s="54">
        <f t="shared" si="149" ref="Z221">Z222/$K$222</f>
        <v>2.40</v>
      </c>
      <c r="AA221" s="144">
        <f t="shared" si="150" ref="AA221">AA222/$K$222</f>
        <v>2.56</v>
      </c>
      <c r="AB221" t="s">
        <v>506</v>
      </c>
      <c r="AC221" s="68"/>
    </row>
    <row r="222" spans="1:29" ht="15">
      <c r="A222" s="792"/>
      <c r="B222" s="640"/>
      <c r="C222" s="207">
        <f t="shared" si="151" ref="C222:Z222">C213</f>
        <v>20</v>
      </c>
      <c r="D222" s="207"/>
      <c r="E222" s="207">
        <f t="shared" si="151"/>
        <v>32</v>
      </c>
      <c r="F222" s="207"/>
      <c r="G222" s="207">
        <f t="shared" si="151"/>
        <v>36</v>
      </c>
      <c r="H222" s="207"/>
      <c r="I222" s="207">
        <f t="shared" si="151"/>
        <v>46</v>
      </c>
      <c r="J222" s="207"/>
      <c r="K222" s="207">
        <f t="shared" si="151"/>
        <v>50</v>
      </c>
      <c r="L222" s="207">
        <f t="shared" si="151"/>
        <v>51</v>
      </c>
      <c r="M222" s="207">
        <f t="shared" si="151"/>
        <v>52</v>
      </c>
      <c r="N222" s="207">
        <f t="shared" si="151"/>
        <v>65</v>
      </c>
      <c r="O222" s="207">
        <f t="shared" si="152" ref="O222">O213</f>
        <v>68</v>
      </c>
      <c r="P222" s="207">
        <f t="shared" si="151"/>
        <v>68</v>
      </c>
      <c r="Q222" s="207">
        <f t="shared" si="151"/>
        <v>85</v>
      </c>
      <c r="R222" s="207">
        <f t="shared" si="151"/>
        <v>88</v>
      </c>
      <c r="S222" s="207"/>
      <c r="T222" s="207">
        <f t="shared" si="151"/>
        <v>98</v>
      </c>
      <c r="U222" s="207">
        <f t="shared" si="151"/>
        <v>108</v>
      </c>
      <c r="V222" s="207">
        <f t="shared" si="151"/>
        <v>122</v>
      </c>
      <c r="W222" s="207">
        <f t="shared" si="151"/>
        <v>114</v>
      </c>
      <c r="X222" s="207">
        <f t="shared" si="151"/>
        <v>122</v>
      </c>
      <c r="Y222" s="207">
        <f t="shared" si="151"/>
        <v>122</v>
      </c>
      <c r="Z222" s="207">
        <f t="shared" si="151"/>
        <v>120</v>
      </c>
      <c r="AA222" s="212">
        <f>AA213</f>
        <v>128</v>
      </c>
      <c r="AB222" t="s">
        <v>507</v>
      </c>
      <c r="AC222" s="68"/>
    </row>
    <row r="223" spans="1:29" ht="15">
      <c r="A223" s="792"/>
      <c r="B223" s="640"/>
      <c r="C223" s="205">
        <f>$K$222*C224</f>
        <v>16.265060240963859</v>
      </c>
      <c r="D223" s="205"/>
      <c r="E223" s="205">
        <f>$K$222*E224</f>
        <v>24.096385542168676</v>
      </c>
      <c r="F223" s="205"/>
      <c r="G223" s="205">
        <f>$K$222*G224</f>
        <v>31.927710843373497</v>
      </c>
      <c r="H223" s="205"/>
      <c r="I223" s="205">
        <f>$K$222*I224</f>
        <v>40.361445783132531</v>
      </c>
      <c r="J223" s="205"/>
      <c r="K223" s="169">
        <v>50</v>
      </c>
      <c r="L223" s="205">
        <f>$K$222*L224</f>
        <v>57.831325301204814</v>
      </c>
      <c r="M223" s="205">
        <f t="shared" si="153" ref="M223:AA223">$K$222*M224</f>
        <v>62.048192771084345</v>
      </c>
      <c r="N223" s="205">
        <f t="shared" si="153"/>
        <v>67.46987951807229</v>
      </c>
      <c r="O223" s="205">
        <f t="shared" si="153"/>
        <v>72.289156626506028</v>
      </c>
      <c r="P223" s="205">
        <f t="shared" si="153"/>
        <v>78.313253012048207</v>
      </c>
      <c r="Q223" s="205">
        <f t="shared" si="153"/>
        <v>90.963855421686759</v>
      </c>
      <c r="R223" s="205">
        <f t="shared" si="153"/>
        <v>104.21686746987953</v>
      </c>
      <c r="S223" s="205"/>
      <c r="T223" s="205">
        <f t="shared" si="153"/>
        <v>136.74698795180723</v>
      </c>
      <c r="U223" s="205">
        <f t="shared" si="153"/>
        <v>147.59036144578315</v>
      </c>
      <c r="V223" s="205">
        <f t="shared" si="153"/>
        <v>162.65060240963857</v>
      </c>
      <c r="W223" s="205">
        <f t="shared" si="153"/>
        <v>198.79518072289159</v>
      </c>
      <c r="X223" s="205">
        <f t="shared" si="153"/>
        <v>222.89156626506025</v>
      </c>
      <c r="Y223" s="205">
        <f t="shared" si="153"/>
        <v>246.98795180722891</v>
      </c>
      <c r="Z223" s="205">
        <f t="shared" si="153"/>
        <v>283.13253012048193</v>
      </c>
      <c r="AA223" s="206">
        <f t="shared" si="153"/>
        <v>307.22891566265059</v>
      </c>
      <c r="AB223" t="s">
        <v>508</v>
      </c>
      <c r="AC223" s="68"/>
    </row>
    <row r="224" spans="1:29" ht="15">
      <c r="A224" s="792"/>
      <c r="B224" s="640"/>
      <c r="C224" s="205">
        <f>C225/$K$225</f>
        <v>0.32530120481927716</v>
      </c>
      <c r="D224" s="205"/>
      <c r="E224" s="205">
        <f>E225/$K$225</f>
        <v>0.48192771084337355</v>
      </c>
      <c r="F224" s="205"/>
      <c r="G224" s="205">
        <f>G225/$K$225</f>
        <v>0.63855421686746994</v>
      </c>
      <c r="H224" s="205"/>
      <c r="I224" s="205">
        <f>I225/$K$225</f>
        <v>0.80722891566265065</v>
      </c>
      <c r="J224" s="205"/>
      <c r="K224" s="205">
        <f>K225/$K$225</f>
        <v>1</v>
      </c>
      <c r="L224" s="205">
        <f t="shared" si="154" ref="L224">L225/$K$225</f>
        <v>1.1566265060240963</v>
      </c>
      <c r="M224" s="205">
        <f t="shared" si="155" ref="M224">M225/$K$225</f>
        <v>1.2409638554216869</v>
      </c>
      <c r="N224" s="205">
        <f t="shared" si="156" ref="N224">N225/$K$225</f>
        <v>1.3493975903614459</v>
      </c>
      <c r="O224" s="205">
        <f t="shared" si="157" ref="O224:Q224">O225/$K$225</f>
        <v>1.4457831325301205</v>
      </c>
      <c r="P224" s="205">
        <f t="shared" si="157"/>
        <v>1.566265060240964</v>
      </c>
      <c r="Q224" s="205">
        <f t="shared" si="157"/>
        <v>1.8192771084337351</v>
      </c>
      <c r="R224" s="205">
        <f t="shared" si="158" ref="R224">R225/$K$225</f>
        <v>2.0843373493975905</v>
      </c>
      <c r="S224" s="205"/>
      <c r="T224" s="205">
        <f t="shared" si="159" ref="T224">T225/$K$225</f>
        <v>2.7349397590361448</v>
      </c>
      <c r="U224" s="205">
        <f t="shared" si="160" ref="U224">U225/$K$225</f>
        <v>2.9518072289156629</v>
      </c>
      <c r="V224" s="205">
        <f t="shared" si="161" ref="V224:W224">V225/$K$225</f>
        <v>3.2530120481927716</v>
      </c>
      <c r="W224" s="205">
        <f t="shared" si="161"/>
        <v>3.9759036144578315</v>
      </c>
      <c r="X224" s="205">
        <f t="shared" si="162" ref="X224">X225/$K$225</f>
        <v>4.4578313253012052</v>
      </c>
      <c r="Y224" s="205">
        <f t="shared" si="163" ref="Y224">Y225/$K$225</f>
        <v>4.9397590361445785</v>
      </c>
      <c r="Z224" s="205">
        <f t="shared" si="164" ref="Z224">Z225/$K$225</f>
        <v>5.6626506024096388</v>
      </c>
      <c r="AA224" s="206">
        <f t="shared" si="165" ref="AA224">AA225/$K$225</f>
        <v>6.1445783132530121</v>
      </c>
      <c r="AB224" t="s">
        <v>463</v>
      </c>
      <c r="AC224" s="68"/>
    </row>
    <row r="225" spans="1:29" ht="15.75" thickBot="1">
      <c r="A225" s="793"/>
      <c r="B225" s="778"/>
      <c r="C225" s="77">
        <v>0.27</v>
      </c>
      <c r="D225" s="77"/>
      <c r="E225" s="77">
        <v>0.40</v>
      </c>
      <c r="F225" s="77"/>
      <c r="G225" s="77">
        <v>0.53</v>
      </c>
      <c r="H225" s="77"/>
      <c r="I225" s="77">
        <v>0.67</v>
      </c>
      <c r="J225" s="77"/>
      <c r="K225" s="77">
        <v>0.83</v>
      </c>
      <c r="L225" s="77">
        <v>0.96</v>
      </c>
      <c r="M225" s="77">
        <v>1.03</v>
      </c>
      <c r="N225" s="77">
        <v>1.1200000000000001</v>
      </c>
      <c r="O225" s="77">
        <v>1.20</v>
      </c>
      <c r="P225" s="77">
        <v>1.30</v>
      </c>
      <c r="Q225" s="77">
        <v>1.51</v>
      </c>
      <c r="R225" s="155">
        <v>1.73</v>
      </c>
      <c r="S225" s="155"/>
      <c r="T225" s="155">
        <v>2.27</v>
      </c>
      <c r="U225" s="155">
        <v>2.4500000000000002</v>
      </c>
      <c r="V225" s="155">
        <v>2.70</v>
      </c>
      <c r="W225" s="155">
        <v>3.30</v>
      </c>
      <c r="X225" s="211">
        <v>3.70</v>
      </c>
      <c r="Y225" s="155">
        <v>4.0999999999999996</v>
      </c>
      <c r="Z225" s="155">
        <v>4.70</v>
      </c>
      <c r="AA225" s="157">
        <v>5.0999999999999996</v>
      </c>
      <c r="AB225" s="107" t="s">
        <v>464</v>
      </c>
      <c r="AC225" s="68"/>
    </row>
    <row r="226" spans="1:29" ht="15" customHeight="1">
      <c r="A226" s="13" t="s">
        <v>284</v>
      </c>
      <c r="B226" s="56" t="s">
        <v>126</v>
      </c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07"/>
      <c r="AC226" s="68"/>
    </row>
    <row r="227" spans="1:29" ht="15" customHeight="1">
      <c r="A227" s="13" t="s">
        <v>285</v>
      </c>
      <c r="B227" s="56" t="s">
        <v>95</v>
      </c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07"/>
      <c r="AC227" s="68"/>
    </row>
    <row r="228" spans="1:29" ht="15" customHeight="1">
      <c r="A228" s="13" t="s">
        <v>286</v>
      </c>
      <c r="B228" s="28" t="s">
        <v>288</v>
      </c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07"/>
      <c r="AC228" s="68"/>
    </row>
    <row r="229" spans="1:29" ht="15" customHeight="1" thickBot="1">
      <c r="A229" s="218"/>
      <c r="B229" s="219" t="s">
        <v>134</v>
      </c>
      <c r="C229" s="220"/>
      <c r="D229" s="220"/>
      <c r="E229" s="220"/>
      <c r="F229" s="220"/>
      <c r="G229" s="220"/>
      <c r="H229" s="220"/>
      <c r="I229" s="220"/>
      <c r="J229" s="220"/>
      <c r="K229" s="220"/>
      <c r="L229" s="220"/>
      <c r="M229" s="220"/>
      <c r="N229" s="220"/>
      <c r="O229" s="220"/>
      <c r="P229" s="220"/>
      <c r="Q229" s="220"/>
      <c r="R229" s="220"/>
      <c r="S229" s="220"/>
      <c r="T229" s="220"/>
      <c r="U229" s="220"/>
      <c r="V229" s="220"/>
      <c r="W229" s="220"/>
      <c r="X229" s="220"/>
      <c r="Y229" s="220"/>
      <c r="Z229" s="220"/>
      <c r="AA229" s="220"/>
      <c r="AB229" s="107"/>
      <c r="AC229" s="68"/>
    </row>
    <row r="230" spans="1:29" ht="15">
      <c r="A230" s="765" t="s">
        <v>297</v>
      </c>
      <c r="B230" s="756" t="s">
        <v>298</v>
      </c>
      <c r="C230" s="221">
        <v>400</v>
      </c>
      <c r="D230" s="221"/>
      <c r="E230" s="221">
        <v>400</v>
      </c>
      <c r="F230" s="221"/>
      <c r="G230" s="221">
        <v>400</v>
      </c>
      <c r="H230" s="221"/>
      <c r="I230" s="221">
        <v>400</v>
      </c>
      <c r="J230" s="221"/>
      <c r="K230" s="221">
        <v>400</v>
      </c>
      <c r="L230" s="221">
        <v>400</v>
      </c>
      <c r="M230" s="221">
        <v>400</v>
      </c>
      <c r="N230" s="221">
        <v>400</v>
      </c>
      <c r="O230" s="221"/>
      <c r="P230" s="221">
        <v>400</v>
      </c>
      <c r="Q230" s="221">
        <v>400</v>
      </c>
      <c r="R230" s="221">
        <v>400</v>
      </c>
      <c r="S230" s="221"/>
      <c r="T230" s="194"/>
      <c r="U230" s="194"/>
      <c r="V230" s="194"/>
      <c r="W230" s="194"/>
      <c r="X230" s="194"/>
      <c r="Y230" s="194"/>
      <c r="Z230" s="194"/>
      <c r="AA230" s="196"/>
      <c r="AB230" s="107" t="s">
        <v>377</v>
      </c>
      <c r="AC230" s="68">
        <v>200</v>
      </c>
    </row>
    <row r="231" spans="1:29" ht="15.75" thickBot="1">
      <c r="A231" s="800"/>
      <c r="B231" s="639"/>
      <c r="C231" s="532">
        <v>12</v>
      </c>
      <c r="D231" s="532"/>
      <c r="E231" s="533">
        <v>12</v>
      </c>
      <c r="F231" s="533"/>
      <c r="G231" s="533">
        <v>12</v>
      </c>
      <c r="H231" s="533"/>
      <c r="I231" s="533">
        <v>12</v>
      </c>
      <c r="J231" s="533"/>
      <c r="K231" s="533">
        <v>12</v>
      </c>
      <c r="L231" s="533">
        <v>12</v>
      </c>
      <c r="M231" s="533">
        <v>12</v>
      </c>
      <c r="N231" s="533">
        <v>12</v>
      </c>
      <c r="O231" s="533"/>
      <c r="P231" s="533">
        <v>12</v>
      </c>
      <c r="Q231" s="533">
        <v>12</v>
      </c>
      <c r="R231" s="533">
        <v>12</v>
      </c>
      <c r="S231" s="533"/>
      <c r="T231" s="533"/>
      <c r="U231" s="533"/>
      <c r="V231" s="533"/>
      <c r="W231" s="533"/>
      <c r="X231" s="533"/>
      <c r="Y231" s="533"/>
      <c r="Z231" s="533"/>
      <c r="AA231" s="543"/>
      <c r="AB231" s="107" t="s">
        <v>397</v>
      </c>
      <c r="AC231" s="68"/>
    </row>
    <row r="232" spans="1:29" ht="15">
      <c r="A232" s="704" t="s">
        <v>1663</v>
      </c>
      <c r="B232" s="707" t="s">
        <v>1665</v>
      </c>
      <c r="C232" s="551">
        <f t="shared" si="166" ref="C232:R232">$AC$2/C233*2</f>
        <v>16.800938599921782</v>
      </c>
      <c r="D232" s="551">
        <f t="shared" si="166"/>
        <v>14.96342737722048</v>
      </c>
      <c r="E232" s="551">
        <f t="shared" si="166"/>
        <v>15.342857142857143</v>
      </c>
      <c r="F232" s="551">
        <f t="shared" si="166"/>
        <v>14.513513513513512</v>
      </c>
      <c r="G232" s="551">
        <f t="shared" si="166"/>
        <v>14.528238079134256</v>
      </c>
      <c r="H232" s="551">
        <f t="shared" si="166"/>
        <v>12.862275449101796</v>
      </c>
      <c r="I232" s="551">
        <f t="shared" si="166"/>
        <v>12.473867595818815</v>
      </c>
      <c r="J232" s="551">
        <f t="shared" si="166"/>
        <v>12.412597515169027</v>
      </c>
      <c r="K232" s="551">
        <f t="shared" si="166"/>
        <v>12.412597515169027</v>
      </c>
      <c r="L232" s="551">
        <f t="shared" si="166"/>
        <v>12.609333724684474</v>
      </c>
      <c r="M232" s="551">
        <f t="shared" si="166"/>
        <v>12.466627974463147</v>
      </c>
      <c r="N232" s="551">
        <f t="shared" si="166"/>
        <v>11.222570532915361</v>
      </c>
      <c r="O232" s="551">
        <f t="shared" si="166"/>
        <v>11.109387121799845</v>
      </c>
      <c r="P232" s="551">
        <f t="shared" si="166"/>
        <v>11.109387121799845</v>
      </c>
      <c r="Q232" s="551">
        <f t="shared" si="166"/>
        <v>10.197009257061476</v>
      </c>
      <c r="R232" s="551">
        <f t="shared" si="166"/>
        <v>10</v>
      </c>
      <c r="S232" s="551">
        <f>$AC$2/S233*2</f>
        <v>10</v>
      </c>
      <c r="T232" s="709" t="s">
        <v>449</v>
      </c>
      <c r="U232" s="710"/>
      <c r="V232" s="710"/>
      <c r="W232" s="710"/>
      <c r="X232" s="710"/>
      <c r="Y232" s="710"/>
      <c r="Z232" s="710"/>
      <c r="AA232" s="711"/>
      <c r="AB232" s="107" t="s">
        <v>1681</v>
      </c>
      <c r="AC232" s="68"/>
    </row>
    <row r="233" spans="1:29" ht="15">
      <c r="A233" s="705"/>
      <c r="B233" s="668"/>
      <c r="C233" s="546">
        <f t="shared" si="167" ref="C233:R233">C234*2</f>
        <v>1.1904096834264433</v>
      </c>
      <c r="D233" s="546">
        <f t="shared" si="167"/>
        <v>1.3365921787709498</v>
      </c>
      <c r="E233" s="546">
        <f t="shared" si="167"/>
        <v>1.3035381750465549</v>
      </c>
      <c r="F233" s="546">
        <f t="shared" si="167"/>
        <v>1.378026070763501</v>
      </c>
      <c r="G233" s="546">
        <f t="shared" si="167"/>
        <v>1.3766294227188083</v>
      </c>
      <c r="H233" s="546">
        <f t="shared" si="167"/>
        <v>1.5549348230912476</v>
      </c>
      <c r="I233" s="546">
        <f t="shared" si="167"/>
        <v>1.6033519553072626</v>
      </c>
      <c r="J233" s="546">
        <f t="shared" si="167"/>
        <v>1.611266294227188</v>
      </c>
      <c r="K233" s="546">
        <f t="shared" si="167"/>
        <v>1.611266294227188</v>
      </c>
      <c r="L233" s="546">
        <f t="shared" si="167"/>
        <v>1.5861266294227188</v>
      </c>
      <c r="M233" s="546">
        <f t="shared" si="167"/>
        <v>1.6042830540037243</v>
      </c>
      <c r="N233" s="546">
        <f t="shared" si="167"/>
        <v>1.782122905027933</v>
      </c>
      <c r="O233" s="546">
        <f t="shared" si="167"/>
        <v>1.8002793296089385</v>
      </c>
      <c r="P233" s="546">
        <f t="shared" si="167"/>
        <v>1.8002793296089385</v>
      </c>
      <c r="Q233" s="546">
        <f t="shared" si="167"/>
        <v>1.9613594040968343</v>
      </c>
      <c r="R233" s="546">
        <f t="shared" si="167"/>
        <v>2</v>
      </c>
      <c r="S233" s="546">
        <f>S234*2</f>
        <v>2</v>
      </c>
      <c r="T233" s="712"/>
      <c r="U233" s="713"/>
      <c r="V233" s="713"/>
      <c r="W233" s="713"/>
      <c r="X233" s="713"/>
      <c r="Y233" s="713"/>
      <c r="Z233" s="713"/>
      <c r="AA233" s="714"/>
      <c r="AB233" s="107" t="s">
        <v>393</v>
      </c>
      <c r="AC233" s="68"/>
    </row>
    <row r="234" spans="1:29" ht="15">
      <c r="A234" s="705"/>
      <c r="B234" s="668"/>
      <c r="C234" s="548">
        <f t="shared" si="168" ref="C234:Q234">$S$234*C235</f>
        <v>0.59520484171322163</v>
      </c>
      <c r="D234" s="548">
        <f t="shared" si="168"/>
        <v>0.66829608938547491</v>
      </c>
      <c r="E234" s="548">
        <f t="shared" si="168"/>
        <v>0.65176908752327745</v>
      </c>
      <c r="F234" s="548">
        <f t="shared" si="168"/>
        <v>0.68901303538175052</v>
      </c>
      <c r="G234" s="548">
        <f t="shared" si="168"/>
        <v>0.68831471135940414</v>
      </c>
      <c r="H234" s="548">
        <f t="shared" si="168"/>
        <v>0.77746741154562382</v>
      </c>
      <c r="I234" s="548">
        <f t="shared" si="168"/>
        <v>0.8016759776536313</v>
      </c>
      <c r="J234" s="548">
        <f t="shared" si="168"/>
        <v>0.80563314711359402</v>
      </c>
      <c r="K234" s="548">
        <f t="shared" si="168"/>
        <v>0.80563314711359402</v>
      </c>
      <c r="L234" s="548">
        <f t="shared" si="168"/>
        <v>0.79306331471135938</v>
      </c>
      <c r="M234" s="548">
        <f t="shared" si="168"/>
        <v>0.80214152700186214</v>
      </c>
      <c r="N234" s="548">
        <f t="shared" si="168"/>
        <v>0.89106145251396651</v>
      </c>
      <c r="O234" s="548">
        <f t="shared" si="168"/>
        <v>0.90013966480446927</v>
      </c>
      <c r="P234" s="548">
        <f t="shared" si="168"/>
        <v>0.90013966480446927</v>
      </c>
      <c r="Q234" s="548">
        <f t="shared" si="168"/>
        <v>0.98067970204841715</v>
      </c>
      <c r="R234" s="548">
        <f>$S$234*R235</f>
        <v>1</v>
      </c>
      <c r="S234" s="549">
        <v>1</v>
      </c>
      <c r="T234" s="712"/>
      <c r="U234" s="713"/>
      <c r="V234" s="713"/>
      <c r="W234" s="713"/>
      <c r="X234" s="713"/>
      <c r="Y234" s="713"/>
      <c r="Z234" s="713"/>
      <c r="AA234" s="714"/>
      <c r="AB234" s="107" t="s">
        <v>1680</v>
      </c>
      <c r="AC234" s="68"/>
    </row>
    <row r="235" spans="1:29" ht="15">
      <c r="A235" s="705"/>
      <c r="B235" s="668"/>
      <c r="C235" s="547">
        <f t="shared" si="169" ref="C235:R235">C236/$S$236</f>
        <v>0.59520484171322163</v>
      </c>
      <c r="D235" s="547">
        <f t="shared" si="169"/>
        <v>0.66829608938547491</v>
      </c>
      <c r="E235" s="547">
        <f t="shared" si="169"/>
        <v>0.65176908752327745</v>
      </c>
      <c r="F235" s="547">
        <f t="shared" si="169"/>
        <v>0.68901303538175052</v>
      </c>
      <c r="G235" s="547">
        <f t="shared" si="169"/>
        <v>0.68831471135940414</v>
      </c>
      <c r="H235" s="547">
        <f t="shared" si="169"/>
        <v>0.77746741154562382</v>
      </c>
      <c r="I235" s="547">
        <f t="shared" si="169"/>
        <v>0.8016759776536313</v>
      </c>
      <c r="J235" s="547">
        <f t="shared" si="169"/>
        <v>0.80563314711359402</v>
      </c>
      <c r="K235" s="547">
        <f t="shared" si="169"/>
        <v>0.80563314711359402</v>
      </c>
      <c r="L235" s="547">
        <f t="shared" si="169"/>
        <v>0.79306331471135938</v>
      </c>
      <c r="M235" s="547">
        <f t="shared" si="169"/>
        <v>0.80214152700186214</v>
      </c>
      <c r="N235" s="547">
        <f t="shared" si="169"/>
        <v>0.89106145251396651</v>
      </c>
      <c r="O235" s="547">
        <f t="shared" si="169"/>
        <v>0.90013966480446927</v>
      </c>
      <c r="P235" s="547">
        <f t="shared" si="169"/>
        <v>0.90013966480446927</v>
      </c>
      <c r="Q235" s="547">
        <f t="shared" si="169"/>
        <v>0.98067970204841715</v>
      </c>
      <c r="R235" s="547">
        <f t="shared" si="169"/>
        <v>1</v>
      </c>
      <c r="S235" s="550">
        <f>S236/$S$236</f>
        <v>1</v>
      </c>
      <c r="T235" s="712"/>
      <c r="U235" s="713"/>
      <c r="V235" s="713"/>
      <c r="W235" s="713"/>
      <c r="X235" s="713"/>
      <c r="Y235" s="713"/>
      <c r="Z235" s="713"/>
      <c r="AA235" s="714"/>
      <c r="AB235" s="107" t="s">
        <v>395</v>
      </c>
      <c r="AC235" s="68"/>
    </row>
    <row r="236" spans="1:29" ht="15.75" thickBot="1">
      <c r="A236" s="706"/>
      <c r="B236" s="708"/>
      <c r="C236" s="222">
        <v>2557</v>
      </c>
      <c r="D236" s="222">
        <v>2871</v>
      </c>
      <c r="E236" s="223">
        <v>2800</v>
      </c>
      <c r="F236" s="223">
        <v>2960</v>
      </c>
      <c r="G236" s="223">
        <v>2957</v>
      </c>
      <c r="H236" s="223">
        <v>3340</v>
      </c>
      <c r="I236" s="223">
        <v>3444</v>
      </c>
      <c r="J236" s="223">
        <v>3461</v>
      </c>
      <c r="K236" s="223">
        <v>3461</v>
      </c>
      <c r="L236" s="223">
        <v>3407</v>
      </c>
      <c r="M236" s="223">
        <v>3446</v>
      </c>
      <c r="N236" s="223">
        <v>3828</v>
      </c>
      <c r="O236" s="223">
        <v>3867</v>
      </c>
      <c r="P236" s="223">
        <v>3867</v>
      </c>
      <c r="Q236" s="223">
        <v>4213</v>
      </c>
      <c r="R236" s="223">
        <v>4296</v>
      </c>
      <c r="S236" s="540">
        <v>4296</v>
      </c>
      <c r="T236" s="715"/>
      <c r="U236" s="716"/>
      <c r="V236" s="716"/>
      <c r="W236" s="716"/>
      <c r="X236" s="716"/>
      <c r="Y236" s="716"/>
      <c r="Z236" s="716"/>
      <c r="AA236" s="717"/>
      <c r="AB236" s="107" t="s">
        <v>1672</v>
      </c>
      <c r="AC236" s="68"/>
    </row>
    <row r="237" spans="1:29" ht="15">
      <c r="A237" s="704" t="s">
        <v>1664</v>
      </c>
      <c r="B237" s="707" t="s">
        <v>1667</v>
      </c>
      <c r="C237" s="718" t="s">
        <v>1673</v>
      </c>
      <c r="D237" s="718"/>
      <c r="E237" s="718"/>
      <c r="F237" s="718"/>
      <c r="G237" s="718"/>
      <c r="H237" s="718"/>
      <c r="I237" s="718"/>
      <c r="J237" s="718"/>
      <c r="K237" s="718"/>
      <c r="L237" s="718"/>
      <c r="M237" s="718"/>
      <c r="N237" s="718"/>
      <c r="O237" s="718"/>
      <c r="P237" s="718"/>
      <c r="Q237" s="718"/>
      <c r="R237" s="718"/>
      <c r="S237" s="541"/>
      <c r="T237" s="709" t="s">
        <v>449</v>
      </c>
      <c r="U237" s="719"/>
      <c r="V237" s="719"/>
      <c r="W237" s="719"/>
      <c r="X237" s="719"/>
      <c r="Y237" s="719"/>
      <c r="Z237" s="719"/>
      <c r="AA237" s="720"/>
      <c r="AB237" s="107"/>
      <c r="AC237" s="68"/>
    </row>
    <row r="238" spans="1:29" ht="15.75" thickBot="1">
      <c r="A238" s="706"/>
      <c r="B238" s="708"/>
      <c r="C238" s="222">
        <v>2557</v>
      </c>
      <c r="D238" s="222">
        <v>2871</v>
      </c>
      <c r="E238" s="223">
        <v>2800</v>
      </c>
      <c r="F238" s="223">
        <v>2960</v>
      </c>
      <c r="G238" s="223">
        <v>2957</v>
      </c>
      <c r="H238" s="223">
        <v>3340</v>
      </c>
      <c r="I238" s="223">
        <v>3444</v>
      </c>
      <c r="J238" s="223">
        <v>3461</v>
      </c>
      <c r="K238" s="223">
        <v>3461</v>
      </c>
      <c r="L238" s="223">
        <v>3407</v>
      </c>
      <c r="M238" s="223">
        <v>3446</v>
      </c>
      <c r="N238" s="223">
        <v>3828</v>
      </c>
      <c r="O238" s="223">
        <v>3867</v>
      </c>
      <c r="P238" s="223">
        <v>3867</v>
      </c>
      <c r="Q238" s="223">
        <v>4213</v>
      </c>
      <c r="R238" s="223">
        <v>4296</v>
      </c>
      <c r="S238" s="540">
        <v>4296</v>
      </c>
      <c r="T238" s="721"/>
      <c r="U238" s="722"/>
      <c r="V238" s="722"/>
      <c r="W238" s="722"/>
      <c r="X238" s="722"/>
      <c r="Y238" s="722"/>
      <c r="Z238" s="722"/>
      <c r="AA238" s="723"/>
      <c r="AB238" s="107" t="s">
        <v>1674</v>
      </c>
      <c r="AC238" s="68"/>
    </row>
    <row r="239" spans="1:29" ht="15">
      <c r="A239" s="794" t="s">
        <v>299</v>
      </c>
      <c r="B239" s="641" t="s">
        <v>300</v>
      </c>
      <c r="C239" s="542">
        <f>C240*$AC$239</f>
        <v>133.38192419825072</v>
      </c>
      <c r="D239" s="542"/>
      <c r="E239" s="542">
        <f>E240*$AC$239</f>
        <v>155.79008746355686</v>
      </c>
      <c r="F239" s="542"/>
      <c r="G239" s="542">
        <f>G240*$AC$239</f>
        <v>160.59183673469386</v>
      </c>
      <c r="H239" s="542"/>
      <c r="I239" s="542">
        <f>I240*$AC$239</f>
        <v>180.86588921282797</v>
      </c>
      <c r="J239" s="542"/>
      <c r="K239" s="542">
        <f>K240*$AC$239</f>
        <v>183</v>
      </c>
      <c r="L239" s="542">
        <f>L240*$AC$239</f>
        <v>183.53352769679299</v>
      </c>
      <c r="M239" s="542">
        <f>M240*$AC$239</f>
        <v>184.60058309037899</v>
      </c>
      <c r="N239" s="542">
        <f>N240*$AC$239</f>
        <v>203.27405247813411</v>
      </c>
      <c r="O239" s="542"/>
      <c r="P239" s="542">
        <f>P240*$AC$239</f>
        <v>205.94169096209913</v>
      </c>
      <c r="Q239" s="542">
        <f>Q240*$AC$239</f>
        <v>227.28279883381924</v>
      </c>
      <c r="R239" s="542">
        <f>R240*$AC$239</f>
        <v>229.41690962099125</v>
      </c>
      <c r="S239" s="542"/>
      <c r="T239" s="544"/>
      <c r="U239" s="544"/>
      <c r="V239" s="544"/>
      <c r="W239" s="544"/>
      <c r="X239" s="544"/>
      <c r="Y239" s="544"/>
      <c r="Z239" s="544"/>
      <c r="AA239" s="545"/>
      <c r="AB239" s="107" t="s">
        <v>377</v>
      </c>
      <c r="AC239" s="68">
        <v>183</v>
      </c>
    </row>
    <row r="240" spans="1:29" ht="15">
      <c r="A240" s="766"/>
      <c r="B240" s="638"/>
      <c r="C240" s="81">
        <f>$K$240*C242</f>
        <v>0.7288629737609329</v>
      </c>
      <c r="D240" s="81"/>
      <c r="E240" s="81">
        <f>$K$240*E242</f>
        <v>0.85131195335276966</v>
      </c>
      <c r="F240" s="81"/>
      <c r="G240" s="81">
        <f>$K$240*G242</f>
        <v>0.87755102040816313</v>
      </c>
      <c r="H240" s="81"/>
      <c r="I240" s="81">
        <f>$K$240*I242</f>
        <v>0.98833819241982501</v>
      </c>
      <c r="J240" s="81"/>
      <c r="K240" s="81">
        <f>0.5*2</f>
        <v>1</v>
      </c>
      <c r="L240" s="81">
        <f>$K$240*L242</f>
        <v>1.0029154518950436</v>
      </c>
      <c r="M240" s="81">
        <f t="shared" si="170" ref="M240:R240">$K$240*M242</f>
        <v>1.008746355685131</v>
      </c>
      <c r="N240" s="81">
        <f t="shared" si="170"/>
        <v>1.1107871720116618</v>
      </c>
      <c r="O240" s="81"/>
      <c r="P240" s="81">
        <f t="shared" si="170"/>
        <v>1.1253644314868805</v>
      </c>
      <c r="Q240" s="81">
        <f t="shared" si="170"/>
        <v>1.2419825072886297</v>
      </c>
      <c r="R240" s="81">
        <f t="shared" si="170"/>
        <v>1.2536443148688046</v>
      </c>
      <c r="S240" s="81"/>
      <c r="T240" s="17"/>
      <c r="U240" s="17"/>
      <c r="V240" s="17"/>
      <c r="W240" s="17"/>
      <c r="X240" s="17"/>
      <c r="Y240" s="17"/>
      <c r="Z240" s="17"/>
      <c r="AA240" s="225"/>
      <c r="AB240" s="107" t="s">
        <v>393</v>
      </c>
      <c r="AC240" s="68"/>
    </row>
    <row r="241" spans="1:29" ht="15">
      <c r="A241" s="766"/>
      <c r="B241" s="638"/>
      <c r="C241" s="81">
        <f>$AC$2*$AC$239*2/C239</f>
        <v>27.44</v>
      </c>
      <c r="D241" s="81"/>
      <c r="E241" s="81">
        <f>$AC$2*$AC$239*2/E239</f>
        <v>23.493150684931507</v>
      </c>
      <c r="F241" s="81"/>
      <c r="G241" s="81">
        <f>$AC$2*$AC$239*2/G239</f>
        <v>22.790697674418606</v>
      </c>
      <c r="H241" s="81"/>
      <c r="I241" s="81">
        <f>$AC$2*$AC$239*2/I239</f>
        <v>20.235988200589972</v>
      </c>
      <c r="J241" s="81"/>
      <c r="K241" s="81">
        <f>$AC$2*$AC$239*2/K239</f>
        <v>20</v>
      </c>
      <c r="L241" s="81">
        <f>$AC$2*$AC$239*2/L239</f>
        <v>19.941860465116282</v>
      </c>
      <c r="M241" s="81">
        <f>$AC$2*$AC$239*2/M239</f>
        <v>19.826589595375726</v>
      </c>
      <c r="N241" s="81">
        <f>$AC$2*$AC$239*2/N239</f>
        <v>18.00524934383202</v>
      </c>
      <c r="O241" s="81"/>
      <c r="P241" s="81">
        <f>$AC$2*$AC$239*2/P239</f>
        <v>17.7720207253886</v>
      </c>
      <c r="Q241" s="81">
        <f>$AC$2*$AC$239*2/Q239</f>
        <v>16.103286384976524</v>
      </c>
      <c r="R241" s="81">
        <f>$AC$2*$AC$239*2/R239</f>
        <v>15.953488372093023</v>
      </c>
      <c r="S241" s="81"/>
      <c r="T241" s="17"/>
      <c r="U241" s="17"/>
      <c r="V241" s="17"/>
      <c r="W241" s="17"/>
      <c r="X241" s="17"/>
      <c r="Y241" s="17"/>
      <c r="Z241" s="17"/>
      <c r="AA241" s="225"/>
      <c r="AB241" s="107" t="s">
        <v>376</v>
      </c>
      <c r="AC241" s="68"/>
    </row>
    <row r="242" spans="1:29" ht="15">
      <c r="A242" s="766"/>
      <c r="B242" s="638"/>
      <c r="C242" s="17">
        <f>C243/$K$243</f>
        <v>0.7288629737609329</v>
      </c>
      <c r="D242" s="17"/>
      <c r="E242" s="17">
        <f>E243/$K$243</f>
        <v>0.85131195335276966</v>
      </c>
      <c r="F242" s="17"/>
      <c r="G242" s="17">
        <f>G243/$K$243</f>
        <v>0.87755102040816313</v>
      </c>
      <c r="H242" s="17"/>
      <c r="I242" s="17">
        <f>I243/$K$243</f>
        <v>0.98833819241982501</v>
      </c>
      <c r="J242" s="17"/>
      <c r="K242" s="17">
        <f t="shared" si="171" ref="K242">K243/$K$243</f>
        <v>1</v>
      </c>
      <c r="L242" s="17">
        <f t="shared" si="172" ref="L242">L243/$K$243</f>
        <v>1.0029154518950436</v>
      </c>
      <c r="M242" s="17">
        <f t="shared" si="173" ref="M242:N242">M243/$K$243</f>
        <v>1.008746355685131</v>
      </c>
      <c r="N242" s="17">
        <f t="shared" si="173"/>
        <v>1.1107871720116618</v>
      </c>
      <c r="O242" s="17"/>
      <c r="P242" s="17">
        <f t="shared" si="174" ref="P242">P243/$K$243</f>
        <v>1.1253644314868805</v>
      </c>
      <c r="Q242" s="17">
        <f t="shared" si="175" ref="Q242">Q243/$K$243</f>
        <v>1.2419825072886297</v>
      </c>
      <c r="R242" s="17">
        <f t="shared" si="176" ref="R242">R243/$K$243</f>
        <v>1.2536443148688046</v>
      </c>
      <c r="S242" s="17"/>
      <c r="T242" s="17"/>
      <c r="U242" s="17"/>
      <c r="V242" s="17"/>
      <c r="W242" s="17"/>
      <c r="X242" s="17"/>
      <c r="Y242" s="17"/>
      <c r="Z242" s="17"/>
      <c r="AA242" s="225"/>
      <c r="AB242" s="107" t="s">
        <v>395</v>
      </c>
      <c r="AC242" s="68"/>
    </row>
    <row r="243" spans="1:29" ht="15.75" thickBot="1">
      <c r="A243" s="767"/>
      <c r="B243" s="757"/>
      <c r="C243" s="467">
        <v>2.50</v>
      </c>
      <c r="D243" s="467"/>
      <c r="E243" s="223">
        <v>2.92</v>
      </c>
      <c r="F243" s="223"/>
      <c r="G243" s="223">
        <v>3.01</v>
      </c>
      <c r="H243" s="223"/>
      <c r="I243" s="223">
        <v>3.39</v>
      </c>
      <c r="J243" s="223"/>
      <c r="K243" s="223">
        <v>3.43</v>
      </c>
      <c r="L243" s="223">
        <v>3.44</v>
      </c>
      <c r="M243" s="223">
        <v>3.46</v>
      </c>
      <c r="N243" s="223">
        <v>3.81</v>
      </c>
      <c r="O243" s="223"/>
      <c r="P243" s="223">
        <v>3.86</v>
      </c>
      <c r="Q243" s="223">
        <v>4.26</v>
      </c>
      <c r="R243" s="223">
        <v>4.30</v>
      </c>
      <c r="S243" s="223"/>
      <c r="T243" s="223"/>
      <c r="U243" s="223"/>
      <c r="V243" s="223"/>
      <c r="W243" s="223"/>
      <c r="X243" s="223"/>
      <c r="Y243" s="223"/>
      <c r="Z243" s="223"/>
      <c r="AA243" s="224"/>
      <c r="AB243" s="107" t="s">
        <v>398</v>
      </c>
      <c r="AC243" s="68"/>
    </row>
    <row r="244" spans="1:29" ht="15">
      <c r="A244" s="765" t="s">
        <v>301</v>
      </c>
      <c r="B244" s="756" t="s">
        <v>97</v>
      </c>
      <c r="C244" s="151">
        <f>E244/$AC$245</f>
        <v>831.04130973496592</v>
      </c>
      <c r="D244" s="151"/>
      <c r="E244" s="151">
        <f>G244/$AC$245</f>
        <v>872.59337522171427</v>
      </c>
      <c r="F244" s="151"/>
      <c r="G244" s="151">
        <f>I244/$AC$245</f>
        <v>916.22304398280005</v>
      </c>
      <c r="H244" s="151"/>
      <c r="I244" s="151">
        <f>K244/$AC$245</f>
        <v>962.03419618194005</v>
      </c>
      <c r="J244" s="151"/>
      <c r="K244" s="151">
        <f>L244/$AC$245</f>
        <v>1010.1359059910371</v>
      </c>
      <c r="L244" s="151">
        <f>M244/$AC$245</f>
        <v>1060.642701290589</v>
      </c>
      <c r="M244" s="151">
        <f>N244/$AC$245</f>
        <v>1113.6748363551185</v>
      </c>
      <c r="N244" s="151">
        <f>P244/$AC$245</f>
        <v>1169.3585781728746</v>
      </c>
      <c r="O244" s="151"/>
      <c r="P244" s="151">
        <f>Q244/$AC$245</f>
        <v>1227.8265070815182</v>
      </c>
      <c r="Q244" s="151">
        <f>R244/$AC$245</f>
        <v>1289.2178324355941</v>
      </c>
      <c r="R244" s="151">
        <f>T244</f>
        <v>1353.678724057374</v>
      </c>
      <c r="S244" s="151"/>
      <c r="T244" s="151">
        <f t="shared" si="177" ref="T244:Z244">U244/$AC$245</f>
        <v>1353.678724057374</v>
      </c>
      <c r="U244" s="151">
        <f t="shared" si="177"/>
        <v>1421.3626602602428</v>
      </c>
      <c r="V244" s="151">
        <f t="shared" si="177"/>
        <v>1492.4307932732549</v>
      </c>
      <c r="W244" s="151">
        <f t="shared" si="177"/>
        <v>1567.0523329369178</v>
      </c>
      <c r="X244" s="151">
        <f t="shared" si="177"/>
        <v>1645.4049495837637</v>
      </c>
      <c r="Y244" s="151">
        <f t="shared" si="177"/>
        <v>1727.6751970629521</v>
      </c>
      <c r="Z244" s="151">
        <f t="shared" si="177"/>
        <v>1814.0589569160998</v>
      </c>
      <c r="AA244" s="226">
        <v>1904.7619047619048</v>
      </c>
      <c r="AB244" s="107" t="s">
        <v>377</v>
      </c>
      <c r="AC244" s="68">
        <v>200</v>
      </c>
    </row>
    <row r="245" spans="1:29" ht="15">
      <c r="A245" s="766"/>
      <c r="B245" s="638"/>
      <c r="C245" s="86">
        <f>C244/$AC$244</f>
        <v>4.1552065486748297</v>
      </c>
      <c r="D245" s="86"/>
      <c r="E245" s="86">
        <f>E244/$AC$244</f>
        <v>4.3629668761085716</v>
      </c>
      <c r="F245" s="86"/>
      <c r="G245" s="86">
        <f>G244/$AC$244</f>
        <v>4.5811152199140004</v>
      </c>
      <c r="H245" s="86"/>
      <c r="I245" s="86">
        <f>I244/$AC$244</f>
        <v>4.8101709809097004</v>
      </c>
      <c r="J245" s="86"/>
      <c r="K245" s="86">
        <f>K244/$AC$244</f>
        <v>5.0506795299551861</v>
      </c>
      <c r="L245" s="86">
        <f>L244/$AC$244</f>
        <v>5.3032135064529449</v>
      </c>
      <c r="M245" s="86">
        <f>M244/$AC$244</f>
        <v>5.5683741817755923</v>
      </c>
      <c r="N245" s="86">
        <f>N244/$AC$244</f>
        <v>5.8467928908643731</v>
      </c>
      <c r="O245" s="86"/>
      <c r="P245" s="86">
        <f t="shared" si="178" ref="P245">P244/$AC$244</f>
        <v>6.1391325354075912</v>
      </c>
      <c r="Q245" s="86">
        <f t="shared" si="179" ref="Q245">Q244/$AC$244</f>
        <v>6.4460891621779703</v>
      </c>
      <c r="R245" s="86">
        <f t="shared" si="180" ref="R245">R244/$AC$244</f>
        <v>6.7683936202868695</v>
      </c>
      <c r="S245" s="86"/>
      <c r="T245" s="86">
        <f t="shared" si="181" ref="T245:Z245">T244/$AC$244</f>
        <v>6.7683936202868695</v>
      </c>
      <c r="U245" s="86">
        <f t="shared" si="181"/>
        <v>7.106813301301214</v>
      </c>
      <c r="V245" s="86">
        <f t="shared" si="181"/>
        <v>7.4621539663662748</v>
      </c>
      <c r="W245" s="86">
        <f t="shared" si="181"/>
        <v>7.8352616646845892</v>
      </c>
      <c r="X245" s="86">
        <f t="shared" si="181"/>
        <v>8.2270247479188185</v>
      </c>
      <c r="Y245" s="86">
        <f t="shared" si="181"/>
        <v>8.6383759853147595</v>
      </c>
      <c r="Z245" s="86">
        <f t="shared" si="181"/>
        <v>9.0702947845804989</v>
      </c>
      <c r="AA245" s="227">
        <f>AA244/$AC$244</f>
        <v>9.5238095238095237</v>
      </c>
      <c r="AB245" s="107" t="s">
        <v>405</v>
      </c>
      <c r="AC245" s="68">
        <v>1.05</v>
      </c>
    </row>
    <row r="246" spans="1:31" ht="15">
      <c r="A246" s="766"/>
      <c r="B246" s="638"/>
      <c r="C246" s="81">
        <f>$AC$2/(C245/$AE$246)</f>
        <v>4.8132384673821713</v>
      </c>
      <c r="D246" s="81"/>
      <c r="E246" s="81">
        <f>$AC$2/(E245/$AE$246)</f>
        <v>4.5840366356020681</v>
      </c>
      <c r="F246" s="81"/>
      <c r="G246" s="81">
        <f>$AC$2/(G245/$AE$246)</f>
        <v>4.3657491767638739</v>
      </c>
      <c r="H246" s="81"/>
      <c r="I246" s="81">
        <f>$AC$2/(I245/$AE$246)</f>
        <v>4.1578563588227366</v>
      </c>
      <c r="J246" s="81"/>
      <c r="K246" s="81">
        <f>$AC$2/(K245/$AE$246)</f>
        <v>3.9598631988787965</v>
      </c>
      <c r="L246" s="81">
        <f>$AC$2/(L245/$AE$246)</f>
        <v>3.7712982846464733</v>
      </c>
      <c r="M246" s="81">
        <f>$AC$2/(M245/$AE$246)</f>
        <v>3.5917126520442602</v>
      </c>
      <c r="N246" s="81">
        <f>$AC$2/(N245/$AE$246)</f>
        <v>3.420678716232628</v>
      </c>
      <c r="O246" s="81"/>
      <c r="P246" s="81">
        <f>$AC$2/(P245/$AE$246)</f>
        <v>3.257789253554884</v>
      </c>
      <c r="Q246" s="81">
        <f>$AC$2/(Q245/$AE$246)</f>
        <v>3.1026564319570329</v>
      </c>
      <c r="R246" s="81">
        <f>$AC$2/(R245/$AE$246)</f>
        <v>2.954910887578126</v>
      </c>
      <c r="S246" s="81"/>
      <c r="T246" s="81">
        <f t="shared" si="182" ref="T246:AA246">$AC$2/(T245/$AE$246)</f>
        <v>2.954910887578126</v>
      </c>
      <c r="U246" s="81">
        <f t="shared" si="182"/>
        <v>2.8142008453125005</v>
      </c>
      <c r="V246" s="81">
        <f t="shared" si="182"/>
        <v>2.6801912812500004</v>
      </c>
      <c r="W246" s="81">
        <f t="shared" si="182"/>
        <v>2.5525631250000003</v>
      </c>
      <c r="X246" s="81">
        <f t="shared" si="182"/>
        <v>2.4310125000000005</v>
      </c>
      <c r="Y246" s="81">
        <f t="shared" si="182"/>
        <v>2.3152500000000003</v>
      </c>
      <c r="Z246" s="81">
        <f t="shared" si="182"/>
        <v>2.205</v>
      </c>
      <c r="AA246" s="228">
        <f t="shared" si="182"/>
        <v>2.10</v>
      </c>
      <c r="AB246" s="107" t="s">
        <v>376</v>
      </c>
      <c r="AC246" s="68"/>
      <c r="AD246" t="s">
        <v>404</v>
      </c>
      <c r="AE246">
        <v>2</v>
      </c>
    </row>
    <row r="247" spans="1:29" ht="15.75" thickBot="1">
      <c r="A247" s="767"/>
      <c r="B247" s="757"/>
      <c r="C247" s="229"/>
      <c r="D247" s="229"/>
      <c r="E247" s="155"/>
      <c r="F247" s="155"/>
      <c r="G247" s="155"/>
      <c r="H247" s="155"/>
      <c r="I247" s="155"/>
      <c r="J247" s="155"/>
      <c r="K247" s="155"/>
      <c r="L247" s="155"/>
      <c r="M247" s="155"/>
      <c r="N247" s="155"/>
      <c r="O247" s="155"/>
      <c r="P247" s="155"/>
      <c r="Q247" s="155"/>
      <c r="R247" s="155"/>
      <c r="S247" s="155"/>
      <c r="T247" s="155"/>
      <c r="U247" s="155"/>
      <c r="V247" s="155"/>
      <c r="W247" s="155"/>
      <c r="X247" s="155"/>
      <c r="Y247" s="155"/>
      <c r="Z247" s="155"/>
      <c r="AA247" s="157"/>
      <c r="AB247" s="107"/>
      <c r="AC247" s="68"/>
    </row>
    <row r="248" spans="1:30" ht="15">
      <c r="A248" s="765" t="s">
        <v>290</v>
      </c>
      <c r="B248" s="801" t="s">
        <v>31</v>
      </c>
      <c r="C248" s="230"/>
      <c r="D248" s="230"/>
      <c r="E248" s="194">
        <v>120</v>
      </c>
      <c r="F248" s="194"/>
      <c r="G248" s="194"/>
      <c r="H248" s="194"/>
      <c r="I248" s="194">
        <v>120</v>
      </c>
      <c r="J248" s="194"/>
      <c r="K248" s="194"/>
      <c r="L248" s="194"/>
      <c r="M248" s="194"/>
      <c r="N248" s="194"/>
      <c r="O248" s="194"/>
      <c r="P248" s="194"/>
      <c r="Q248" s="194"/>
      <c r="R248" s="194"/>
      <c r="S248" s="194"/>
      <c r="T248" s="194">
        <v>246.60000000000002</v>
      </c>
      <c r="U248" s="194">
        <v>265.50</v>
      </c>
      <c r="V248" s="194">
        <v>305.70</v>
      </c>
      <c r="W248" s="194">
        <v>348</v>
      </c>
      <c r="X248" s="194">
        <v>385.79999999999995</v>
      </c>
      <c r="Y248" s="194">
        <v>440.40</v>
      </c>
      <c r="Z248" s="194">
        <v>474.30</v>
      </c>
      <c r="AA248" s="196">
        <v>506.40</v>
      </c>
      <c r="AB248" s="107" t="s">
        <v>388</v>
      </c>
      <c r="AC248" s="68">
        <v>183</v>
      </c>
      <c r="AD248" s="107" t="s">
        <v>399</v>
      </c>
    </row>
    <row r="249" spans="1:29" ht="15.75" thickBot="1">
      <c r="A249" s="767"/>
      <c r="B249" s="802"/>
      <c r="C249" s="231"/>
      <c r="D249" s="231"/>
      <c r="E249" s="232">
        <v>4</v>
      </c>
      <c r="F249" s="232"/>
      <c r="G249" s="232">
        <v>5.13</v>
      </c>
      <c r="H249" s="232"/>
      <c r="I249" s="232">
        <v>6.18</v>
      </c>
      <c r="J249" s="232"/>
      <c r="K249" s="232"/>
      <c r="L249" s="232"/>
      <c r="M249" s="232"/>
      <c r="N249" s="232">
        <v>6.80</v>
      </c>
      <c r="O249" s="232"/>
      <c r="P249" s="232">
        <v>12.50</v>
      </c>
      <c r="Q249" s="232">
        <v>16</v>
      </c>
      <c r="R249" s="232">
        <v>20</v>
      </c>
      <c r="S249" s="232"/>
      <c r="T249" s="232">
        <v>8.2200000000000006</v>
      </c>
      <c r="U249" s="232">
        <v>8.85</v>
      </c>
      <c r="V249" s="232">
        <v>10.19</v>
      </c>
      <c r="W249" s="232">
        <v>11.60</v>
      </c>
      <c r="X249" s="232">
        <v>12.86</v>
      </c>
      <c r="Y249" s="232">
        <v>14.68</v>
      </c>
      <c r="Z249" s="232">
        <v>15.81</v>
      </c>
      <c r="AA249" s="233">
        <v>16.88</v>
      </c>
      <c r="AB249" s="107" t="s">
        <v>391</v>
      </c>
      <c r="AC249" s="68"/>
    </row>
    <row r="250" spans="1:29" ht="15">
      <c r="A250" s="765" t="s">
        <v>289</v>
      </c>
      <c r="B250" s="801" t="s">
        <v>98</v>
      </c>
      <c r="C250" s="230"/>
      <c r="D250" s="230"/>
      <c r="E250" s="194"/>
      <c r="F250" s="194"/>
      <c r="G250" s="194">
        <v>166</v>
      </c>
      <c r="H250" s="194"/>
      <c r="I250" s="194"/>
      <c r="J250" s="194"/>
      <c r="K250" s="194">
        <v>166</v>
      </c>
      <c r="L250" s="194"/>
      <c r="M250" s="194">
        <v>166</v>
      </c>
      <c r="N250" s="194">
        <v>166</v>
      </c>
      <c r="O250" s="194"/>
      <c r="P250" s="194">
        <v>166</v>
      </c>
      <c r="Q250" s="194">
        <v>166</v>
      </c>
      <c r="R250" s="194">
        <v>166</v>
      </c>
      <c r="S250" s="194"/>
      <c r="T250" s="194"/>
      <c r="U250" s="194"/>
      <c r="V250" s="194"/>
      <c r="W250" s="194"/>
      <c r="X250" s="194"/>
      <c r="Y250" s="194"/>
      <c r="Z250" s="194"/>
      <c r="AA250" s="196"/>
      <c r="AB250" s="107" t="s">
        <v>377</v>
      </c>
      <c r="AC250" s="68">
        <v>166</v>
      </c>
    </row>
    <row r="251" spans="1:29" ht="15.75" thickBot="1">
      <c r="A251" s="767"/>
      <c r="B251" s="802"/>
      <c r="C251" s="222">
        <v>10</v>
      </c>
      <c r="D251" s="222"/>
      <c r="E251" s="222">
        <v>10</v>
      </c>
      <c r="F251" s="222"/>
      <c r="G251" s="222">
        <v>10</v>
      </c>
      <c r="H251" s="222"/>
      <c r="I251" s="222">
        <v>10</v>
      </c>
      <c r="J251" s="222"/>
      <c r="K251" s="222">
        <v>10</v>
      </c>
      <c r="L251" s="222">
        <v>10</v>
      </c>
      <c r="M251" s="222">
        <v>10</v>
      </c>
      <c r="N251" s="222">
        <v>10</v>
      </c>
      <c r="O251" s="222"/>
      <c r="P251" s="222">
        <v>10</v>
      </c>
      <c r="Q251" s="222">
        <v>10</v>
      </c>
      <c r="R251" s="222">
        <v>10</v>
      </c>
      <c r="S251" s="222"/>
      <c r="T251" s="155"/>
      <c r="U251" s="155"/>
      <c r="V251" s="155"/>
      <c r="W251" s="155"/>
      <c r="X251" s="155"/>
      <c r="Y251" s="155"/>
      <c r="Z251" s="155"/>
      <c r="AA251" s="157"/>
      <c r="AB251" s="107" t="s">
        <v>376</v>
      </c>
      <c r="AC251" s="68"/>
    </row>
    <row r="252" spans="1:29" ht="15">
      <c r="A252" s="765" t="s">
        <v>302</v>
      </c>
      <c r="B252" s="801" t="s">
        <v>99</v>
      </c>
      <c r="C252" s="151">
        <f t="shared" si="183" ref="C252:Q252">400*C255</f>
        <v>118.70244293151782</v>
      </c>
      <c r="D252" s="151"/>
      <c r="E252" s="151">
        <f t="shared" si="183"/>
        <v>147.21665999199038</v>
      </c>
      <c r="F252" s="151"/>
      <c r="G252" s="151">
        <f t="shared" si="183"/>
        <v>195.27432919503406</v>
      </c>
      <c r="H252" s="151"/>
      <c r="I252" s="151">
        <f t="shared" si="183"/>
        <v>204.08490188225872</v>
      </c>
      <c r="J252" s="151"/>
      <c r="K252" s="151">
        <f t="shared" si="183"/>
        <v>234.52142571085304</v>
      </c>
      <c r="L252" s="151">
        <f t="shared" si="183"/>
        <v>276.17140568682419</v>
      </c>
      <c r="M252" s="151">
        <f t="shared" si="183"/>
        <v>316.21946335602723</v>
      </c>
      <c r="N252" s="151">
        <f t="shared" si="183"/>
        <v>288.66639967961555</v>
      </c>
      <c r="O252" s="151">
        <f t="shared" si="184" ref="O252">400*O255</f>
        <v>312.69523428113735</v>
      </c>
      <c r="P252" s="151">
        <f t="shared" si="183"/>
        <v>344.73368041649979</v>
      </c>
      <c r="Q252" s="151">
        <f t="shared" si="183"/>
        <v>343.9327192631157</v>
      </c>
      <c r="R252" s="151">
        <f>400*R255</f>
        <v>400</v>
      </c>
      <c r="S252" s="151"/>
      <c r="T252" s="194"/>
      <c r="U252" s="194"/>
      <c r="V252" s="194"/>
      <c r="W252" s="194"/>
      <c r="X252" s="194"/>
      <c r="Y252" s="194"/>
      <c r="Z252" s="194"/>
      <c r="AA252" s="196"/>
      <c r="AB252" s="107" t="s">
        <v>377</v>
      </c>
      <c r="AC252" s="68">
        <v>166</v>
      </c>
    </row>
    <row r="253" spans="1:29" ht="15">
      <c r="A253" s="766"/>
      <c r="B253" s="703"/>
      <c r="C253" s="86">
        <f>C252/$AC$252</f>
        <v>0.71507495741878202</v>
      </c>
      <c r="D253" s="86"/>
      <c r="E253" s="86">
        <f>E252/$AC$252</f>
        <v>0.88684734934933962</v>
      </c>
      <c r="F253" s="86"/>
      <c r="G253" s="86">
        <f>G252/$AC$252</f>
        <v>1.1763513806929762</v>
      </c>
      <c r="H253" s="86"/>
      <c r="I253" s="86">
        <f>I252/$AC$252</f>
        <v>1.229427119772643</v>
      </c>
      <c r="J253" s="86"/>
      <c r="K253" s="86">
        <f t="shared" si="185" ref="K253:R253">K252/$AC$252</f>
        <v>1.412779672956946</v>
      </c>
      <c r="L253" s="86">
        <f t="shared" si="185"/>
        <v>1.6636831667880976</v>
      </c>
      <c r="M253" s="86">
        <f t="shared" si="185"/>
        <v>1.904936526241128</v>
      </c>
      <c r="N253" s="86">
        <f t="shared" si="185"/>
        <v>1.7389542149374431</v>
      </c>
      <c r="O253" s="86">
        <f t="shared" si="185"/>
        <v>1.8837062306092611</v>
      </c>
      <c r="P253" s="86">
        <f t="shared" si="185"/>
        <v>2.0767089181716853</v>
      </c>
      <c r="Q253" s="86">
        <f t="shared" si="185"/>
        <v>2.0718838509826245</v>
      </c>
      <c r="R253" s="86">
        <f t="shared" si="185"/>
        <v>2.4096385542168677</v>
      </c>
      <c r="S253" s="86"/>
      <c r="T253" s="17"/>
      <c r="U253" s="17"/>
      <c r="V253" s="17"/>
      <c r="W253" s="17"/>
      <c r="X253" s="17"/>
      <c r="Y253" s="17"/>
      <c r="Z253" s="17"/>
      <c r="AA253" s="225"/>
      <c r="AB253" s="107" t="s">
        <v>405</v>
      </c>
      <c r="AC253" s="68"/>
    </row>
    <row r="254" spans="1:31" ht="15">
      <c r="A254" s="766"/>
      <c r="B254" s="703"/>
      <c r="C254" s="81">
        <f>$AC$2/C253*$AE$254</f>
        <v>27.96909581646424</v>
      </c>
      <c r="D254" s="81"/>
      <c r="E254" s="81">
        <f>$AC$2/E253*$AE$254</f>
        <v>22.551795429815019</v>
      </c>
      <c r="F254" s="81"/>
      <c r="G254" s="81">
        <f>$AC$2/G253*$AE$254</f>
        <v>17.001722723543889</v>
      </c>
      <c r="H254" s="81"/>
      <c r="I254" s="81">
        <f>$AC$2/I253*$AE$254</f>
        <v>16.267739403453689</v>
      </c>
      <c r="J254" s="81"/>
      <c r="K254" s="81">
        <f t="shared" si="186" ref="K254:R254">$AC$2/K253*$AE$254</f>
        <v>14.156489071038251</v>
      </c>
      <c r="L254" s="81">
        <f t="shared" si="186"/>
        <v>12.021519721577725</v>
      </c>
      <c r="M254" s="81">
        <f t="shared" si="186"/>
        <v>10.499037487335359</v>
      </c>
      <c r="N254" s="81">
        <f t="shared" si="186"/>
        <v>11.501165371809101</v>
      </c>
      <c r="O254" s="81">
        <f t="shared" si="186"/>
        <v>10.617366803278689</v>
      </c>
      <c r="P254" s="81">
        <f t="shared" si="186"/>
        <v>9.630622676579927</v>
      </c>
      <c r="Q254" s="81">
        <f t="shared" si="186"/>
        <v>9.6530507685142073</v>
      </c>
      <c r="R254" s="81">
        <f t="shared" si="186"/>
        <v>8.2999999999999989</v>
      </c>
      <c r="S254" s="81"/>
      <c r="T254" s="17"/>
      <c r="U254" s="17"/>
      <c r="V254" s="17"/>
      <c r="W254" s="17"/>
      <c r="X254" s="17"/>
      <c r="Y254" s="17"/>
      <c r="Z254" s="17"/>
      <c r="AA254" s="225"/>
      <c r="AB254" s="107" t="s">
        <v>376</v>
      </c>
      <c r="AC254" s="68"/>
      <c r="AD254" t="s">
        <v>404</v>
      </c>
      <c r="AE254">
        <v>2</v>
      </c>
    </row>
    <row r="255" spans="1:29" ht="15">
      <c r="A255" s="766"/>
      <c r="B255" s="703"/>
      <c r="C255" s="84">
        <f>C256/$R$256</f>
        <v>0.29675610732879454</v>
      </c>
      <c r="D255" s="84"/>
      <c r="E255" s="84">
        <f>E256/$R$256</f>
        <v>0.36804164997997596</v>
      </c>
      <c r="F255" s="84"/>
      <c r="G255" s="84">
        <f>G256/$R$256</f>
        <v>0.48818582298758512</v>
      </c>
      <c r="H255" s="84"/>
      <c r="I255" s="84">
        <f>I256/$R$256</f>
        <v>0.51021225470564679</v>
      </c>
      <c r="J255" s="84"/>
      <c r="K255" s="84">
        <f t="shared" si="187" ref="K255:R255">K256/$R$256</f>
        <v>0.58630356427713259</v>
      </c>
      <c r="L255" s="84">
        <f t="shared" si="187"/>
        <v>0.69042851421706042</v>
      </c>
      <c r="M255" s="84">
        <f t="shared" si="187"/>
        <v>0.79054865839006805</v>
      </c>
      <c r="N255" s="84">
        <f t="shared" si="187"/>
        <v>0.72166599919903884</v>
      </c>
      <c r="O255" s="84">
        <f t="shared" si="187"/>
        <v>0.78173808570284342</v>
      </c>
      <c r="P255" s="84">
        <f t="shared" si="187"/>
        <v>0.86183420104124953</v>
      </c>
      <c r="Q255" s="84">
        <f t="shared" si="187"/>
        <v>0.85983179815778932</v>
      </c>
      <c r="R255" s="17">
        <f t="shared" si="187"/>
        <v>1</v>
      </c>
      <c r="S255" s="17"/>
      <c r="T255" s="17"/>
      <c r="U255" s="17"/>
      <c r="V255" s="17"/>
      <c r="W255" s="17"/>
      <c r="X255" s="17"/>
      <c r="Y255" s="17"/>
      <c r="Z255" s="17"/>
      <c r="AA255" s="225"/>
      <c r="AB255" s="107" t="s">
        <v>395</v>
      </c>
      <c r="AC255" s="68"/>
    </row>
    <row r="256" spans="1:29" ht="15.75" thickBot="1">
      <c r="A256" s="767"/>
      <c r="B256" s="802"/>
      <c r="C256" s="234">
        <v>741</v>
      </c>
      <c r="D256" s="234"/>
      <c r="E256" s="235">
        <v>919</v>
      </c>
      <c r="F256" s="235"/>
      <c r="G256" s="235">
        <v>1219</v>
      </c>
      <c r="H256" s="235"/>
      <c r="I256" s="235">
        <v>1274</v>
      </c>
      <c r="J256" s="235"/>
      <c r="K256" s="235">
        <v>1464</v>
      </c>
      <c r="L256" s="235">
        <v>1724</v>
      </c>
      <c r="M256" s="235">
        <v>1974</v>
      </c>
      <c r="N256" s="235">
        <v>1802</v>
      </c>
      <c r="O256" s="235">
        <v>1952</v>
      </c>
      <c r="P256" s="235">
        <v>2152</v>
      </c>
      <c r="Q256" s="235">
        <v>2147</v>
      </c>
      <c r="R256" s="235">
        <v>2497</v>
      </c>
      <c r="S256" s="235"/>
      <c r="T256" s="155"/>
      <c r="U256" s="155"/>
      <c r="V256" s="155"/>
      <c r="W256" s="155"/>
      <c r="X256" s="155"/>
      <c r="Y256" s="155"/>
      <c r="Z256" s="155"/>
      <c r="AA256" s="157"/>
      <c r="AB256" s="107" t="s">
        <v>394</v>
      </c>
      <c r="AC256" s="68"/>
    </row>
    <row r="257" spans="1:29" ht="15">
      <c r="A257" s="765" t="s">
        <v>292</v>
      </c>
      <c r="B257" s="801" t="s">
        <v>21</v>
      </c>
      <c r="C257" s="236">
        <v>9.1666666666666679</v>
      </c>
      <c r="D257" s="236"/>
      <c r="E257" s="237">
        <v>6.1111111111111116</v>
      </c>
      <c r="F257" s="237"/>
      <c r="G257" s="237">
        <v>4.5833333333333339</v>
      </c>
      <c r="H257" s="237"/>
      <c r="I257" s="237">
        <v>3.8596491228070184</v>
      </c>
      <c r="J257" s="237"/>
      <c r="K257" s="237">
        <v>3.3333333333333335</v>
      </c>
      <c r="L257" s="237">
        <v>2.8205128205128207</v>
      </c>
      <c r="M257" s="237">
        <v>2.4858757062146895</v>
      </c>
      <c r="N257" s="237">
        <v>2.404371584699454</v>
      </c>
      <c r="O257" s="237">
        <v>2.2000000000000002</v>
      </c>
      <c r="P257" s="237">
        <v>2.0091324200913245</v>
      </c>
      <c r="Q257" s="237">
        <v>1.8565400843881859</v>
      </c>
      <c r="R257" s="237">
        <v>1.6296296296296298</v>
      </c>
      <c r="S257" s="237"/>
      <c r="T257" s="237">
        <v>1.5770609318996416</v>
      </c>
      <c r="U257" s="237">
        <v>1.5277777777777779</v>
      </c>
      <c r="V257" s="237">
        <v>1.345565749235474</v>
      </c>
      <c r="W257" s="237">
        <v>1.182795698924731</v>
      </c>
      <c r="X257" s="237">
        <v>1.0628019323671498</v>
      </c>
      <c r="Y257" s="237">
        <v>0.93418259023354577</v>
      </c>
      <c r="Z257" s="237">
        <v>0.87301587301587302</v>
      </c>
      <c r="AA257" s="238">
        <v>0.81936685288640609</v>
      </c>
      <c r="AB257" s="107" t="s">
        <v>390</v>
      </c>
      <c r="AC257" s="68">
        <v>166</v>
      </c>
    </row>
    <row r="258" spans="1:29" ht="15">
      <c r="A258" s="766"/>
      <c r="B258" s="703"/>
      <c r="C258" s="83">
        <v>362.18181818181813</v>
      </c>
      <c r="D258" s="83"/>
      <c r="E258" s="111">
        <v>543.27272727272725</v>
      </c>
      <c r="F258" s="111"/>
      <c r="G258" s="111">
        <v>724.36363636363626</v>
      </c>
      <c r="H258" s="111"/>
      <c r="I258" s="111">
        <v>860.18181818181802</v>
      </c>
      <c r="J258" s="111"/>
      <c r="K258" s="111">
        <v>996</v>
      </c>
      <c r="L258" s="111">
        <v>1177.090909090909</v>
      </c>
      <c r="M258" s="111">
        <v>1335.5454545454545</v>
      </c>
      <c r="N258" s="111">
        <v>1380.8181818181815</v>
      </c>
      <c r="O258" s="111"/>
      <c r="P258" s="111">
        <v>1652.4545454545453</v>
      </c>
      <c r="Q258" s="111">
        <v>1788.272727272727</v>
      </c>
      <c r="R258" s="111">
        <v>2037.272727272727</v>
      </c>
      <c r="S258" s="111"/>
      <c r="T258" s="111">
        <v>2105.181818181818</v>
      </c>
      <c r="U258" s="111">
        <v>2173.090909090909</v>
      </c>
      <c r="V258" s="111">
        <v>2467.3636363636365</v>
      </c>
      <c r="W258" s="111">
        <v>2806.909090909091</v>
      </c>
      <c r="X258" s="111">
        <v>3123.8181818181815</v>
      </c>
      <c r="Y258" s="111">
        <v>3553.9090909090905</v>
      </c>
      <c r="Z258" s="111">
        <v>3802.909090909091</v>
      </c>
      <c r="AA258" s="239">
        <v>4051.9090909090905</v>
      </c>
      <c r="AB258" s="107" t="s">
        <v>388</v>
      </c>
      <c r="AC258" s="68"/>
    </row>
    <row r="259" spans="1:29" ht="15.75" thickBot="1">
      <c r="A259" s="767"/>
      <c r="B259" s="802"/>
      <c r="C259" s="77">
        <v>1.60</v>
      </c>
      <c r="D259" s="77"/>
      <c r="E259" s="77">
        <v>2.2599999999999998</v>
      </c>
      <c r="F259" s="77"/>
      <c r="G259" s="77">
        <v>3.20</v>
      </c>
      <c r="H259" s="77"/>
      <c r="I259" s="77">
        <v>3.80</v>
      </c>
      <c r="J259" s="77"/>
      <c r="K259" s="77">
        <v>4.4000000000000004</v>
      </c>
      <c r="L259" s="77">
        <v>5.20</v>
      </c>
      <c r="M259" s="77">
        <v>5.90</v>
      </c>
      <c r="N259" s="77">
        <v>6.10</v>
      </c>
      <c r="O259" s="77">
        <v>6.50</v>
      </c>
      <c r="P259" s="77">
        <v>7.30</v>
      </c>
      <c r="Q259" s="77">
        <v>7.90</v>
      </c>
      <c r="R259" s="155">
        <v>9</v>
      </c>
      <c r="S259" s="155"/>
      <c r="T259" s="155">
        <v>9.3000000000000007</v>
      </c>
      <c r="U259" s="155">
        <v>9.60</v>
      </c>
      <c r="V259" s="155">
        <v>10.90</v>
      </c>
      <c r="W259" s="155">
        <v>12.40</v>
      </c>
      <c r="X259" s="211">
        <v>13.80</v>
      </c>
      <c r="Y259" s="155">
        <v>15.70</v>
      </c>
      <c r="Z259" s="240">
        <v>16.80</v>
      </c>
      <c r="AA259" s="241">
        <v>17.90</v>
      </c>
      <c r="AB259" s="23" t="s">
        <v>387</v>
      </c>
      <c r="AC259" s="68"/>
    </row>
    <row r="260" spans="1:29" ht="15">
      <c r="A260" s="765" t="s">
        <v>291</v>
      </c>
      <c r="B260" s="801" t="s">
        <v>101</v>
      </c>
      <c r="C260" s="230"/>
      <c r="D260" s="230"/>
      <c r="E260" s="194"/>
      <c r="F260" s="194"/>
      <c r="G260" s="194">
        <v>704</v>
      </c>
      <c r="H260" s="194"/>
      <c r="I260" s="194"/>
      <c r="J260" s="194"/>
      <c r="K260" s="194">
        <v>704</v>
      </c>
      <c r="L260" s="194"/>
      <c r="M260" s="194">
        <v>800</v>
      </c>
      <c r="N260" s="194">
        <v>800</v>
      </c>
      <c r="O260" s="194"/>
      <c r="P260" s="194">
        <v>880</v>
      </c>
      <c r="Q260" s="194">
        <v>880</v>
      </c>
      <c r="R260" s="194">
        <v>880</v>
      </c>
      <c r="S260" s="194"/>
      <c r="T260" s="194"/>
      <c r="U260" s="194"/>
      <c r="V260" s="194"/>
      <c r="W260" s="194"/>
      <c r="X260" s="194"/>
      <c r="Y260" s="194"/>
      <c r="Z260" s="194"/>
      <c r="AA260" s="196"/>
      <c r="AB260" s="107" t="s">
        <v>377</v>
      </c>
      <c r="AC260" s="68">
        <v>200</v>
      </c>
    </row>
    <row r="261" spans="1:29" ht="15">
      <c r="A261" s="766"/>
      <c r="B261" s="703"/>
      <c r="C261" s="112">
        <f>$AC$2*$AC$260*2/C262</f>
        <v>14.976758134652874</v>
      </c>
      <c r="D261" s="112"/>
      <c r="E261" s="112">
        <f>$AC$2*$AC$260*2/E262</f>
        <v>12.075927940998671</v>
      </c>
      <c r="F261" s="112"/>
      <c r="G261" s="112">
        <f>$AC$2*$AC$260*2/G262</f>
        <v>9.1040014583903019</v>
      </c>
      <c r="H261" s="112"/>
      <c r="I261" s="112">
        <f>$AC$2*$AC$260*2/I262</f>
        <v>8.7109715681144255</v>
      </c>
      <c r="J261" s="112"/>
      <c r="K261" s="112">
        <f>$AC$2*$AC$260*2/K262</f>
        <v>7.580449301760777</v>
      </c>
      <c r="L261" s="112">
        <f>$AC$2*$AC$260*2/L262</f>
        <v>6.4372260891982469</v>
      </c>
      <c r="M261" s="112">
        <f>$AC$2*$AC$260*2/M262</f>
        <v>5.6219745581447711</v>
      </c>
      <c r="N261" s="112">
        <f>$AC$2*$AC$260*2/N262</f>
        <v>6.1585892218522629</v>
      </c>
      <c r="O261" s="112"/>
      <c r="P261" s="112">
        <f>$AC$2*$AC$260*2/P262</f>
        <v>5.1569599339116072</v>
      </c>
      <c r="Q261" s="112">
        <f>$AC$2*$AC$260*2/Q262</f>
        <v>5.1689696216943544</v>
      </c>
      <c r="R261" s="112">
        <f>$AC$2*$AC$260*2/R262</f>
        <v>4.4444444444444446</v>
      </c>
      <c r="S261" s="112"/>
      <c r="T261" s="17"/>
      <c r="U261" s="17"/>
      <c r="V261" s="17"/>
      <c r="W261" s="17"/>
      <c r="X261" s="17"/>
      <c r="Y261" s="17"/>
      <c r="Z261" s="17"/>
      <c r="AA261" s="225"/>
      <c r="AB261" s="107"/>
      <c r="AC261" s="68"/>
    </row>
    <row r="262" spans="1:29" ht="15.75" thickBot="1">
      <c r="A262" s="767"/>
      <c r="B262" s="802"/>
      <c r="C262" s="242">
        <f t="shared" si="188" ref="C262:Q262">900*C255</f>
        <v>267.08049659591506</v>
      </c>
      <c r="D262" s="242"/>
      <c r="E262" s="242">
        <f t="shared" si="188"/>
        <v>331.23748498197835</v>
      </c>
      <c r="F262" s="242"/>
      <c r="G262" s="242">
        <f t="shared" si="188"/>
        <v>439.3672406888266</v>
      </c>
      <c r="H262" s="242"/>
      <c r="I262" s="242">
        <f t="shared" si="188"/>
        <v>459.19102923508211</v>
      </c>
      <c r="J262" s="242"/>
      <c r="K262" s="242">
        <f t="shared" si="188"/>
        <v>527.67320784941933</v>
      </c>
      <c r="L262" s="242">
        <f t="shared" si="188"/>
        <v>621.38566279535439</v>
      </c>
      <c r="M262" s="242">
        <f t="shared" si="188"/>
        <v>711.49379255106123</v>
      </c>
      <c r="N262" s="242">
        <f t="shared" si="188"/>
        <v>649.49939927913499</v>
      </c>
      <c r="O262" s="242"/>
      <c r="P262" s="242">
        <f t="shared" si="188"/>
        <v>775.65078093712452</v>
      </c>
      <c r="Q262" s="242">
        <f t="shared" si="188"/>
        <v>773.84861834201035</v>
      </c>
      <c r="R262" s="242">
        <f>900*R255</f>
        <v>900</v>
      </c>
      <c r="S262" s="242"/>
      <c r="T262" s="155"/>
      <c r="U262" s="155"/>
      <c r="V262" s="155"/>
      <c r="W262" s="155"/>
      <c r="X262" s="155"/>
      <c r="Y262" s="155"/>
      <c r="Z262" s="155"/>
      <c r="AA262" s="157"/>
      <c r="AB262" s="107"/>
      <c r="AC262" s="68"/>
    </row>
    <row r="263" spans="1:29" ht="15">
      <c r="A263" s="765" t="s">
        <v>303</v>
      </c>
      <c r="B263" s="801" t="s">
        <v>304</v>
      </c>
      <c r="C263" s="243">
        <f>$AC$263*$AC$2/C264</f>
        <v>215.71428571428572</v>
      </c>
      <c r="D263" s="243"/>
      <c r="E263" s="243">
        <f>$AC$263*$AC$2/E264</f>
        <v>215.71428571428572</v>
      </c>
      <c r="F263" s="243"/>
      <c r="G263" s="243">
        <f>$AC$263*$AC$2/G264</f>
        <v>151</v>
      </c>
      <c r="H263" s="243"/>
      <c r="I263" s="243">
        <f>$AC$263*$AC$2/I264</f>
        <v>151</v>
      </c>
      <c r="J263" s="243"/>
      <c r="K263" s="243">
        <f>$AC$263*$AC$2/K264</f>
        <v>125.83333333333333</v>
      </c>
      <c r="L263" s="243">
        <f>$AC$263*$AC$2/L264</f>
        <v>107.85714285714286</v>
      </c>
      <c r="M263" s="243">
        <f>$AC$263*$AC$2/M264</f>
        <v>88.82352941176471</v>
      </c>
      <c r="N263" s="243">
        <f>$AC$263*$AC$2/N264</f>
        <v>100.66666666666667</v>
      </c>
      <c r="O263" s="243"/>
      <c r="P263" s="243">
        <f>$AC$263*$AC$2/P264</f>
        <v>83.888888888888886</v>
      </c>
      <c r="Q263" s="243">
        <f>$AC$263*$AC$2/Q264</f>
        <v>83.888888888888886</v>
      </c>
      <c r="R263" s="243">
        <f>$AC$263*$AC$2/R264</f>
        <v>75.50</v>
      </c>
      <c r="S263" s="243"/>
      <c r="T263" s="194"/>
      <c r="U263" s="194"/>
      <c r="V263" s="194"/>
      <c r="W263" s="194"/>
      <c r="X263" s="194"/>
      <c r="Y263" s="194"/>
      <c r="Z263" s="194"/>
      <c r="AA263" s="196"/>
      <c r="AB263" s="107" t="s">
        <v>376</v>
      </c>
      <c r="AC263" s="68">
        <v>151</v>
      </c>
    </row>
    <row r="264" spans="1:29" ht="15.75" thickBot="1">
      <c r="A264" s="767"/>
      <c r="B264" s="802"/>
      <c r="C264" s="244">
        <v>7</v>
      </c>
      <c r="D264" s="244"/>
      <c r="E264" s="155">
        <v>7</v>
      </c>
      <c r="F264" s="155"/>
      <c r="G264" s="155">
        <v>10</v>
      </c>
      <c r="H264" s="155"/>
      <c r="I264" s="155">
        <v>10</v>
      </c>
      <c r="J264" s="155"/>
      <c r="K264" s="155">
        <v>12</v>
      </c>
      <c r="L264" s="155">
        <v>14</v>
      </c>
      <c r="M264" s="155">
        <v>17</v>
      </c>
      <c r="N264" s="155">
        <v>15</v>
      </c>
      <c r="O264" s="155"/>
      <c r="P264" s="155">
        <v>18</v>
      </c>
      <c r="Q264" s="155">
        <v>18</v>
      </c>
      <c r="R264" s="155">
        <v>20</v>
      </c>
      <c r="S264" s="155"/>
      <c r="T264" s="155"/>
      <c r="U264" s="155"/>
      <c r="V264" s="155"/>
      <c r="W264" s="155"/>
      <c r="X264" s="155"/>
      <c r="Y264" s="155"/>
      <c r="Z264" s="155"/>
      <c r="AA264" s="157"/>
      <c r="AB264" s="107" t="s">
        <v>392</v>
      </c>
      <c r="AC264" s="68"/>
    </row>
    <row r="265" spans="1:29" ht="15">
      <c r="A265" s="765" t="s">
        <v>293</v>
      </c>
      <c r="B265" s="801" t="s">
        <v>102</v>
      </c>
      <c r="C265" s="230"/>
      <c r="D265" s="230"/>
      <c r="E265" s="194"/>
      <c r="F265" s="194"/>
      <c r="G265" s="194"/>
      <c r="H265" s="194"/>
      <c r="I265" s="194"/>
      <c r="J265" s="194"/>
      <c r="K265" s="194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4"/>
      <c r="AA265" s="196"/>
      <c r="AB265" s="107"/>
      <c r="AC265" s="68">
        <v>138</v>
      </c>
    </row>
    <row r="266" spans="1:29" ht="15.75" thickBot="1">
      <c r="A266" s="767"/>
      <c r="B266" s="802"/>
      <c r="C266" s="244">
        <f>$AC$2*60/1</f>
        <v>600</v>
      </c>
      <c r="D266" s="244"/>
      <c r="E266" s="244">
        <f>$AC$2*60/1</f>
        <v>600</v>
      </c>
      <c r="F266" s="244"/>
      <c r="G266" s="244">
        <f>$AC$2*60/1</f>
        <v>600</v>
      </c>
      <c r="H266" s="244"/>
      <c r="I266" s="244">
        <f>$AC$2*60/1</f>
        <v>600</v>
      </c>
      <c r="J266" s="244"/>
      <c r="K266" s="244">
        <f>$AC$2*60/1</f>
        <v>600</v>
      </c>
      <c r="L266" s="244">
        <f>$AC$2*60/1</f>
        <v>600</v>
      </c>
      <c r="M266" s="244">
        <f>$AC$2*60/1</f>
        <v>600</v>
      </c>
      <c r="N266" s="244">
        <f>$AC$2*60/1</f>
        <v>600</v>
      </c>
      <c r="O266" s="244"/>
      <c r="P266" s="244">
        <f>$AC$2*60/1</f>
        <v>600</v>
      </c>
      <c r="Q266" s="244">
        <f>$AC$2*60/1</f>
        <v>600</v>
      </c>
      <c r="R266" s="244">
        <f>$AC$2*60/1</f>
        <v>600</v>
      </c>
      <c r="S266" s="244"/>
      <c r="T266" s="155"/>
      <c r="U266" s="155"/>
      <c r="V266" s="155"/>
      <c r="W266" s="155"/>
      <c r="X266" s="155"/>
      <c r="Y266" s="155"/>
      <c r="Z266" s="155"/>
      <c r="AA266" s="157"/>
      <c r="AB266" s="107" t="s">
        <v>376</v>
      </c>
      <c r="AC266" s="68"/>
    </row>
    <row r="267" spans="1:30" ht="15">
      <c r="A267" s="765" t="s">
        <v>305</v>
      </c>
      <c r="B267" s="756" t="s">
        <v>343</v>
      </c>
      <c r="C267" s="230"/>
      <c r="D267" s="230"/>
      <c r="E267" s="194"/>
      <c r="F267" s="194"/>
      <c r="G267" s="194"/>
      <c r="H267" s="194"/>
      <c r="I267" s="194"/>
      <c r="J267" s="194"/>
      <c r="K267" s="194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4"/>
      <c r="AA267" s="196"/>
      <c r="AB267" s="107" t="s">
        <v>377</v>
      </c>
      <c r="AC267" s="68">
        <v>138</v>
      </c>
      <c r="AD267" t="s">
        <v>401</v>
      </c>
    </row>
    <row r="268" spans="1:29" ht="15">
      <c r="A268" s="766"/>
      <c r="B268" s="638"/>
      <c r="C268" s="64"/>
      <c r="D268" s="64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225"/>
      <c r="AB268" s="107"/>
      <c r="AC268" s="68"/>
    </row>
    <row r="269" spans="1:29" ht="15.75" thickBot="1">
      <c r="A269" s="767"/>
      <c r="B269" s="757"/>
      <c r="C269" s="229"/>
      <c r="D269" s="229"/>
      <c r="E269" s="155">
        <v>1.1299999999999999</v>
      </c>
      <c r="F269" s="155"/>
      <c r="G269" s="155">
        <v>1.26</v>
      </c>
      <c r="H269" s="155"/>
      <c r="I269" s="155"/>
      <c r="J269" s="155"/>
      <c r="K269" s="155"/>
      <c r="L269" s="155"/>
      <c r="M269" s="155"/>
      <c r="N269" s="155"/>
      <c r="O269" s="155"/>
      <c r="P269" s="155">
        <v>1.79</v>
      </c>
      <c r="Q269" s="155">
        <v>2.09</v>
      </c>
      <c r="R269" s="155">
        <v>2.09</v>
      </c>
      <c r="S269" s="155"/>
      <c r="T269" s="155"/>
      <c r="U269" s="155"/>
      <c r="V269" s="155"/>
      <c r="W269" s="155"/>
      <c r="X269" s="155"/>
      <c r="Y269" s="155"/>
      <c r="Z269" s="155"/>
      <c r="AA269" s="157"/>
      <c r="AB269" s="23" t="s">
        <v>396</v>
      </c>
      <c r="AC269" s="68"/>
    </row>
    <row r="270" spans="1:29" ht="15">
      <c r="A270" s="765" t="s">
        <v>306</v>
      </c>
      <c r="B270" s="756" t="s">
        <v>307</v>
      </c>
      <c r="C270" s="230"/>
      <c r="D270" s="230"/>
      <c r="E270" s="194"/>
      <c r="F270" s="194"/>
      <c r="G270" s="194"/>
      <c r="H270" s="194"/>
      <c r="I270" s="194"/>
      <c r="J270" s="194"/>
      <c r="K270" s="194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4"/>
      <c r="AA270" s="196"/>
      <c r="AB270" s="107"/>
      <c r="AC270" s="68">
        <v>183</v>
      </c>
    </row>
    <row r="271" spans="1:29" ht="15">
      <c r="A271" s="766"/>
      <c r="B271" s="638"/>
      <c r="C271" s="64"/>
      <c r="D271" s="64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225"/>
      <c r="AB271" s="107"/>
      <c r="AC271" s="68"/>
    </row>
    <row r="272" spans="1:29" ht="15.75" thickBot="1">
      <c r="A272" s="767"/>
      <c r="B272" s="757"/>
      <c r="C272" s="229"/>
      <c r="D272" s="229"/>
      <c r="E272" s="155"/>
      <c r="F272" s="155"/>
      <c r="G272" s="155"/>
      <c r="H272" s="155"/>
      <c r="I272" s="155"/>
      <c r="J272" s="155"/>
      <c r="K272" s="155"/>
      <c r="L272" s="155"/>
      <c r="M272" s="155"/>
      <c r="N272" s="155"/>
      <c r="O272" s="155"/>
      <c r="P272" s="155"/>
      <c r="Q272" s="155"/>
      <c r="R272" s="155"/>
      <c r="S272" s="155"/>
      <c r="T272" s="155"/>
      <c r="U272" s="155"/>
      <c r="V272" s="155"/>
      <c r="W272" s="155"/>
      <c r="X272" s="155"/>
      <c r="Y272" s="155"/>
      <c r="Z272" s="155"/>
      <c r="AA272" s="157"/>
      <c r="AB272" s="107" t="s">
        <v>58</v>
      </c>
      <c r="AC272" s="68"/>
    </row>
    <row r="273" spans="1:29" ht="15">
      <c r="A273" s="765" t="s">
        <v>296</v>
      </c>
      <c r="B273" s="756" t="s">
        <v>105</v>
      </c>
      <c r="C273" s="194">
        <v>12.60</v>
      </c>
      <c r="D273" s="194"/>
      <c r="E273" s="194">
        <v>12.30</v>
      </c>
      <c r="F273" s="194"/>
      <c r="G273" s="194">
        <v>12</v>
      </c>
      <c r="H273" s="194"/>
      <c r="I273" s="194">
        <v>11.70</v>
      </c>
      <c r="J273" s="194"/>
      <c r="K273" s="194">
        <v>11.40</v>
      </c>
      <c r="L273" s="194">
        <v>11.10</v>
      </c>
      <c r="M273" s="194">
        <v>10.80</v>
      </c>
      <c r="N273" s="194">
        <v>10.50</v>
      </c>
      <c r="O273" s="194"/>
      <c r="P273" s="194">
        <v>10.199999999999999</v>
      </c>
      <c r="Q273" s="194">
        <v>9.90</v>
      </c>
      <c r="R273" s="194">
        <v>9.60</v>
      </c>
      <c r="S273" s="194"/>
      <c r="T273" s="194">
        <v>9.3000000000000007</v>
      </c>
      <c r="U273" s="194">
        <v>9</v>
      </c>
      <c r="V273" s="194">
        <v>8.3000000000000007</v>
      </c>
      <c r="W273" s="194">
        <v>7.80</v>
      </c>
      <c r="X273" s="194">
        <v>7.30</v>
      </c>
      <c r="Y273" s="194">
        <v>7</v>
      </c>
      <c r="Z273" s="194">
        <v>6.70</v>
      </c>
      <c r="AA273" s="196">
        <v>6.40</v>
      </c>
      <c r="AB273" s="107" t="s">
        <v>376</v>
      </c>
      <c r="AC273" s="68">
        <v>183</v>
      </c>
    </row>
    <row r="274" spans="1:29" ht="15">
      <c r="A274" s="766"/>
      <c r="B274" s="638"/>
      <c r="C274" s="74">
        <f>$AC$2/C273*2*$AC$273</f>
        <v>290.47619047619048</v>
      </c>
      <c r="D274" s="74"/>
      <c r="E274" s="74">
        <f>$AC$2/E273*2*$AC$273</f>
        <v>297.5609756097561</v>
      </c>
      <c r="F274" s="74"/>
      <c r="G274" s="74">
        <f>$AC$2/G273*2*$AC$273</f>
        <v>305</v>
      </c>
      <c r="H274" s="74"/>
      <c r="I274" s="74">
        <f>$AC$2/I273*2*$AC$273</f>
        <v>312.82051282051287</v>
      </c>
      <c r="J274" s="74"/>
      <c r="K274" s="74">
        <f>$AC$2/K273*2*$AC$273</f>
        <v>321.05263157894734</v>
      </c>
      <c r="L274" s="74">
        <f>$AC$2/L273*2*$AC$273</f>
        <v>329.72972972972974</v>
      </c>
      <c r="M274" s="74">
        <f>$AC$2/M273*2*$AC$273</f>
        <v>338.88888888888886</v>
      </c>
      <c r="N274" s="74">
        <f>$AC$2/N273*2*$AC$273</f>
        <v>348.57142857142856</v>
      </c>
      <c r="O274" s="74"/>
      <c r="P274" s="74">
        <f>$AC$2/P273*2*$AC$273</f>
        <v>358.82352941176475</v>
      </c>
      <c r="Q274" s="74">
        <f>$AC$2/Q273*2*$AC$273</f>
        <v>369.69696969696975</v>
      </c>
      <c r="R274" s="74">
        <f>$AC$2/R273*2*$AC$273</f>
        <v>381.25</v>
      </c>
      <c r="S274" s="74"/>
      <c r="T274" s="74">
        <f t="shared" si="189" ref="T274:AA274">$AC$2/T273*2*$AC$273</f>
        <v>393.54838709677415</v>
      </c>
      <c r="U274" s="74">
        <f t="shared" si="189"/>
        <v>406.66666666666669</v>
      </c>
      <c r="V274" s="74">
        <f t="shared" si="189"/>
        <v>440.96385542168673</v>
      </c>
      <c r="W274" s="74">
        <f t="shared" si="189"/>
        <v>469.23076923076928</v>
      </c>
      <c r="X274" s="74">
        <f t="shared" si="189"/>
        <v>501.36986301369859</v>
      </c>
      <c r="Y274" s="74">
        <f t="shared" si="189"/>
        <v>522.85714285714289</v>
      </c>
      <c r="Z274" s="74">
        <f t="shared" si="189"/>
        <v>546.26865671641781</v>
      </c>
      <c r="AA274" s="245">
        <f t="shared" si="189"/>
        <v>571.875</v>
      </c>
      <c r="AB274" s="107" t="s">
        <v>377</v>
      </c>
      <c r="AC274" s="68"/>
    </row>
    <row r="275" spans="1:29" ht="15.75" thickBot="1">
      <c r="A275" s="767"/>
      <c r="B275" s="757"/>
      <c r="C275" s="229"/>
      <c r="D275" s="229"/>
      <c r="E275" s="155"/>
      <c r="F275" s="155"/>
      <c r="G275" s="155"/>
      <c r="H275" s="155"/>
      <c r="I275" s="155"/>
      <c r="J275" s="155"/>
      <c r="K275" s="155"/>
      <c r="L275" s="155"/>
      <c r="M275" s="155"/>
      <c r="N275" s="155"/>
      <c r="O275" s="155"/>
      <c r="P275" s="155"/>
      <c r="Q275" s="155"/>
      <c r="R275" s="155"/>
      <c r="S275" s="155"/>
      <c r="T275" s="155"/>
      <c r="U275" s="155"/>
      <c r="V275" s="155"/>
      <c r="W275" s="155"/>
      <c r="X275" s="155"/>
      <c r="Y275" s="155"/>
      <c r="Z275" s="155"/>
      <c r="AA275" s="157"/>
      <c r="AB275" s="107"/>
      <c r="AC275" s="68"/>
    </row>
    <row r="276" spans="1:29" ht="15">
      <c r="A276" s="765" t="s">
        <v>308</v>
      </c>
      <c r="B276" s="756" t="s">
        <v>309</v>
      </c>
      <c r="C276" s="246">
        <v>25.09090909090909</v>
      </c>
      <c r="D276" s="246"/>
      <c r="E276" s="247">
        <v>37.636363636363633</v>
      </c>
      <c r="F276" s="247"/>
      <c r="G276" s="247">
        <v>50.18181818181818</v>
      </c>
      <c r="H276" s="247"/>
      <c r="I276" s="247">
        <v>59.590909090909086</v>
      </c>
      <c r="J276" s="247"/>
      <c r="K276" s="247">
        <v>69</v>
      </c>
      <c r="L276" s="247">
        <v>81.545454545454547</v>
      </c>
      <c r="M276" s="247">
        <v>92.52272727272728</v>
      </c>
      <c r="N276" s="247">
        <v>95.659090909090907</v>
      </c>
      <c r="O276" s="247"/>
      <c r="P276" s="247">
        <v>114.47727272727272</v>
      </c>
      <c r="Q276" s="247">
        <v>123.88636363636364</v>
      </c>
      <c r="R276" s="247">
        <v>141.13636363636363</v>
      </c>
      <c r="S276" s="247"/>
      <c r="T276" s="247">
        <v>145.84090909090909</v>
      </c>
      <c r="U276" s="247">
        <v>150.54545454545453</v>
      </c>
      <c r="V276" s="247">
        <v>170.93181818181816</v>
      </c>
      <c r="W276" s="247">
        <v>194.45454545454547</v>
      </c>
      <c r="X276" s="247">
        <v>216.40909090909091</v>
      </c>
      <c r="Y276" s="247">
        <v>246.20454545454544</v>
      </c>
      <c r="Z276" s="247">
        <v>263.45454545454544</v>
      </c>
      <c r="AA276" s="248">
        <v>280.70454545454538</v>
      </c>
      <c r="AB276" s="107" t="s">
        <v>388</v>
      </c>
      <c r="AC276" s="68">
        <v>138</v>
      </c>
    </row>
    <row r="277" spans="1:29" ht="15">
      <c r="A277" s="766"/>
      <c r="B277" s="638"/>
      <c r="C277" s="82">
        <v>0.18181818181818182</v>
      </c>
      <c r="D277" s="82"/>
      <c r="E277" s="81">
        <v>0.27272727272727271</v>
      </c>
      <c r="F277" s="81"/>
      <c r="G277" s="81">
        <v>0.36363636363636365</v>
      </c>
      <c r="H277" s="81"/>
      <c r="I277" s="81">
        <v>0.43181818181818177</v>
      </c>
      <c r="J277" s="81"/>
      <c r="K277" s="81">
        <v>0.50</v>
      </c>
      <c r="L277" s="81">
        <v>0.59090909090909094</v>
      </c>
      <c r="M277" s="81">
        <v>0.67045454545454553</v>
      </c>
      <c r="N277" s="81">
        <v>0.69318181818181812</v>
      </c>
      <c r="O277" s="81"/>
      <c r="P277" s="81">
        <v>0.82954545454545447</v>
      </c>
      <c r="Q277" s="81">
        <v>0.89772727272727271</v>
      </c>
      <c r="R277" s="81">
        <v>1.0227272727272727</v>
      </c>
      <c r="S277" s="81"/>
      <c r="T277" s="81">
        <v>1.0568181818181819</v>
      </c>
      <c r="U277" s="81">
        <v>1.0909090909090908</v>
      </c>
      <c r="V277" s="81">
        <v>1.2386363636363635</v>
      </c>
      <c r="W277" s="81">
        <v>1.4090909090909092</v>
      </c>
      <c r="X277" s="81">
        <v>1.5681818181818181</v>
      </c>
      <c r="Y277" s="81">
        <v>1.7840909090909089</v>
      </c>
      <c r="Z277" s="81">
        <v>1.9090909090909092</v>
      </c>
      <c r="AA277" s="228">
        <v>2.0340909090909087</v>
      </c>
      <c r="AB277" s="107" t="s">
        <v>389</v>
      </c>
      <c r="AC277" s="68"/>
    </row>
    <row r="278" spans="1:29" ht="15.75" thickBot="1">
      <c r="A278" s="767"/>
      <c r="B278" s="757"/>
      <c r="C278" s="244">
        <v>1.60</v>
      </c>
      <c r="D278" s="244"/>
      <c r="E278" s="155">
        <v>2.40</v>
      </c>
      <c r="F278" s="155"/>
      <c r="G278" s="155">
        <v>3.20</v>
      </c>
      <c r="H278" s="155"/>
      <c r="I278" s="155">
        <v>3.80</v>
      </c>
      <c r="J278" s="155"/>
      <c r="K278" s="155">
        <v>4.4000000000000004</v>
      </c>
      <c r="L278" s="155">
        <v>5.20</v>
      </c>
      <c r="M278" s="155">
        <v>5.90</v>
      </c>
      <c r="N278" s="155">
        <v>6.10</v>
      </c>
      <c r="O278" s="155"/>
      <c r="P278" s="155">
        <v>7.30</v>
      </c>
      <c r="Q278" s="155">
        <v>7.90</v>
      </c>
      <c r="R278" s="155">
        <v>9</v>
      </c>
      <c r="S278" s="155"/>
      <c r="T278" s="155">
        <v>9.3000000000000007</v>
      </c>
      <c r="U278" s="155">
        <v>9.60</v>
      </c>
      <c r="V278" s="155">
        <v>10.90</v>
      </c>
      <c r="W278" s="155">
        <v>12.40</v>
      </c>
      <c r="X278" s="155">
        <v>13.80</v>
      </c>
      <c r="Y278" s="155">
        <v>15.70</v>
      </c>
      <c r="Z278" s="155">
        <v>16.80</v>
      </c>
      <c r="AA278" s="157">
        <v>17.90</v>
      </c>
      <c r="AB278" s="107" t="s">
        <v>387</v>
      </c>
      <c r="AC278" s="68"/>
    </row>
    <row r="279" spans="1:30" ht="15">
      <c r="A279" s="765" t="s">
        <v>294</v>
      </c>
      <c r="B279" s="756" t="s">
        <v>521</v>
      </c>
      <c r="C279" s="249"/>
      <c r="D279" s="249"/>
      <c r="E279" s="149"/>
      <c r="F279" s="149"/>
      <c r="G279" s="149"/>
      <c r="H279" s="149"/>
      <c r="I279" s="149"/>
      <c r="J279" s="149"/>
      <c r="K279" s="149"/>
      <c r="L279" s="149"/>
      <c r="M279" s="149"/>
      <c r="N279" s="149"/>
      <c r="O279" s="149"/>
      <c r="P279" s="149"/>
      <c r="Q279" s="149"/>
      <c r="R279" s="149"/>
      <c r="S279" s="149"/>
      <c r="T279" s="149"/>
      <c r="U279" s="149"/>
      <c r="V279" s="149"/>
      <c r="W279" s="149"/>
      <c r="X279" s="149"/>
      <c r="Y279" s="149"/>
      <c r="Z279" s="149"/>
      <c r="AA279" s="250"/>
      <c r="AB279" s="107"/>
      <c r="AC279" s="68">
        <v>183</v>
      </c>
      <c r="AD279" t="s">
        <v>403</v>
      </c>
    </row>
    <row r="280" spans="1:29" ht="15">
      <c r="A280" s="766"/>
      <c r="B280" s="638"/>
      <c r="C280" s="110"/>
      <c r="D280" s="110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251"/>
      <c r="AB280" s="107"/>
      <c r="AC280" s="68"/>
    </row>
    <row r="281" spans="1:29" ht="15.75" thickBot="1">
      <c r="A281" s="767"/>
      <c r="B281" s="757"/>
      <c r="C281" s="229"/>
      <c r="D281" s="229"/>
      <c r="E281" s="155">
        <v>8.61</v>
      </c>
      <c r="F281" s="155"/>
      <c r="G281" s="155">
        <v>7.10</v>
      </c>
      <c r="H281" s="155"/>
      <c r="I281" s="155"/>
      <c r="J281" s="155"/>
      <c r="K281" s="155"/>
      <c r="L281" s="155"/>
      <c r="M281" s="155"/>
      <c r="N281" s="155"/>
      <c r="O281" s="155"/>
      <c r="P281" s="155">
        <v>12.40</v>
      </c>
      <c r="Q281" s="155">
        <v>14.70</v>
      </c>
      <c r="R281" s="155">
        <v>14.87</v>
      </c>
      <c r="S281" s="155"/>
      <c r="T281" s="155"/>
      <c r="U281" s="155"/>
      <c r="V281" s="155"/>
      <c r="W281" s="155"/>
      <c r="X281" s="155"/>
      <c r="Y281" s="155"/>
      <c r="Z281" s="155"/>
      <c r="AA281" s="157"/>
      <c r="AB281" s="107" t="s">
        <v>402</v>
      </c>
      <c r="AC281" s="68"/>
    </row>
    <row r="282" spans="1:29" ht="15">
      <c r="A282" s="765" t="s">
        <v>295</v>
      </c>
      <c r="B282" s="801" t="s">
        <v>104</v>
      </c>
      <c r="C282" s="246">
        <v>28.125</v>
      </c>
      <c r="D282" s="246"/>
      <c r="E282" s="247">
        <v>18.75</v>
      </c>
      <c r="F282" s="247"/>
      <c r="G282" s="247">
        <v>14.0625</v>
      </c>
      <c r="H282" s="247"/>
      <c r="I282" s="247">
        <v>11.842105263157896</v>
      </c>
      <c r="J282" s="247"/>
      <c r="K282" s="247">
        <v>10.227272727272727</v>
      </c>
      <c r="L282" s="247">
        <v>8.6538461538461551</v>
      </c>
      <c r="M282" s="247">
        <v>7.6271186440677967</v>
      </c>
      <c r="N282" s="247">
        <v>7.3770491803278695</v>
      </c>
      <c r="O282" s="247">
        <v>6.1643835616438363</v>
      </c>
      <c r="P282" s="247">
        <v>6.1643835616438363</v>
      </c>
      <c r="Q282" s="247">
        <v>5.6962025316455698</v>
      </c>
      <c r="R282" s="247">
        <v>5</v>
      </c>
      <c r="S282" s="247"/>
      <c r="T282" s="247">
        <v>4.8387096774193541</v>
      </c>
      <c r="U282" s="247">
        <v>4.6875</v>
      </c>
      <c r="V282" s="247">
        <v>4.1284403669724776</v>
      </c>
      <c r="W282" s="247">
        <v>3.629032258064516</v>
      </c>
      <c r="X282" s="247">
        <v>3.2608695652173911</v>
      </c>
      <c r="Y282" s="247">
        <v>2.8662420382165608</v>
      </c>
      <c r="Z282" s="247">
        <v>2.6785714285714284</v>
      </c>
      <c r="AA282" s="248">
        <v>2.5139664804469275</v>
      </c>
      <c r="AB282" s="107" t="s">
        <v>376</v>
      </c>
      <c r="AC282" s="68">
        <v>138</v>
      </c>
    </row>
    <row r="283" spans="1:29" ht="15">
      <c r="A283" s="766"/>
      <c r="B283" s="703"/>
      <c r="C283" s="83">
        <v>98.13333333333334</v>
      </c>
      <c r="D283" s="83"/>
      <c r="E283" s="74">
        <v>147.19999999999999</v>
      </c>
      <c r="F283" s="74"/>
      <c r="G283" s="74">
        <v>196.26666666666668</v>
      </c>
      <c r="H283" s="74"/>
      <c r="I283" s="74">
        <v>233.06666666666663</v>
      </c>
      <c r="J283" s="74"/>
      <c r="K283" s="74">
        <v>269.86666666666667</v>
      </c>
      <c r="L283" s="74">
        <v>318.93333333333328</v>
      </c>
      <c r="M283" s="74">
        <v>361.86666666666667</v>
      </c>
      <c r="N283" s="74">
        <v>374.13333333333327</v>
      </c>
      <c r="O283" s="74">
        <v>447.73333333333329</v>
      </c>
      <c r="P283" s="74">
        <v>447.73333333333329</v>
      </c>
      <c r="Q283" s="74">
        <v>484.5333333333333</v>
      </c>
      <c r="R283" s="74">
        <v>552</v>
      </c>
      <c r="S283" s="74"/>
      <c r="T283" s="74">
        <v>570.40000000000009</v>
      </c>
      <c r="U283" s="74">
        <v>588.79999999999995</v>
      </c>
      <c r="V283" s="74">
        <v>668.5333333333333</v>
      </c>
      <c r="W283" s="74">
        <v>760.5333333333333</v>
      </c>
      <c r="X283" s="74">
        <v>846.40000000000009</v>
      </c>
      <c r="Y283" s="74">
        <v>962.93333333333317</v>
      </c>
      <c r="Z283" s="74">
        <v>1030.4000000000001</v>
      </c>
      <c r="AA283" s="245">
        <v>1097.8666666666666</v>
      </c>
      <c r="AB283" s="107" t="s">
        <v>377</v>
      </c>
      <c r="AC283" s="68"/>
    </row>
    <row r="284" spans="1:29" ht="15">
      <c r="A284" s="766"/>
      <c r="B284" s="703"/>
      <c r="C284" s="82">
        <v>0.71111111111111114</v>
      </c>
      <c r="D284" s="82"/>
      <c r="E284" s="81">
        <v>1.0666666666666667</v>
      </c>
      <c r="F284" s="81"/>
      <c r="G284" s="81">
        <v>1.4222222222222223</v>
      </c>
      <c r="H284" s="81"/>
      <c r="I284" s="81">
        <v>1.6888888888888887</v>
      </c>
      <c r="J284" s="81"/>
      <c r="K284" s="81">
        <v>1.9555555555555557</v>
      </c>
      <c r="L284" s="81">
        <v>2.3111111111111109</v>
      </c>
      <c r="M284" s="81">
        <v>2.6222222222222222</v>
      </c>
      <c r="N284" s="81">
        <v>2.7111111111111108</v>
      </c>
      <c r="O284" s="81">
        <v>3.244444444444444</v>
      </c>
      <c r="P284" s="81">
        <v>3.244444444444444</v>
      </c>
      <c r="Q284" s="81">
        <v>3.5111111111111111</v>
      </c>
      <c r="R284" s="81">
        <v>4</v>
      </c>
      <c r="S284" s="81"/>
      <c r="T284" s="81">
        <v>4.1333333333333337</v>
      </c>
      <c r="U284" s="81">
        <v>4.2666666666666666</v>
      </c>
      <c r="V284" s="81">
        <v>4.8444444444444441</v>
      </c>
      <c r="W284" s="81">
        <v>5.5111111111111111</v>
      </c>
      <c r="X284" s="81">
        <v>6.1333333333333337</v>
      </c>
      <c r="Y284" s="81">
        <v>6.977777777777777</v>
      </c>
      <c r="Z284" s="81">
        <v>7.4666666666666668</v>
      </c>
      <c r="AA284" s="228">
        <v>7.9555555555555548</v>
      </c>
      <c r="AB284" s="107" t="s">
        <v>386</v>
      </c>
      <c r="AC284" s="68"/>
    </row>
    <row r="285" spans="1:29" ht="15.75" thickBot="1">
      <c r="A285" s="767"/>
      <c r="B285" s="802"/>
      <c r="C285" s="244">
        <v>0.93</v>
      </c>
      <c r="D285" s="244"/>
      <c r="E285" s="155">
        <v>2.40</v>
      </c>
      <c r="F285" s="155"/>
      <c r="G285" s="155">
        <v>3.20</v>
      </c>
      <c r="H285" s="155"/>
      <c r="I285" s="155">
        <v>3.80</v>
      </c>
      <c r="J285" s="155"/>
      <c r="K285" s="155">
        <v>4.4000000000000004</v>
      </c>
      <c r="L285" s="155">
        <v>5.20</v>
      </c>
      <c r="M285" s="155">
        <v>5.90</v>
      </c>
      <c r="N285" s="155">
        <v>6.10</v>
      </c>
      <c r="O285" s="155">
        <v>6.50</v>
      </c>
      <c r="P285" s="155">
        <v>7.30</v>
      </c>
      <c r="Q285" s="155">
        <v>7.90</v>
      </c>
      <c r="R285" s="155">
        <v>9</v>
      </c>
      <c r="S285" s="155"/>
      <c r="T285" s="155">
        <v>9.3000000000000007</v>
      </c>
      <c r="U285" s="155">
        <v>9.60</v>
      </c>
      <c r="V285" s="155">
        <v>10.90</v>
      </c>
      <c r="W285" s="155">
        <v>12.40</v>
      </c>
      <c r="X285" s="155">
        <v>13.80</v>
      </c>
      <c r="Y285" s="155">
        <v>15.70</v>
      </c>
      <c r="Z285" s="155">
        <v>16.80</v>
      </c>
      <c r="AA285" s="157">
        <v>17.90</v>
      </c>
      <c r="AB285" s="107" t="s">
        <v>387</v>
      </c>
      <c r="AC285" s="68"/>
    </row>
  </sheetData>
  <mergeCells count="247">
    <mergeCell ref="C189:AA189"/>
    <mergeCell ref="A208:A216"/>
    <mergeCell ref="B208:B216"/>
    <mergeCell ref="A217:A225"/>
    <mergeCell ref="B217:B225"/>
    <mergeCell ref="C175:AA175"/>
    <mergeCell ref="C182:AA184"/>
    <mergeCell ref="E187:G187"/>
    <mergeCell ref="I187:L187"/>
    <mergeCell ref="M187:N187"/>
    <mergeCell ref="P187:R187"/>
    <mergeCell ref="T187:V187"/>
    <mergeCell ref="W187:Z187"/>
    <mergeCell ref="E188:G188"/>
    <mergeCell ref="I188:L188"/>
    <mergeCell ref="M188:N188"/>
    <mergeCell ref="P188:R188"/>
    <mergeCell ref="T188:V188"/>
    <mergeCell ref="W188:Z188"/>
    <mergeCell ref="A176:A177"/>
    <mergeCell ref="B176:B177"/>
    <mergeCell ref="A178:A179"/>
    <mergeCell ref="B178:B179"/>
    <mergeCell ref="A180:A181"/>
    <mergeCell ref="C169:AA169"/>
    <mergeCell ref="C165:AA165"/>
    <mergeCell ref="C166:AA166"/>
    <mergeCell ref="C168:AA168"/>
    <mergeCell ref="C170:AA170"/>
    <mergeCell ref="C171:AA171"/>
    <mergeCell ref="C172:AA172"/>
    <mergeCell ref="C173:AA173"/>
    <mergeCell ref="C174:AA174"/>
    <mergeCell ref="C167:AA167"/>
    <mergeCell ref="C162:G162"/>
    <mergeCell ref="I162:R162"/>
    <mergeCell ref="C163:R163"/>
    <mergeCell ref="T162:AA163"/>
    <mergeCell ref="C164:AA164"/>
    <mergeCell ref="C156:AA156"/>
    <mergeCell ref="A157:A158"/>
    <mergeCell ref="B157:B158"/>
    <mergeCell ref="C157:R157"/>
    <mergeCell ref="T157:V157"/>
    <mergeCell ref="W157:Y157"/>
    <mergeCell ref="Z157:AA157"/>
    <mergeCell ref="C159:AA159"/>
    <mergeCell ref="C160:AA160"/>
    <mergeCell ref="A162:A163"/>
    <mergeCell ref="B162:B163"/>
    <mergeCell ref="C144:AA144"/>
    <mergeCell ref="C145:AA145"/>
    <mergeCell ref="B148:AA148"/>
    <mergeCell ref="C149:AA149"/>
    <mergeCell ref="C150:AA150"/>
    <mergeCell ref="C151:AA151"/>
    <mergeCell ref="B152:AA152"/>
    <mergeCell ref="R141:AA143"/>
    <mergeCell ref="C161:AA161"/>
    <mergeCell ref="C132:AA132"/>
    <mergeCell ref="T133:AA133"/>
    <mergeCell ref="C139:AA139"/>
    <mergeCell ref="R136:AA138"/>
    <mergeCell ref="C101:AA101"/>
    <mergeCell ref="A134:A135"/>
    <mergeCell ref="B134:B135"/>
    <mergeCell ref="A136:A139"/>
    <mergeCell ref="B136:B139"/>
    <mergeCell ref="T117:AA119"/>
    <mergeCell ref="T83:AA86"/>
    <mergeCell ref="T93:AA96"/>
    <mergeCell ref="T97:AA99"/>
    <mergeCell ref="T102:AA103"/>
    <mergeCell ref="T104:AA106"/>
    <mergeCell ref="T107:AA109"/>
    <mergeCell ref="T110:AA112"/>
    <mergeCell ref="T113:AA115"/>
    <mergeCell ref="C87:AA87"/>
    <mergeCell ref="C88:AA88"/>
    <mergeCell ref="C89:AA89"/>
    <mergeCell ref="C90:AA90"/>
    <mergeCell ref="C91:AA91"/>
    <mergeCell ref="C92:AA92"/>
    <mergeCell ref="C100:AA100"/>
    <mergeCell ref="A279:A281"/>
    <mergeCell ref="B279:B281"/>
    <mergeCell ref="A282:A285"/>
    <mergeCell ref="B282:B285"/>
    <mergeCell ref="A270:A272"/>
    <mergeCell ref="B270:B272"/>
    <mergeCell ref="A273:A275"/>
    <mergeCell ref="B273:B275"/>
    <mergeCell ref="A276:A278"/>
    <mergeCell ref="B276:B278"/>
    <mergeCell ref="A263:A264"/>
    <mergeCell ref="B263:B264"/>
    <mergeCell ref="A265:A266"/>
    <mergeCell ref="B265:B266"/>
    <mergeCell ref="A267:A269"/>
    <mergeCell ref="B267:B269"/>
    <mergeCell ref="A252:A256"/>
    <mergeCell ref="B252:B256"/>
    <mergeCell ref="A120:A121"/>
    <mergeCell ref="B120:B121"/>
    <mergeCell ref="A257:A259"/>
    <mergeCell ref="B257:B259"/>
    <mergeCell ref="A260:A262"/>
    <mergeCell ref="B260:B262"/>
    <mergeCell ref="A244:A247"/>
    <mergeCell ref="B244:B247"/>
    <mergeCell ref="A248:A249"/>
    <mergeCell ref="B248:B249"/>
    <mergeCell ref="A250:A251"/>
    <mergeCell ref="B250:B251"/>
    <mergeCell ref="A230:A231"/>
    <mergeCell ref="B230:B231"/>
    <mergeCell ref="A239:A243"/>
    <mergeCell ref="B239:B243"/>
    <mergeCell ref="B180:B181"/>
    <mergeCell ref="A182:A184"/>
    <mergeCell ref="B182:B184"/>
    <mergeCell ref="A185:A189"/>
    <mergeCell ref="B185:B189"/>
    <mergeCell ref="A93:A96"/>
    <mergeCell ref="B93:B96"/>
    <mergeCell ref="A100:A101"/>
    <mergeCell ref="B100:B101"/>
    <mergeCell ref="A97:A99"/>
    <mergeCell ref="B97:B99"/>
    <mergeCell ref="A128:A131"/>
    <mergeCell ref="B128:B131"/>
    <mergeCell ref="A132:A133"/>
    <mergeCell ref="B132:B133"/>
    <mergeCell ref="A141:A143"/>
    <mergeCell ref="B141:B143"/>
    <mergeCell ref="A122:A123"/>
    <mergeCell ref="B122:B123"/>
    <mergeCell ref="A83:A86"/>
    <mergeCell ref="B83:B86"/>
    <mergeCell ref="A88:A89"/>
    <mergeCell ref="B88:B89"/>
    <mergeCell ref="A90:A92"/>
    <mergeCell ref="B90:B92"/>
    <mergeCell ref="A153:A155"/>
    <mergeCell ref="B153:B155"/>
    <mergeCell ref="A102:A103"/>
    <mergeCell ref="B102:B103"/>
    <mergeCell ref="A107:A109"/>
    <mergeCell ref="A110:A112"/>
    <mergeCell ref="B110:B112"/>
    <mergeCell ref="A113:A115"/>
    <mergeCell ref="B113:B115"/>
    <mergeCell ref="A117:A119"/>
    <mergeCell ref="B117:B119"/>
    <mergeCell ref="A104:A106"/>
    <mergeCell ref="B104:B106"/>
    <mergeCell ref="B107:B109"/>
    <mergeCell ref="A124:A127"/>
    <mergeCell ref="B124:B127"/>
    <mergeCell ref="A32:A36"/>
    <mergeCell ref="B32:B36"/>
    <mergeCell ref="A37:A41"/>
    <mergeCell ref="B37:B41"/>
    <mergeCell ref="A75:A77"/>
    <mergeCell ref="B75:B77"/>
    <mergeCell ref="A52:A56"/>
    <mergeCell ref="A18:A21"/>
    <mergeCell ref="B18:B21"/>
    <mergeCell ref="A22:A25"/>
    <mergeCell ref="B22:B25"/>
    <mergeCell ref="A43:A46"/>
    <mergeCell ref="B43:B46"/>
    <mergeCell ref="B52:B56"/>
    <mergeCell ref="A58:A61"/>
    <mergeCell ref="B58:B61"/>
    <mergeCell ref="A67:A70"/>
    <mergeCell ref="B67:B70"/>
    <mergeCell ref="A71:A74"/>
    <mergeCell ref="B71:B74"/>
    <mergeCell ref="C7:AA7"/>
    <mergeCell ref="C8:AA8"/>
    <mergeCell ref="C13:AA13"/>
    <mergeCell ref="C14:AA14"/>
    <mergeCell ref="B15:B17"/>
    <mergeCell ref="A15:A17"/>
    <mergeCell ref="C15:AA15"/>
    <mergeCell ref="C16:AA16"/>
    <mergeCell ref="C17:AA17"/>
    <mergeCell ref="A7:A8"/>
    <mergeCell ref="B7:B8"/>
    <mergeCell ref="A9:A12"/>
    <mergeCell ref="B9:B12"/>
    <mergeCell ref="A13:A14"/>
    <mergeCell ref="B13:B14"/>
    <mergeCell ref="C22:L24"/>
    <mergeCell ref="A26:A28"/>
    <mergeCell ref="B26:B28"/>
    <mergeCell ref="C26:AA26"/>
    <mergeCell ref="C27:AA27"/>
    <mergeCell ref="C28:AA28"/>
    <mergeCell ref="A29:A31"/>
    <mergeCell ref="B29:B31"/>
    <mergeCell ref="C29:AA29"/>
    <mergeCell ref="C30:AA30"/>
    <mergeCell ref="C31:AA31"/>
    <mergeCell ref="C42:AA42"/>
    <mergeCell ref="A47:A48"/>
    <mergeCell ref="B47:B48"/>
    <mergeCell ref="C47:AA47"/>
    <mergeCell ref="C48:AA48"/>
    <mergeCell ref="A49:A51"/>
    <mergeCell ref="B49:B51"/>
    <mergeCell ref="C49:AA49"/>
    <mergeCell ref="C50:AA50"/>
    <mergeCell ref="C51:AA51"/>
    <mergeCell ref="C67:M69"/>
    <mergeCell ref="N71:AA73"/>
    <mergeCell ref="C81:AA81"/>
    <mergeCell ref="C52:M55"/>
    <mergeCell ref="C58:M60"/>
    <mergeCell ref="A62:A63"/>
    <mergeCell ref="B62:B63"/>
    <mergeCell ref="A64:A66"/>
    <mergeCell ref="B64:B66"/>
    <mergeCell ref="C62:AA62"/>
    <mergeCell ref="C63:AA63"/>
    <mergeCell ref="C64:AA64"/>
    <mergeCell ref="C65:AA65"/>
    <mergeCell ref="C66:AA66"/>
    <mergeCell ref="A78:A81"/>
    <mergeCell ref="B78:B81"/>
    <mergeCell ref="C57:M57"/>
    <mergeCell ref="N57:R57"/>
    <mergeCell ref="A198:A202"/>
    <mergeCell ref="B198:B202"/>
    <mergeCell ref="T198:AA202"/>
    <mergeCell ref="A203:A204"/>
    <mergeCell ref="B203:B204"/>
    <mergeCell ref="C203:R203"/>
    <mergeCell ref="T203:AA204"/>
    <mergeCell ref="A232:A236"/>
    <mergeCell ref="A237:A238"/>
    <mergeCell ref="B232:B236"/>
    <mergeCell ref="B237:B238"/>
    <mergeCell ref="T232:AA236"/>
    <mergeCell ref="C237:R237"/>
    <mergeCell ref="T237:AA238"/>
  </mergeCells>
  <printOptions horizontalCentered="1"/>
  <pageMargins left="0.4330708661417323" right="0.4330708661417323" top="0.1968503937007874" bottom="0.1968503937007874" header="0.31496062992125984" footer="0.31496062992125984"/>
  <pageSetup orientation="landscape" paperSize="9" scale="12" r:id="rId3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2:AG401"/>
  <sheetViews>
    <sheetView zoomScale="85" zoomScaleNormal="85" workbookViewId="0" topLeftCell="A1">
      <pane xSplit="2" ySplit="6" topLeftCell="C179" activePane="bottomRight" state="frozen"/>
      <selection pane="topLeft" activeCell="A1" sqref="A1"/>
      <selection pane="bottomLeft" activeCell="A7" sqref="A7"/>
      <selection pane="topRight" activeCell="C1" sqref="C1"/>
      <selection pane="bottomRight" activeCell="AB262" sqref="AB262"/>
    </sheetView>
  </sheetViews>
  <sheetFormatPr defaultRowHeight="15"/>
  <cols>
    <col min="1" max="1" width="6.714285714285714" customWidth="1"/>
    <col min="2" max="2" width="48" customWidth="1"/>
    <col min="3" max="29" width="8.714285714285714" customWidth="1"/>
    <col min="30" max="30" width="12.571428571428571" customWidth="1"/>
    <col min="31" max="31" width="7.857142857142857" customWidth="1"/>
  </cols>
  <sheetData>
    <row r="1" ht="15" customHeight="1"/>
    <row r="2" spans="28:29" ht="15" customHeight="1">
      <c r="AB2" s="68" t="s">
        <v>539</v>
      </c>
      <c r="AC2" s="68">
        <v>10</v>
      </c>
    </row>
    <row r="3" spans="2:2" ht="15" customHeight="1">
      <c r="B3" s="3" t="s">
        <v>540</v>
      </c>
    </row>
    <row r="4" spans="2:29" ht="15" customHeight="1">
      <c r="B4" s="14" t="s">
        <v>441</v>
      </c>
      <c r="C4" s="97">
        <v>1</v>
      </c>
      <c r="D4" s="97">
        <v>1.25</v>
      </c>
      <c r="E4" s="97">
        <v>1.50</v>
      </c>
      <c r="F4" s="97">
        <v>1.75</v>
      </c>
      <c r="G4" s="97">
        <v>2</v>
      </c>
      <c r="H4" s="97">
        <v>2.25</v>
      </c>
      <c r="I4" s="97">
        <v>2.50</v>
      </c>
      <c r="J4" s="97">
        <v>2.75</v>
      </c>
      <c r="K4" s="97">
        <v>3</v>
      </c>
      <c r="L4" s="97">
        <v>3.25</v>
      </c>
      <c r="M4" s="97">
        <v>3.50</v>
      </c>
      <c r="N4" s="97">
        <v>3.75</v>
      </c>
      <c r="O4" s="97">
        <v>4</v>
      </c>
      <c r="P4" s="97">
        <v>4.25</v>
      </c>
      <c r="Q4" s="97">
        <v>4.50</v>
      </c>
      <c r="R4" s="97">
        <v>4.75</v>
      </c>
      <c r="S4" s="97">
        <v>5</v>
      </c>
      <c r="T4" s="97">
        <v>5.25</v>
      </c>
      <c r="U4" s="97">
        <v>5.50</v>
      </c>
      <c r="V4" s="97">
        <v>5.75</v>
      </c>
      <c r="W4" s="97">
        <v>6</v>
      </c>
      <c r="X4" s="97">
        <v>6.25</v>
      </c>
      <c r="Y4" s="97">
        <v>6.50</v>
      </c>
      <c r="Z4" s="97">
        <v>6.75</v>
      </c>
      <c r="AA4" s="97">
        <v>7</v>
      </c>
      <c r="AB4" s="97">
        <v>7.25</v>
      </c>
      <c r="AC4" s="97">
        <v>7.50</v>
      </c>
    </row>
    <row r="5" spans="1:31" ht="20.1" customHeight="1">
      <c r="A5" s="284" t="s">
        <v>20</v>
      </c>
      <c r="B5" s="285" t="s">
        <v>0</v>
      </c>
      <c r="C5" s="284" t="s">
        <v>541</v>
      </c>
      <c r="D5" s="284" t="s">
        <v>542</v>
      </c>
      <c r="E5" s="284" t="s">
        <v>543</v>
      </c>
      <c r="F5" s="284" t="s">
        <v>544</v>
      </c>
      <c r="G5" s="284" t="s">
        <v>545</v>
      </c>
      <c r="H5" s="284" t="s">
        <v>546</v>
      </c>
      <c r="I5" s="284" t="s">
        <v>547</v>
      </c>
      <c r="J5" s="284" t="s">
        <v>548</v>
      </c>
      <c r="K5" s="284" t="s">
        <v>549</v>
      </c>
      <c r="L5" s="284" t="s">
        <v>550</v>
      </c>
      <c r="M5" s="284" t="s">
        <v>551</v>
      </c>
      <c r="N5" s="284" t="s">
        <v>552</v>
      </c>
      <c r="O5" s="284" t="s">
        <v>553</v>
      </c>
      <c r="P5" s="284" t="s">
        <v>554</v>
      </c>
      <c r="Q5" s="284" t="s">
        <v>555</v>
      </c>
      <c r="R5" s="284" t="s">
        <v>556</v>
      </c>
      <c r="S5" s="284" t="s">
        <v>557</v>
      </c>
      <c r="T5" s="284" t="s">
        <v>558</v>
      </c>
      <c r="U5" s="284" t="s">
        <v>559</v>
      </c>
      <c r="V5" s="284" t="s">
        <v>560</v>
      </c>
      <c r="W5" s="284" t="s">
        <v>561</v>
      </c>
      <c r="X5" s="284" t="s">
        <v>562</v>
      </c>
      <c r="Y5" s="284" t="s">
        <v>563</v>
      </c>
      <c r="Z5" s="284" t="s">
        <v>564</v>
      </c>
      <c r="AA5" s="284" t="s">
        <v>565</v>
      </c>
      <c r="AB5" s="284" t="s">
        <v>566</v>
      </c>
      <c r="AC5" s="284" t="s">
        <v>567</v>
      </c>
      <c r="AD5" s="282" t="s">
        <v>568</v>
      </c>
      <c r="AE5" s="286" t="s">
        <v>569</v>
      </c>
    </row>
    <row r="6" spans="1:30" ht="15" customHeight="1" thickBot="1">
      <c r="A6" s="218"/>
      <c r="B6" s="287" t="s">
        <v>570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  <c r="Y6" s="220"/>
      <c r="Z6" s="220"/>
      <c r="AA6" s="220"/>
      <c r="AB6" s="220"/>
      <c r="AC6" s="220"/>
      <c r="AD6" s="107"/>
    </row>
    <row r="7" spans="1:31" ht="15.75">
      <c r="A7" s="754" t="s">
        <v>534</v>
      </c>
      <c r="B7" s="827" t="s">
        <v>571</v>
      </c>
      <c r="C7" s="288"/>
      <c r="D7" s="288"/>
      <c r="E7" s="288"/>
      <c r="F7" s="288"/>
      <c r="G7" s="288"/>
      <c r="H7" s="288"/>
      <c r="I7" s="288"/>
      <c r="J7" s="288"/>
      <c r="K7" s="288"/>
      <c r="L7" s="288"/>
      <c r="M7" s="288"/>
      <c r="N7" s="288"/>
      <c r="O7" s="288"/>
      <c r="P7" s="288"/>
      <c r="Q7" s="288"/>
      <c r="R7" s="288"/>
      <c r="S7" s="288"/>
      <c r="T7" s="288"/>
      <c r="U7" s="288"/>
      <c r="V7" s="288"/>
      <c r="W7" s="288"/>
      <c r="X7" s="288"/>
      <c r="Y7" s="288"/>
      <c r="Z7" s="288"/>
      <c r="AA7" s="288"/>
      <c r="AB7" s="288"/>
      <c r="AC7" s="289"/>
      <c r="AD7" s="107"/>
      <c r="AE7" s="290">
        <v>183</v>
      </c>
    </row>
    <row r="8" spans="1:30" ht="15.75">
      <c r="A8" s="782"/>
      <c r="B8" s="828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13"/>
      <c r="AD8" s="107"/>
    </row>
    <row r="9" spans="1:30" ht="15.75" thickBot="1">
      <c r="A9" s="755"/>
      <c r="B9" s="829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104"/>
      <c r="AD9" s="107"/>
    </row>
    <row r="10" spans="1:31" ht="15.75">
      <c r="A10" s="784" t="s">
        <v>535</v>
      </c>
      <c r="B10" s="830" t="s">
        <v>572</v>
      </c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120"/>
      <c r="AD10" s="107"/>
      <c r="AE10" s="68">
        <v>200</v>
      </c>
    </row>
    <row r="11" spans="1:30" ht="15.75">
      <c r="A11" s="785"/>
      <c r="B11" s="831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291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13"/>
      <c r="AD11" s="107"/>
    </row>
    <row r="12" spans="1:30" ht="15.75">
      <c r="A12" s="785"/>
      <c r="B12" s="831"/>
      <c r="C12" s="13">
        <v>4</v>
      </c>
      <c r="D12" s="13">
        <v>3.90</v>
      </c>
      <c r="E12" s="13">
        <v>3.80</v>
      </c>
      <c r="F12" s="13">
        <v>3.70</v>
      </c>
      <c r="G12" s="13">
        <v>3.60</v>
      </c>
      <c r="H12" s="13">
        <v>3.50</v>
      </c>
      <c r="I12" s="13">
        <v>3.40</v>
      </c>
      <c r="J12" s="13">
        <v>3.30</v>
      </c>
      <c r="K12" s="13">
        <v>3.20</v>
      </c>
      <c r="L12" s="13">
        <v>3.10</v>
      </c>
      <c r="M12" s="13">
        <v>3</v>
      </c>
      <c r="N12" s="13">
        <v>2.90</v>
      </c>
      <c r="O12" s="13">
        <v>2.80</v>
      </c>
      <c r="P12" s="13">
        <v>2.70</v>
      </c>
      <c r="Q12" s="13">
        <v>2.60</v>
      </c>
      <c r="R12" s="13">
        <v>2.50</v>
      </c>
      <c r="S12" s="13">
        <v>2.40</v>
      </c>
      <c r="T12" s="13">
        <v>2.2999999999999998</v>
      </c>
      <c r="U12" s="13">
        <v>2.2000000000000002</v>
      </c>
      <c r="V12" s="13">
        <v>2.10</v>
      </c>
      <c r="W12" s="13">
        <v>2</v>
      </c>
      <c r="X12" s="13">
        <v>1.90</v>
      </c>
      <c r="Y12" s="13">
        <v>1.80</v>
      </c>
      <c r="Z12" s="13">
        <v>1.70</v>
      </c>
      <c r="AA12" s="13">
        <v>1.60</v>
      </c>
      <c r="AB12" s="13">
        <v>1.50</v>
      </c>
      <c r="AC12" s="13">
        <v>1.40</v>
      </c>
      <c r="AD12" s="107"/>
    </row>
    <row r="13" spans="1:30" ht="15.75" thickBot="1">
      <c r="A13" s="786"/>
      <c r="B13" s="832"/>
      <c r="C13" s="77">
        <v>4</v>
      </c>
      <c r="D13" s="77">
        <v>4</v>
      </c>
      <c r="E13" s="77">
        <v>3.50</v>
      </c>
      <c r="F13" s="77">
        <v>3.50</v>
      </c>
      <c r="G13" s="77"/>
      <c r="H13" s="77"/>
      <c r="I13" s="77"/>
      <c r="J13" s="77">
        <v>3</v>
      </c>
      <c r="K13" s="77">
        <v>3</v>
      </c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104"/>
      <c r="AD13" s="107"/>
    </row>
    <row r="14" spans="1:31" ht="15.75">
      <c r="A14" s="784" t="s">
        <v>573</v>
      </c>
      <c r="B14" s="777" t="s">
        <v>574</v>
      </c>
      <c r="C14" s="288">
        <v>10.638999999999999</v>
      </c>
      <c r="D14" s="288">
        <v>12.217302467001097</v>
      </c>
      <c r="E14" s="288">
        <v>13.679171056187181</v>
      </c>
      <c r="F14" s="288">
        <v>15.050817692934258</v>
      </c>
      <c r="G14" s="288">
        <v>16.349681740865812</v>
      </c>
      <c r="H14" s="288">
        <v>17.588092939602326</v>
      </c>
      <c r="I14" s="288">
        <v>18.775167503276876</v>
      </c>
      <c r="J14" s="288">
        <v>19.917881571395206</v>
      </c>
      <c r="K14" s="288">
        <v>21.021721331659336</v>
      </c>
      <c r="L14" s="288">
        <v>22.091098106489511</v>
      </c>
      <c r="M14" s="288">
        <v>23.129624891368305</v>
      </c>
      <c r="N14" s="288">
        <v>24.140307161001147</v>
      </c>
      <c r="O14" s="288">
        <v>25.125678449816803</v>
      </c>
      <c r="P14" s="288">
        <v>26.087899132754522</v>
      </c>
      <c r="Q14" s="288">
        <v>27.02882996440146</v>
      </c>
      <c r="R14" s="288">
        <v>27.950087865440057</v>
      </c>
      <c r="S14" s="288">
        <v>28.853088947271651</v>
      </c>
      <c r="T14" s="288">
        <v>29.739082183896219</v>
      </c>
      <c r="U14" s="288">
        <v>30.609176110966057</v>
      </c>
      <c r="V14" s="288">
        <v>31.464360246014746</v>
      </c>
      <c r="W14" s="288">
        <v>32.305522456791053</v>
      </c>
      <c r="X14" s="288">
        <v>33.133463180383877</v>
      </c>
      <c r="Y14" s="288">
        <v>33.948907166777595</v>
      </c>
      <c r="Z14" s="288">
        <v>34.752513256099753</v>
      </c>
      <c r="AA14" s="288">
        <v>35.544882579140868</v>
      </c>
      <c r="AB14" s="288">
        <v>36.326565482429658</v>
      </c>
      <c r="AC14" s="289">
        <v>37.098067413207318</v>
      </c>
      <c r="AD14" s="107" t="s">
        <v>393</v>
      </c>
      <c r="AE14" s="290">
        <v>200</v>
      </c>
    </row>
    <row r="15" spans="1:30" ht="15.75">
      <c r="A15" s="785"/>
      <c r="B15" s="640"/>
      <c r="C15" s="75">
        <f>C14*$AE$14</f>
        <v>2127.7999999999997</v>
      </c>
      <c r="D15" s="75">
        <f t="shared" si="0" ref="D15:AC15">D14*$AE$14</f>
        <v>2443.4604934002195</v>
      </c>
      <c r="E15" s="75">
        <f t="shared" si="0"/>
        <v>2735.8342112374362</v>
      </c>
      <c r="F15" s="75">
        <f t="shared" si="0"/>
        <v>3010.1635385868517</v>
      </c>
      <c r="G15" s="75">
        <f t="shared" si="0"/>
        <v>3269.9363481731625</v>
      </c>
      <c r="H15" s="75">
        <f t="shared" si="0"/>
        <v>3517.6185879204654</v>
      </c>
      <c r="I15" s="75">
        <f t="shared" si="0"/>
        <v>3755.0335006553751</v>
      </c>
      <c r="J15" s="75">
        <f t="shared" si="0"/>
        <v>3983.5763142790411</v>
      </c>
      <c r="K15" s="75">
        <f t="shared" si="0"/>
        <v>4204.3442663318674</v>
      </c>
      <c r="L15" s="75">
        <f t="shared" si="0"/>
        <v>4418.2196212979024</v>
      </c>
      <c r="M15" s="75">
        <f t="shared" si="0"/>
        <v>4625.9249782736606</v>
      </c>
      <c r="N15" s="75">
        <f t="shared" si="0"/>
        <v>4828.0614322002293</v>
      </c>
      <c r="O15" s="75">
        <f t="shared" si="0"/>
        <v>5025.1356899633611</v>
      </c>
      <c r="P15" s="75">
        <f t="shared" si="0"/>
        <v>5217.5798265509047</v>
      </c>
      <c r="Q15" s="75">
        <f t="shared" si="0"/>
        <v>5405.7659928802923</v>
      </c>
      <c r="R15" s="75">
        <f t="shared" si="0"/>
        <v>5590.0175730880119</v>
      </c>
      <c r="S15" s="75">
        <f t="shared" si="0"/>
        <v>5770.6177894543298</v>
      </c>
      <c r="T15" s="75">
        <f t="shared" si="0"/>
        <v>5947.8164367792442</v>
      </c>
      <c r="U15" s="75">
        <f t="shared" si="0"/>
        <v>6121.8352221932118</v>
      </c>
      <c r="V15" s="75">
        <f t="shared" si="0"/>
        <v>6292.8720492029488</v>
      </c>
      <c r="W15" s="75">
        <f t="shared" si="0"/>
        <v>6461.1044913582109</v>
      </c>
      <c r="X15" s="75">
        <f t="shared" si="0"/>
        <v>6626.6926360767757</v>
      </c>
      <c r="Y15" s="75">
        <f t="shared" si="0"/>
        <v>6789.7814333555189</v>
      </c>
      <c r="Z15" s="75">
        <f t="shared" si="0"/>
        <v>6950.5026512199511</v>
      </c>
      <c r="AA15" s="75">
        <f t="shared" si="0"/>
        <v>7108.9765158281734</v>
      </c>
      <c r="AB15" s="75">
        <f t="shared" si="0"/>
        <v>7265.313096485932</v>
      </c>
      <c r="AC15" s="101">
        <f t="shared" si="0"/>
        <v>7419.6134826414636</v>
      </c>
      <c r="AD15" s="107" t="s">
        <v>377</v>
      </c>
    </row>
    <row r="16" spans="1:30" ht="15.75" thickBot="1">
      <c r="A16" s="786"/>
      <c r="B16" s="778"/>
      <c r="C16" s="153">
        <f>$AC$2*2/C14</f>
        <v>1.8798759281887396</v>
      </c>
      <c r="D16" s="153">
        <f t="shared" si="1" ref="D16:AC16">$AC$2*2/D14</f>
        <v>1.6370225795767885</v>
      </c>
      <c r="E16" s="153">
        <f t="shared" si="1"/>
        <v>1.4620768990935211</v>
      </c>
      <c r="F16" s="153">
        <f t="shared" si="1"/>
        <v>1.3288314567380071</v>
      </c>
      <c r="G16" s="153">
        <f t="shared" si="1"/>
        <v>1.2232654015527573</v>
      </c>
      <c r="H16" s="153">
        <f t="shared" si="1"/>
        <v>1.1371329494721334</v>
      </c>
      <c r="I16" s="153">
        <f t="shared" si="1"/>
        <v>1.0652368345853294</v>
      </c>
      <c r="J16" s="153">
        <f t="shared" si="1"/>
        <v>1.004122849526464</v>
      </c>
      <c r="K16" s="153">
        <f t="shared" si="1"/>
        <v>0.95139687585333022</v>
      </c>
      <c r="L16" s="153">
        <f t="shared" si="1"/>
        <v>0.90534204789597006</v>
      </c>
      <c r="M16" s="153">
        <f t="shared" si="1"/>
        <v>0.86469193054072213</v>
      </c>
      <c r="N16" s="153">
        <f t="shared" si="1"/>
        <v>0.82848987242010552</v>
      </c>
      <c r="O16" s="153">
        <f t="shared" si="1"/>
        <v>0.79599840617023521</v>
      </c>
      <c r="P16" s="153">
        <f t="shared" si="1"/>
        <v>0.76663896537721221</v>
      </c>
      <c r="Q16" s="153">
        <f t="shared" si="1"/>
        <v>0.73995063886750412</v>
      </c>
      <c r="R16" s="153">
        <f t="shared" si="1"/>
        <v>0.71556125677621774</v>
      </c>
      <c r="S16" s="153">
        <f t="shared" si="1"/>
        <v>0.69316668439034501</v>
      </c>
      <c r="T16" s="153">
        <f t="shared" si="1"/>
        <v>0.67251571102049834</v>
      </c>
      <c r="U16" s="153">
        <f t="shared" si="1"/>
        <v>0.65339883463360493</v>
      </c>
      <c r="V16" s="153">
        <f t="shared" si="1"/>
        <v>0.63563981099959554</v>
      </c>
      <c r="W16" s="153">
        <f t="shared" si="1"/>
        <v>0.61908919834836884</v>
      </c>
      <c r="X16" s="153">
        <f t="shared" si="1"/>
        <v>0.60361936484323409</v>
      </c>
      <c r="Y16" s="153">
        <f t="shared" si="1"/>
        <v>0.58912058352122754</v>
      </c>
      <c r="Z16" s="153">
        <f t="shared" si="1"/>
        <v>0.57549794607990268</v>
      </c>
      <c r="AA16" s="153">
        <f t="shared" si="1"/>
        <v>0.56266890052231555</v>
      </c>
      <c r="AB16" s="153">
        <f t="shared" si="1"/>
        <v>0.55056126926377202</v>
      </c>
      <c r="AC16" s="168">
        <f t="shared" si="1"/>
        <v>0.539111640971351</v>
      </c>
      <c r="AD16" s="107" t="s">
        <v>376</v>
      </c>
    </row>
    <row r="17" spans="1:31" ht="15.75">
      <c r="A17" s="784" t="s">
        <v>575</v>
      </c>
      <c r="B17" s="777" t="s">
        <v>576</v>
      </c>
      <c r="C17" s="745" t="s">
        <v>577</v>
      </c>
      <c r="D17" s="746"/>
      <c r="E17" s="746"/>
      <c r="F17" s="746"/>
      <c r="G17" s="746"/>
      <c r="H17" s="746"/>
      <c r="I17" s="746"/>
      <c r="J17" s="746"/>
      <c r="K17" s="746"/>
      <c r="L17" s="746"/>
      <c r="M17" s="746"/>
      <c r="N17" s="746"/>
      <c r="O17" s="746"/>
      <c r="P17" s="746"/>
      <c r="Q17" s="746"/>
      <c r="R17" s="746"/>
      <c r="S17" s="746"/>
      <c r="T17" s="746"/>
      <c r="U17" s="746"/>
      <c r="V17" s="746"/>
      <c r="W17" s="746"/>
      <c r="X17" s="746"/>
      <c r="Y17" s="746"/>
      <c r="Z17" s="746"/>
      <c r="AA17" s="746"/>
      <c r="AB17" s="746"/>
      <c r="AC17" s="761"/>
      <c r="AD17" s="107"/>
      <c r="AE17" s="68">
        <v>200</v>
      </c>
    </row>
    <row r="18" spans="1:31" ht="15.75">
      <c r="A18" s="785"/>
      <c r="B18" s="640"/>
      <c r="C18" s="748"/>
      <c r="D18" s="749"/>
      <c r="E18" s="749"/>
      <c r="F18" s="749"/>
      <c r="G18" s="749"/>
      <c r="H18" s="749"/>
      <c r="I18" s="749"/>
      <c r="J18" s="749"/>
      <c r="K18" s="749"/>
      <c r="L18" s="749"/>
      <c r="M18" s="749"/>
      <c r="N18" s="749"/>
      <c r="O18" s="749"/>
      <c r="P18" s="749"/>
      <c r="Q18" s="749"/>
      <c r="R18" s="749"/>
      <c r="S18" s="749"/>
      <c r="T18" s="749"/>
      <c r="U18" s="749"/>
      <c r="V18" s="749"/>
      <c r="W18" s="749"/>
      <c r="X18" s="749"/>
      <c r="Y18" s="749"/>
      <c r="Z18" s="749"/>
      <c r="AA18" s="749"/>
      <c r="AB18" s="749"/>
      <c r="AC18" s="803"/>
      <c r="AD18" s="107"/>
      <c r="AE18" s="68"/>
    </row>
    <row r="19" spans="1:31" ht="15.75" thickBot="1">
      <c r="A19" s="786"/>
      <c r="B19" s="778"/>
      <c r="C19" s="742"/>
      <c r="D19" s="743"/>
      <c r="E19" s="743"/>
      <c r="F19" s="743"/>
      <c r="G19" s="743"/>
      <c r="H19" s="743"/>
      <c r="I19" s="743"/>
      <c r="J19" s="743"/>
      <c r="K19" s="743"/>
      <c r="L19" s="743"/>
      <c r="M19" s="743"/>
      <c r="N19" s="743"/>
      <c r="O19" s="743"/>
      <c r="P19" s="743"/>
      <c r="Q19" s="743"/>
      <c r="R19" s="743"/>
      <c r="S19" s="743"/>
      <c r="T19" s="743"/>
      <c r="U19" s="743"/>
      <c r="V19" s="743"/>
      <c r="W19" s="743"/>
      <c r="X19" s="743"/>
      <c r="Y19" s="743"/>
      <c r="Z19" s="743"/>
      <c r="AA19" s="743"/>
      <c r="AB19" s="743"/>
      <c r="AC19" s="744"/>
      <c r="AD19" s="107"/>
      <c r="AE19" s="68"/>
    </row>
    <row r="20" spans="1:31" ht="15.75">
      <c r="A20" s="784" t="s">
        <v>578</v>
      </c>
      <c r="B20" s="777" t="s">
        <v>579</v>
      </c>
      <c r="C20" s="745" t="s">
        <v>580</v>
      </c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6"/>
      <c r="W20" s="746"/>
      <c r="X20" s="746"/>
      <c r="Y20" s="746"/>
      <c r="Z20" s="746"/>
      <c r="AA20" s="746"/>
      <c r="AB20" s="746"/>
      <c r="AC20" s="761"/>
      <c r="AD20" s="107"/>
      <c r="AE20" s="68">
        <v>138</v>
      </c>
    </row>
    <row r="21" spans="1:31" ht="15.75">
      <c r="A21" s="785"/>
      <c r="B21" s="640"/>
      <c r="C21" s="748"/>
      <c r="D21" s="749"/>
      <c r="E21" s="749"/>
      <c r="F21" s="749"/>
      <c r="G21" s="749"/>
      <c r="H21" s="749"/>
      <c r="I21" s="749"/>
      <c r="J21" s="749"/>
      <c r="K21" s="749"/>
      <c r="L21" s="749"/>
      <c r="M21" s="749"/>
      <c r="N21" s="749"/>
      <c r="O21" s="749"/>
      <c r="P21" s="749"/>
      <c r="Q21" s="749"/>
      <c r="R21" s="749"/>
      <c r="S21" s="749"/>
      <c r="T21" s="749"/>
      <c r="U21" s="749"/>
      <c r="V21" s="749"/>
      <c r="W21" s="749"/>
      <c r="X21" s="749"/>
      <c r="Y21" s="749"/>
      <c r="Z21" s="749"/>
      <c r="AA21" s="749"/>
      <c r="AB21" s="749"/>
      <c r="AC21" s="803"/>
      <c r="AD21" s="107"/>
      <c r="AE21" s="68"/>
    </row>
    <row r="22" spans="1:31" ht="15.75" thickBot="1">
      <c r="A22" s="786"/>
      <c r="B22" s="778"/>
      <c r="C22" s="742"/>
      <c r="D22" s="743"/>
      <c r="E22" s="743"/>
      <c r="F22" s="743"/>
      <c r="G22" s="743"/>
      <c r="H22" s="743"/>
      <c r="I22" s="743"/>
      <c r="J22" s="743"/>
      <c r="K22" s="743"/>
      <c r="L22" s="743"/>
      <c r="M22" s="743"/>
      <c r="N22" s="743"/>
      <c r="O22" s="743"/>
      <c r="P22" s="743"/>
      <c r="Q22" s="743"/>
      <c r="R22" s="743"/>
      <c r="S22" s="743"/>
      <c r="T22" s="743"/>
      <c r="U22" s="743"/>
      <c r="V22" s="743"/>
      <c r="W22" s="743"/>
      <c r="X22" s="743"/>
      <c r="Y22" s="743"/>
      <c r="Z22" s="743"/>
      <c r="AA22" s="743"/>
      <c r="AB22" s="743"/>
      <c r="AC22" s="744"/>
      <c r="AD22" s="107"/>
      <c r="AE22" s="68"/>
    </row>
    <row r="23" spans="1:31" ht="15.75">
      <c r="A23" s="784" t="s">
        <v>581</v>
      </c>
      <c r="B23" s="834" t="s">
        <v>582</v>
      </c>
      <c r="C23" s="745" t="s">
        <v>583</v>
      </c>
      <c r="D23" s="746"/>
      <c r="E23" s="746"/>
      <c r="F23" s="746"/>
      <c r="G23" s="746"/>
      <c r="H23" s="746"/>
      <c r="I23" s="746"/>
      <c r="J23" s="746"/>
      <c r="K23" s="746"/>
      <c r="L23" s="746"/>
      <c r="M23" s="746"/>
      <c r="N23" s="746"/>
      <c r="O23" s="746"/>
      <c r="P23" s="746"/>
      <c r="Q23" s="746"/>
      <c r="R23" s="746"/>
      <c r="S23" s="746"/>
      <c r="T23" s="746"/>
      <c r="U23" s="746"/>
      <c r="V23" s="746"/>
      <c r="W23" s="746"/>
      <c r="X23" s="746"/>
      <c r="Y23" s="746"/>
      <c r="Z23" s="746"/>
      <c r="AA23" s="746"/>
      <c r="AB23" s="746"/>
      <c r="AC23" s="761"/>
      <c r="AD23" s="107"/>
      <c r="AE23" s="68">
        <v>200</v>
      </c>
    </row>
    <row r="24" spans="1:31" ht="15.75">
      <c r="A24" s="785"/>
      <c r="B24" s="835"/>
      <c r="C24" s="748"/>
      <c r="D24" s="749"/>
      <c r="E24" s="749"/>
      <c r="F24" s="749"/>
      <c r="G24" s="749"/>
      <c r="H24" s="749"/>
      <c r="I24" s="749"/>
      <c r="J24" s="749"/>
      <c r="K24" s="749"/>
      <c r="L24" s="749"/>
      <c r="M24" s="749"/>
      <c r="N24" s="749"/>
      <c r="O24" s="749"/>
      <c r="P24" s="749"/>
      <c r="Q24" s="749"/>
      <c r="R24" s="749"/>
      <c r="S24" s="749"/>
      <c r="T24" s="749"/>
      <c r="U24" s="749"/>
      <c r="V24" s="749"/>
      <c r="W24" s="749"/>
      <c r="X24" s="749"/>
      <c r="Y24" s="749"/>
      <c r="Z24" s="749"/>
      <c r="AA24" s="749"/>
      <c r="AB24" s="749"/>
      <c r="AC24" s="803"/>
      <c r="AD24" s="107"/>
      <c r="AE24" s="68"/>
    </row>
    <row r="25" spans="1:31" ht="15.75" thickBot="1">
      <c r="A25" s="785"/>
      <c r="B25" s="835"/>
      <c r="C25" s="748"/>
      <c r="D25" s="749"/>
      <c r="E25" s="749"/>
      <c r="F25" s="749"/>
      <c r="G25" s="749"/>
      <c r="H25" s="749"/>
      <c r="I25" s="749"/>
      <c r="J25" s="749"/>
      <c r="K25" s="749"/>
      <c r="L25" s="749"/>
      <c r="M25" s="749"/>
      <c r="N25" s="749"/>
      <c r="O25" s="749"/>
      <c r="P25" s="749"/>
      <c r="Q25" s="749"/>
      <c r="R25" s="749"/>
      <c r="S25" s="749"/>
      <c r="T25" s="749"/>
      <c r="U25" s="749"/>
      <c r="V25" s="749"/>
      <c r="W25" s="749"/>
      <c r="X25" s="749"/>
      <c r="Y25" s="749"/>
      <c r="Z25" s="749"/>
      <c r="AA25" s="749"/>
      <c r="AB25" s="749"/>
      <c r="AC25" s="803"/>
      <c r="AD25" s="107"/>
      <c r="AE25" s="68"/>
    </row>
    <row r="26" spans="1:31" ht="15.75">
      <c r="A26" s="754" t="s">
        <v>584</v>
      </c>
      <c r="B26" s="816" t="s">
        <v>585</v>
      </c>
      <c r="C26" s="89">
        <v>1536</v>
      </c>
      <c r="D26" s="89">
        <v>1592</v>
      </c>
      <c r="E26" s="89">
        <v>1608</v>
      </c>
      <c r="F26" s="89">
        <v>1660</v>
      </c>
      <c r="G26" s="89">
        <v>1710</v>
      </c>
      <c r="H26" s="89">
        <v>1720</v>
      </c>
      <c r="I26" s="89">
        <v>1788</v>
      </c>
      <c r="J26" s="89">
        <v>1904</v>
      </c>
      <c r="K26" s="89">
        <v>2000</v>
      </c>
      <c r="L26" s="89">
        <v>2064</v>
      </c>
      <c r="M26" s="89">
        <v>2186</v>
      </c>
      <c r="N26" s="89">
        <v>2268</v>
      </c>
      <c r="O26" s="89">
        <v>2306</v>
      </c>
      <c r="P26" s="89">
        <v>2358</v>
      </c>
      <c r="Q26" s="89">
        <v>2440</v>
      </c>
      <c r="R26" s="89">
        <v>2458</v>
      </c>
      <c r="S26" s="89">
        <v>2468</v>
      </c>
      <c r="T26" s="89">
        <v>2566</v>
      </c>
      <c r="U26" s="89">
        <v>2576</v>
      </c>
      <c r="V26" s="89">
        <v>2664</v>
      </c>
      <c r="W26" s="89">
        <v>2666</v>
      </c>
      <c r="X26" s="89">
        <v>2674</v>
      </c>
      <c r="Y26" s="89">
        <v>2780</v>
      </c>
      <c r="Z26" s="89">
        <v>2790</v>
      </c>
      <c r="AA26" s="89">
        <v>2802</v>
      </c>
      <c r="AB26" s="89">
        <v>2900</v>
      </c>
      <c r="AC26" s="120">
        <v>2900</v>
      </c>
      <c r="AD26" s="292" t="s">
        <v>586</v>
      </c>
      <c r="AE26" s="68">
        <v>200</v>
      </c>
    </row>
    <row r="27" spans="1:31" ht="15.75">
      <c r="A27" s="783"/>
      <c r="B27" s="836"/>
      <c r="C27" s="75">
        <f t="shared" si="2" ref="C27:AC27">C28*$AE$26</f>
        <v>1148.8406881077037</v>
      </c>
      <c r="D27" s="75">
        <f t="shared" si="2"/>
        <v>1190.7255048616305</v>
      </c>
      <c r="E27" s="75">
        <f t="shared" si="2"/>
        <v>1202.6925953627526</v>
      </c>
      <c r="F27" s="75">
        <f t="shared" si="2"/>
        <v>1241.5856394913988</v>
      </c>
      <c r="G27" s="75">
        <f t="shared" si="2"/>
        <v>1278.9827973074048</v>
      </c>
      <c r="H27" s="75">
        <f t="shared" si="2"/>
        <v>1286.4622288706059</v>
      </c>
      <c r="I27" s="75">
        <f t="shared" si="2"/>
        <v>1337.322363500374</v>
      </c>
      <c r="J27" s="75">
        <f t="shared" si="2"/>
        <v>1424.0837696335077</v>
      </c>
      <c r="K27" s="75">
        <f t="shared" si="2"/>
        <v>1495.8863126402393</v>
      </c>
      <c r="L27" s="75">
        <f t="shared" si="2"/>
        <v>1543.7546746447272</v>
      </c>
      <c r="M27" s="75">
        <f t="shared" si="2"/>
        <v>1635.0037397157816</v>
      </c>
      <c r="N27" s="75">
        <f t="shared" si="2"/>
        <v>1696.3350785340315</v>
      </c>
      <c r="O27" s="75">
        <f t="shared" si="2"/>
        <v>1724.7569184741958</v>
      </c>
      <c r="P27" s="75">
        <f t="shared" si="2"/>
        <v>1763.6499626028422</v>
      </c>
      <c r="Q27" s="75">
        <f t="shared" si="2"/>
        <v>1824.9813014210922</v>
      </c>
      <c r="R27" s="75">
        <f t="shared" si="2"/>
        <v>1838.4442782348542</v>
      </c>
      <c r="S27" s="75">
        <f t="shared" si="2"/>
        <v>1845.9237097980556</v>
      </c>
      <c r="T27" s="75">
        <f t="shared" si="2"/>
        <v>1919.2221391174271</v>
      </c>
      <c r="U27" s="75">
        <f t="shared" si="2"/>
        <v>1926.7015706806283</v>
      </c>
      <c r="V27" s="75">
        <f t="shared" si="2"/>
        <v>1992.5205684367988</v>
      </c>
      <c r="W27" s="75">
        <f t="shared" si="2"/>
        <v>1994.0164547494392</v>
      </c>
      <c r="X27" s="75">
        <f>X28*$AE$26</f>
        <v>2000</v>
      </c>
      <c r="Y27" s="75">
        <f t="shared" si="2"/>
        <v>2079.2819745699326</v>
      </c>
      <c r="Z27" s="75">
        <f t="shared" si="2"/>
        <v>2086.7614061331337</v>
      </c>
      <c r="AA27" s="75">
        <f t="shared" si="2"/>
        <v>2095.7367240089757</v>
      </c>
      <c r="AB27" s="75">
        <f t="shared" si="2"/>
        <v>2169.035153328347</v>
      </c>
      <c r="AC27" s="101">
        <f t="shared" si="2"/>
        <v>2169.035153328347</v>
      </c>
      <c r="AD27" s="107" t="s">
        <v>377</v>
      </c>
      <c r="AE27" s="68"/>
    </row>
    <row r="28" spans="1:31" ht="15.75">
      <c r="A28" s="783"/>
      <c r="B28" s="836"/>
      <c r="C28" s="108">
        <f t="shared" si="3" ref="C28:V28">C29*$X$28</f>
        <v>5.7442034405385192</v>
      </c>
      <c r="D28" s="108">
        <f t="shared" si="3"/>
        <v>5.9536275243081525</v>
      </c>
      <c r="E28" s="108">
        <f t="shared" si="3"/>
        <v>6.0134629768137629</v>
      </c>
      <c r="F28" s="108">
        <f t="shared" si="3"/>
        <v>6.2079281974569938</v>
      </c>
      <c r="G28" s="108">
        <f t="shared" si="3"/>
        <v>6.3949139865370235</v>
      </c>
      <c r="H28" s="108">
        <f t="shared" si="3"/>
        <v>6.4323111443530294</v>
      </c>
      <c r="I28" s="108">
        <f t="shared" si="3"/>
        <v>6.6866118175018698</v>
      </c>
      <c r="J28" s="108">
        <f t="shared" si="3"/>
        <v>7.1204188481675388</v>
      </c>
      <c r="K28" s="108">
        <f t="shared" si="3"/>
        <v>7.4794315632011967</v>
      </c>
      <c r="L28" s="108">
        <f t="shared" si="3"/>
        <v>7.7187733732236357</v>
      </c>
      <c r="M28" s="108">
        <f t="shared" si="3"/>
        <v>8.1750186985789082</v>
      </c>
      <c r="N28" s="108">
        <f t="shared" si="3"/>
        <v>8.4816753926701569</v>
      </c>
      <c r="O28" s="108">
        <f t="shared" si="3"/>
        <v>8.6237845923709795</v>
      </c>
      <c r="P28" s="108">
        <f t="shared" si="3"/>
        <v>8.8182498130142104</v>
      </c>
      <c r="Q28" s="108">
        <f t="shared" si="3"/>
        <v>9.1249065071054609</v>
      </c>
      <c r="R28" s="108">
        <f t="shared" si="3"/>
        <v>9.1922213911742716</v>
      </c>
      <c r="S28" s="108">
        <f t="shared" si="3"/>
        <v>9.2296185489902776</v>
      </c>
      <c r="T28" s="108">
        <f t="shared" si="3"/>
        <v>9.5961106955871358</v>
      </c>
      <c r="U28" s="108">
        <f t="shared" si="3"/>
        <v>9.6335078534031418</v>
      </c>
      <c r="V28" s="108">
        <f t="shared" si="3"/>
        <v>9.9626028421839941</v>
      </c>
      <c r="W28" s="108">
        <f>W29*$X$28</f>
        <v>9.9700822737471952</v>
      </c>
      <c r="X28" s="108">
        <v>10</v>
      </c>
      <c r="Y28" s="108">
        <f>Y29*$X$28</f>
        <v>10.396409872849663</v>
      </c>
      <c r="Z28" s="108">
        <f t="shared" si="4" ref="Z28:AC28">Z29*$X$28</f>
        <v>10.433807030665669</v>
      </c>
      <c r="AA28" s="108">
        <f t="shared" si="4"/>
        <v>10.478683620044878</v>
      </c>
      <c r="AB28" s="108">
        <f t="shared" si="4"/>
        <v>10.845175766641734</v>
      </c>
      <c r="AC28" s="136">
        <f t="shared" si="4"/>
        <v>10.845175766641734</v>
      </c>
      <c r="AD28" s="107" t="s">
        <v>393</v>
      </c>
      <c r="AE28" s="68"/>
    </row>
    <row r="29" spans="1:31" ht="15.75">
      <c r="A29" s="783"/>
      <c r="B29" s="836"/>
      <c r="C29" s="108">
        <f t="shared" si="5" ref="C29:AC29">C26/$X$26</f>
        <v>0.57442034405385189</v>
      </c>
      <c r="D29" s="108">
        <f t="shared" si="5"/>
        <v>0.59536275243081527</v>
      </c>
      <c r="E29" s="108">
        <f t="shared" si="5"/>
        <v>0.60134629768137626</v>
      </c>
      <c r="F29" s="108">
        <f t="shared" si="5"/>
        <v>0.62079281974569933</v>
      </c>
      <c r="G29" s="108">
        <f t="shared" si="5"/>
        <v>0.6394913986537023</v>
      </c>
      <c r="H29" s="108">
        <f t="shared" si="5"/>
        <v>0.6432311144353029</v>
      </c>
      <c r="I29" s="108">
        <f t="shared" si="5"/>
        <v>0.66866118175018696</v>
      </c>
      <c r="J29" s="108">
        <f t="shared" si="5"/>
        <v>0.7120418848167539</v>
      </c>
      <c r="K29" s="108">
        <f t="shared" si="5"/>
        <v>0.74794315632011965</v>
      </c>
      <c r="L29" s="108">
        <f t="shared" si="5"/>
        <v>0.77187733732236352</v>
      </c>
      <c r="M29" s="108">
        <f t="shared" si="5"/>
        <v>0.81750186985789075</v>
      </c>
      <c r="N29" s="108">
        <f t="shared" si="5"/>
        <v>0.84816753926701571</v>
      </c>
      <c r="O29" s="108">
        <f t="shared" si="5"/>
        <v>0.86237845923709799</v>
      </c>
      <c r="P29" s="108">
        <f t="shared" si="5"/>
        <v>0.88182498130142106</v>
      </c>
      <c r="Q29" s="108">
        <f t="shared" si="5"/>
        <v>0.91249065071054603</v>
      </c>
      <c r="R29" s="108">
        <f t="shared" si="5"/>
        <v>0.91922213911742712</v>
      </c>
      <c r="S29" s="108">
        <f t="shared" si="5"/>
        <v>0.92296185489902771</v>
      </c>
      <c r="T29" s="108">
        <f t="shared" si="5"/>
        <v>0.95961106955871356</v>
      </c>
      <c r="U29" s="108">
        <f t="shared" si="5"/>
        <v>0.96335078534031415</v>
      </c>
      <c r="V29" s="108">
        <f t="shared" si="5"/>
        <v>0.99626028421839941</v>
      </c>
      <c r="W29" s="108">
        <f>W26/$X$26</f>
        <v>0.9970082273747195</v>
      </c>
      <c r="X29" s="108">
        <f t="shared" si="5"/>
        <v>1</v>
      </c>
      <c r="Y29" s="108">
        <f t="shared" si="5"/>
        <v>1.0396409872849663</v>
      </c>
      <c r="Z29" s="108">
        <f t="shared" si="5"/>
        <v>1.0433807030665669</v>
      </c>
      <c r="AA29" s="108">
        <f t="shared" si="5"/>
        <v>1.0478683620044877</v>
      </c>
      <c r="AB29" s="108">
        <f t="shared" si="5"/>
        <v>1.0845175766641735</v>
      </c>
      <c r="AC29" s="136">
        <f t="shared" si="5"/>
        <v>1.0845175766641735</v>
      </c>
      <c r="AD29" s="107" t="s">
        <v>395</v>
      </c>
      <c r="AE29" s="68"/>
    </row>
    <row r="30" spans="1:31" ht="15.75">
      <c r="A30" s="782"/>
      <c r="B30" s="648"/>
      <c r="C30" s="108">
        <f>$AC$2*2/C28</f>
        <v>3.4817708333333335</v>
      </c>
      <c r="D30" s="108">
        <f t="shared" si="6" ref="D30:AC30">$AC$2*2/D28</f>
        <v>3.3592964824120606</v>
      </c>
      <c r="E30" s="108">
        <f t="shared" si="6"/>
        <v>3.3258706467661687</v>
      </c>
      <c r="F30" s="108">
        <f t="shared" si="6"/>
        <v>3.2216867469879515</v>
      </c>
      <c r="G30" s="108">
        <f t="shared" si="6"/>
        <v>3.1274853801169589</v>
      </c>
      <c r="H30" s="108">
        <f t="shared" si="6"/>
        <v>3.1093023255813952</v>
      </c>
      <c r="I30" s="108">
        <f t="shared" si="6"/>
        <v>2.9910514541387023</v>
      </c>
      <c r="J30" s="108">
        <f t="shared" si="6"/>
        <v>2.8088235294117649</v>
      </c>
      <c r="K30" s="108">
        <f t="shared" si="6"/>
        <v>2.6739999999999999</v>
      </c>
      <c r="L30" s="108">
        <f t="shared" si="6"/>
        <v>2.5910852713178292</v>
      </c>
      <c r="M30" s="108">
        <f t="shared" si="6"/>
        <v>2.4464775846294602</v>
      </c>
      <c r="N30" s="108">
        <f t="shared" si="6"/>
        <v>2.3580246913580249</v>
      </c>
      <c r="O30" s="108">
        <f t="shared" si="6"/>
        <v>2.3191673894189071</v>
      </c>
      <c r="P30" s="108">
        <f t="shared" si="6"/>
        <v>2.2680237489397794</v>
      </c>
      <c r="Q30" s="108">
        <f t="shared" si="6"/>
        <v>2.1918032786885244</v>
      </c>
      <c r="R30" s="108">
        <f t="shared" si="6"/>
        <v>2.1757526444263626</v>
      </c>
      <c r="S30" s="108">
        <f t="shared" si="6"/>
        <v>2.1669367909238249</v>
      </c>
      <c r="T30" s="108">
        <f t="shared" si="6"/>
        <v>2.0841777084957132</v>
      </c>
      <c r="U30" s="108">
        <f t="shared" si="6"/>
        <v>2.0760869565217392</v>
      </c>
      <c r="V30" s="108">
        <f t="shared" si="6"/>
        <v>2.0075075075075075</v>
      </c>
      <c r="W30" s="108">
        <f t="shared" si="6"/>
        <v>2.0060015003750937</v>
      </c>
      <c r="X30" s="108">
        <f t="shared" si="6"/>
        <v>2</v>
      </c>
      <c r="Y30" s="108">
        <f t="shared" si="6"/>
        <v>1.9237410071942447</v>
      </c>
      <c r="Z30" s="108">
        <f t="shared" si="6"/>
        <v>1.9168458781362008</v>
      </c>
      <c r="AA30" s="108">
        <f t="shared" si="6"/>
        <v>1.9086366880799426</v>
      </c>
      <c r="AB30" s="108">
        <f t="shared" si="6"/>
        <v>1.844137931034483</v>
      </c>
      <c r="AC30" s="136">
        <f t="shared" si="6"/>
        <v>1.844137931034483</v>
      </c>
      <c r="AD30" s="107" t="s">
        <v>376</v>
      </c>
      <c r="AE30" s="68"/>
    </row>
    <row r="31" spans="1:31" ht="15.75" thickBot="1">
      <c r="A31" s="755"/>
      <c r="B31" s="817"/>
      <c r="C31" s="762" t="s">
        <v>587</v>
      </c>
      <c r="D31" s="762"/>
      <c r="E31" s="762"/>
      <c r="F31" s="762"/>
      <c r="G31" s="762"/>
      <c r="H31" s="762"/>
      <c r="I31" s="762"/>
      <c r="J31" s="762"/>
      <c r="K31" s="762"/>
      <c r="L31" s="762"/>
      <c r="M31" s="762"/>
      <c r="N31" s="762"/>
      <c r="O31" s="762"/>
      <c r="P31" s="762"/>
      <c r="Q31" s="762"/>
      <c r="R31" s="762"/>
      <c r="S31" s="762"/>
      <c r="T31" s="762"/>
      <c r="U31" s="762"/>
      <c r="V31" s="762"/>
      <c r="W31" s="762"/>
      <c r="X31" s="762"/>
      <c r="Y31" s="762"/>
      <c r="Z31" s="762"/>
      <c r="AA31" s="762"/>
      <c r="AB31" s="762"/>
      <c r="AC31" s="763"/>
      <c r="AD31" s="107"/>
      <c r="AE31" s="68"/>
    </row>
    <row r="32" spans="1:31" ht="15" customHeight="1" thickBot="1">
      <c r="A32" s="293"/>
      <c r="B32" s="294" t="s">
        <v>130</v>
      </c>
      <c r="C32" s="295"/>
      <c r="D32" s="295"/>
      <c r="E32" s="295"/>
      <c r="F32" s="295"/>
      <c r="G32" s="295"/>
      <c r="H32" s="295"/>
      <c r="I32" s="295"/>
      <c r="J32" s="295"/>
      <c r="K32" s="295"/>
      <c r="L32" s="295"/>
      <c r="M32" s="295"/>
      <c r="N32" s="295"/>
      <c r="O32" s="295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5"/>
      <c r="AA32" s="295"/>
      <c r="AB32" s="295"/>
      <c r="AC32" s="296"/>
      <c r="AD32" s="107"/>
      <c r="AE32" s="68"/>
    </row>
    <row r="33" spans="1:31" ht="15" customHeight="1">
      <c r="A33" s="779" t="s">
        <v>588</v>
      </c>
      <c r="B33" s="777" t="s">
        <v>589</v>
      </c>
      <c r="C33" s="745" t="s">
        <v>590</v>
      </c>
      <c r="D33" s="746"/>
      <c r="E33" s="746"/>
      <c r="F33" s="746"/>
      <c r="G33" s="746"/>
      <c r="H33" s="746"/>
      <c r="I33" s="746"/>
      <c r="J33" s="746"/>
      <c r="K33" s="746"/>
      <c r="L33" s="746"/>
      <c r="M33" s="746"/>
      <c r="N33" s="746"/>
      <c r="O33" s="746"/>
      <c r="P33" s="746"/>
      <c r="Q33" s="747"/>
      <c r="R33" s="89">
        <v>20</v>
      </c>
      <c r="S33" s="89">
        <v>20</v>
      </c>
      <c r="T33" s="89">
        <v>20</v>
      </c>
      <c r="U33" s="89">
        <v>20</v>
      </c>
      <c r="V33" s="89">
        <v>20</v>
      </c>
      <c r="W33" s="89">
        <v>20</v>
      </c>
      <c r="X33" s="89">
        <v>20</v>
      </c>
      <c r="Y33" s="89">
        <v>14</v>
      </c>
      <c r="Z33" s="89">
        <v>14</v>
      </c>
      <c r="AA33" s="89">
        <v>14</v>
      </c>
      <c r="AB33" s="89">
        <v>14</v>
      </c>
      <c r="AC33" s="120">
        <v>14</v>
      </c>
      <c r="AD33" s="107"/>
      <c r="AE33" s="68">
        <v>183</v>
      </c>
    </row>
    <row r="34" spans="1:31" ht="15" customHeight="1">
      <c r="A34" s="787"/>
      <c r="B34" s="641"/>
      <c r="C34" s="748"/>
      <c r="D34" s="749"/>
      <c r="E34" s="749"/>
      <c r="F34" s="749"/>
      <c r="G34" s="749"/>
      <c r="H34" s="749"/>
      <c r="I34" s="749"/>
      <c r="J34" s="749"/>
      <c r="K34" s="749"/>
      <c r="L34" s="749"/>
      <c r="M34" s="749"/>
      <c r="N34" s="749"/>
      <c r="O34" s="749"/>
      <c r="P34" s="749"/>
      <c r="Q34" s="750"/>
      <c r="R34" s="13" t="s">
        <v>591</v>
      </c>
      <c r="S34" s="13" t="s">
        <v>591</v>
      </c>
      <c r="T34" s="13" t="s">
        <v>591</v>
      </c>
      <c r="U34" s="13" t="s">
        <v>591</v>
      </c>
      <c r="V34" s="13" t="s">
        <v>591</v>
      </c>
      <c r="W34" s="13" t="s">
        <v>591</v>
      </c>
      <c r="X34" s="13" t="s">
        <v>591</v>
      </c>
      <c r="Y34" s="13" t="s">
        <v>592</v>
      </c>
      <c r="Z34" s="13" t="s">
        <v>592</v>
      </c>
      <c r="AA34" s="13" t="s">
        <v>592</v>
      </c>
      <c r="AB34" s="13" t="s">
        <v>592</v>
      </c>
      <c r="AC34" s="113" t="s">
        <v>592</v>
      </c>
      <c r="AD34" s="292" t="s">
        <v>593</v>
      </c>
      <c r="AE34" s="68"/>
    </row>
    <row r="35" spans="1:31" ht="30.75" thickBot="1">
      <c r="A35" s="278" t="s">
        <v>594</v>
      </c>
      <c r="B35" s="94" t="s">
        <v>595</v>
      </c>
      <c r="C35" s="742" t="s">
        <v>590</v>
      </c>
      <c r="D35" s="743"/>
      <c r="E35" s="743"/>
      <c r="F35" s="743"/>
      <c r="G35" s="743"/>
      <c r="H35" s="743"/>
      <c r="I35" s="743"/>
      <c r="J35" s="743"/>
      <c r="K35" s="743"/>
      <c r="L35" s="743"/>
      <c r="M35" s="743"/>
      <c r="N35" s="743"/>
      <c r="O35" s="743"/>
      <c r="P35" s="743"/>
      <c r="Q35" s="833"/>
      <c r="R35" s="742" t="s">
        <v>596</v>
      </c>
      <c r="S35" s="743"/>
      <c r="T35" s="743"/>
      <c r="U35" s="743"/>
      <c r="V35" s="743"/>
      <c r="W35" s="743"/>
      <c r="X35" s="743"/>
      <c r="Y35" s="743"/>
      <c r="Z35" s="743"/>
      <c r="AA35" s="743"/>
      <c r="AB35" s="743"/>
      <c r="AC35" s="744"/>
      <c r="AD35" s="107"/>
      <c r="AE35" s="68">
        <v>200</v>
      </c>
    </row>
    <row r="36" spans="1:31" ht="15" customHeight="1">
      <c r="A36" s="779" t="s">
        <v>597</v>
      </c>
      <c r="B36" s="777" t="s">
        <v>598</v>
      </c>
      <c r="C36" s="745" t="s">
        <v>590</v>
      </c>
      <c r="D36" s="746"/>
      <c r="E36" s="746"/>
      <c r="F36" s="746"/>
      <c r="G36" s="746"/>
      <c r="H36" s="746"/>
      <c r="I36" s="746"/>
      <c r="J36" s="746"/>
      <c r="K36" s="746"/>
      <c r="L36" s="746"/>
      <c r="M36" s="746"/>
      <c r="N36" s="746"/>
      <c r="O36" s="746"/>
      <c r="P36" s="746"/>
      <c r="Q36" s="747"/>
      <c r="R36" s="89">
        <v>30</v>
      </c>
      <c r="S36" s="89">
        <v>30</v>
      </c>
      <c r="T36" s="89">
        <v>30</v>
      </c>
      <c r="U36" s="89">
        <v>30</v>
      </c>
      <c r="V36" s="89">
        <v>30</v>
      </c>
      <c r="W36" s="89">
        <v>30</v>
      </c>
      <c r="X36" s="89">
        <v>30</v>
      </c>
      <c r="Y36" s="89">
        <v>21</v>
      </c>
      <c r="Z36" s="89">
        <v>21</v>
      </c>
      <c r="AA36" s="89">
        <v>21</v>
      </c>
      <c r="AB36" s="89">
        <v>21</v>
      </c>
      <c r="AC36" s="120">
        <v>21</v>
      </c>
      <c r="AD36" s="107"/>
      <c r="AE36" s="68">
        <v>183</v>
      </c>
    </row>
    <row r="37" spans="1:31" ht="15" customHeight="1" thickBot="1">
      <c r="A37" s="781"/>
      <c r="B37" s="778"/>
      <c r="C37" s="742"/>
      <c r="D37" s="743"/>
      <c r="E37" s="743"/>
      <c r="F37" s="743"/>
      <c r="G37" s="743"/>
      <c r="H37" s="743"/>
      <c r="I37" s="743"/>
      <c r="J37" s="743"/>
      <c r="K37" s="743"/>
      <c r="L37" s="743"/>
      <c r="M37" s="743"/>
      <c r="N37" s="743"/>
      <c r="O37" s="743"/>
      <c r="P37" s="743"/>
      <c r="Q37" s="833"/>
      <c r="R37" s="77" t="s">
        <v>591</v>
      </c>
      <c r="S37" s="77" t="s">
        <v>591</v>
      </c>
      <c r="T37" s="77" t="s">
        <v>591</v>
      </c>
      <c r="U37" s="77" t="s">
        <v>591</v>
      </c>
      <c r="V37" s="77" t="s">
        <v>591</v>
      </c>
      <c r="W37" s="77" t="s">
        <v>591</v>
      </c>
      <c r="X37" s="77" t="s">
        <v>591</v>
      </c>
      <c r="Y37" s="77" t="s">
        <v>592</v>
      </c>
      <c r="Z37" s="77" t="s">
        <v>592</v>
      </c>
      <c r="AA37" s="77" t="s">
        <v>592</v>
      </c>
      <c r="AB37" s="77" t="s">
        <v>592</v>
      </c>
      <c r="AC37" s="104" t="s">
        <v>592</v>
      </c>
      <c r="AD37" s="292" t="s">
        <v>593</v>
      </c>
      <c r="AE37" s="68"/>
    </row>
    <row r="38" spans="1:31" ht="15" customHeight="1">
      <c r="A38" s="754" t="s">
        <v>599</v>
      </c>
      <c r="B38" s="756" t="s">
        <v>600</v>
      </c>
      <c r="C38" s="745" t="s">
        <v>590</v>
      </c>
      <c r="D38" s="746"/>
      <c r="E38" s="746"/>
      <c r="F38" s="746"/>
      <c r="G38" s="746"/>
      <c r="H38" s="746"/>
      <c r="I38" s="746"/>
      <c r="J38" s="746"/>
      <c r="K38" s="746"/>
      <c r="L38" s="746"/>
      <c r="M38" s="746"/>
      <c r="N38" s="746"/>
      <c r="O38" s="746"/>
      <c r="P38" s="747"/>
      <c r="Q38" s="297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120"/>
      <c r="AD38" s="107"/>
      <c r="AE38" s="68">
        <v>200</v>
      </c>
    </row>
    <row r="39" spans="1:31" ht="15" customHeight="1">
      <c r="A39" s="782"/>
      <c r="B39" s="638"/>
      <c r="C39" s="748"/>
      <c r="D39" s="749"/>
      <c r="E39" s="749"/>
      <c r="F39" s="749"/>
      <c r="G39" s="749"/>
      <c r="H39" s="749"/>
      <c r="I39" s="749"/>
      <c r="J39" s="749"/>
      <c r="K39" s="749"/>
      <c r="L39" s="749"/>
      <c r="M39" s="749"/>
      <c r="N39" s="749"/>
      <c r="O39" s="749"/>
      <c r="P39" s="750"/>
      <c r="Q39" s="298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13"/>
      <c r="AD39" s="107"/>
      <c r="AE39" s="68"/>
    </row>
    <row r="40" spans="1:31" ht="15" customHeight="1" thickBot="1">
      <c r="A40" s="755"/>
      <c r="B40" s="757"/>
      <c r="C40" s="742"/>
      <c r="D40" s="743"/>
      <c r="E40" s="743"/>
      <c r="F40" s="743"/>
      <c r="G40" s="743"/>
      <c r="H40" s="743"/>
      <c r="I40" s="743"/>
      <c r="J40" s="743"/>
      <c r="K40" s="743"/>
      <c r="L40" s="743"/>
      <c r="M40" s="743"/>
      <c r="N40" s="743"/>
      <c r="O40" s="743"/>
      <c r="P40" s="833"/>
      <c r="Q40" s="299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104"/>
      <c r="AD40" s="107"/>
      <c r="AE40" s="68"/>
    </row>
    <row r="41" spans="1:31" ht="15" customHeight="1">
      <c r="A41" s="784" t="s">
        <v>601</v>
      </c>
      <c r="B41" s="777" t="s">
        <v>602</v>
      </c>
      <c r="C41" s="79">
        <v>0.51666666666666672</v>
      </c>
      <c r="D41" s="89"/>
      <c r="E41" s="89"/>
      <c r="F41" s="89">
        <v>0.60</v>
      </c>
      <c r="G41" s="89"/>
      <c r="H41" s="89"/>
      <c r="I41" s="89"/>
      <c r="J41" s="89">
        <v>1.1500000000000001</v>
      </c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120"/>
      <c r="AD41" s="107" t="s">
        <v>393</v>
      </c>
      <c r="AE41" s="68">
        <v>183</v>
      </c>
    </row>
    <row r="42" spans="1:31" ht="15" customHeight="1">
      <c r="A42" s="785"/>
      <c r="B42" s="640"/>
      <c r="C42" s="80">
        <v>94.550000000000011</v>
      </c>
      <c r="D42" s="80"/>
      <c r="E42" s="80"/>
      <c r="F42" s="80">
        <v>109.80</v>
      </c>
      <c r="G42" s="80"/>
      <c r="H42" s="80"/>
      <c r="I42" s="80"/>
      <c r="J42" s="80">
        <v>210.45000000000002</v>
      </c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300"/>
      <c r="AD42" s="107" t="s">
        <v>377</v>
      </c>
      <c r="AE42" s="68"/>
    </row>
    <row r="43" spans="1:31" ht="15" customHeight="1">
      <c r="A43" s="785"/>
      <c r="B43" s="640"/>
      <c r="C43" s="109">
        <f t="shared" si="7" ref="C43:U43">2.5*C44</f>
        <v>5.2985074626865671</v>
      </c>
      <c r="D43" s="109">
        <f t="shared" si="7"/>
        <v>4.9305555555555554</v>
      </c>
      <c r="E43" s="109">
        <f t="shared" si="7"/>
        <v>4.9305555555555554</v>
      </c>
      <c r="F43" s="109">
        <f t="shared" si="7"/>
        <v>4.6103896103896105</v>
      </c>
      <c r="G43" s="109">
        <f t="shared" si="7"/>
        <v>4.3292682926829267</v>
      </c>
      <c r="H43" s="109">
        <f t="shared" si="7"/>
        <v>4.3292682926829267</v>
      </c>
      <c r="I43" s="109">
        <f t="shared" si="7"/>
        <v>4.3292682926829267</v>
      </c>
      <c r="J43" s="109">
        <f t="shared" si="7"/>
        <v>3.8586956521739131</v>
      </c>
      <c r="K43" s="109">
        <f t="shared" si="7"/>
        <v>3.55</v>
      </c>
      <c r="L43" s="109">
        <f t="shared" si="7"/>
        <v>3.55</v>
      </c>
      <c r="M43" s="109">
        <f t="shared" si="7"/>
        <v>3.4803921568627452</v>
      </c>
      <c r="N43" s="109">
        <f t="shared" si="7"/>
        <v>3.2272727272727275</v>
      </c>
      <c r="O43" s="109">
        <f t="shared" si="7"/>
        <v>3.1696428571428568</v>
      </c>
      <c r="P43" s="109">
        <f t="shared" si="7"/>
        <v>3.0869565217391304</v>
      </c>
      <c r="Q43" s="109">
        <f t="shared" si="7"/>
        <v>2.9098360655737703</v>
      </c>
      <c r="R43" s="109">
        <f t="shared" si="7"/>
        <v>2.9098360655737703</v>
      </c>
      <c r="S43" s="109">
        <f t="shared" si="7"/>
        <v>2.9098360655737703</v>
      </c>
      <c r="T43" s="109">
        <f t="shared" si="7"/>
        <v>2.6893939393939394</v>
      </c>
      <c r="U43" s="109">
        <f t="shared" si="7"/>
        <v>2.6893939393939394</v>
      </c>
      <c r="V43" s="301">
        <f>2.5*V44</f>
        <v>2.50</v>
      </c>
      <c r="W43" s="109">
        <f t="shared" si="8" ref="W43:AC43">2.5*W44</f>
        <v>2.50</v>
      </c>
      <c r="X43" s="109">
        <f t="shared" si="8"/>
        <v>2.50</v>
      </c>
      <c r="Y43" s="109">
        <f t="shared" si="8"/>
        <v>2.3355263157894739</v>
      </c>
      <c r="Z43" s="109">
        <f t="shared" si="8"/>
        <v>2.3355263157894739</v>
      </c>
      <c r="AA43" s="109">
        <f t="shared" si="8"/>
        <v>2.3355263157894739</v>
      </c>
      <c r="AB43" s="109">
        <f t="shared" si="8"/>
        <v>2.191358024691358</v>
      </c>
      <c r="AC43" s="109">
        <f t="shared" si="8"/>
        <v>2.191358024691358</v>
      </c>
      <c r="AD43" s="107" t="s">
        <v>376</v>
      </c>
      <c r="AE43" s="68"/>
    </row>
    <row r="44" spans="1:31" ht="15" customHeight="1">
      <c r="A44" s="785"/>
      <c r="B44" s="640"/>
      <c r="C44" s="205">
        <f t="shared" si="9" ref="C44:U44">$V$45/C45</f>
        <v>2.1194029850746268</v>
      </c>
      <c r="D44" s="205">
        <f t="shared" si="9"/>
        <v>1.9722222222222223</v>
      </c>
      <c r="E44" s="205">
        <f t="shared" si="9"/>
        <v>1.9722222222222223</v>
      </c>
      <c r="F44" s="205">
        <f t="shared" si="9"/>
        <v>1.8441558441558441</v>
      </c>
      <c r="G44" s="205">
        <f t="shared" si="9"/>
        <v>1.7317073170731707</v>
      </c>
      <c r="H44" s="205">
        <f t="shared" si="9"/>
        <v>1.7317073170731707</v>
      </c>
      <c r="I44" s="205">
        <f t="shared" si="9"/>
        <v>1.7317073170731707</v>
      </c>
      <c r="J44" s="205">
        <f t="shared" si="9"/>
        <v>1.5434782608695652</v>
      </c>
      <c r="K44" s="205">
        <f t="shared" si="9"/>
        <v>1.42</v>
      </c>
      <c r="L44" s="205">
        <f t="shared" si="9"/>
        <v>1.42</v>
      </c>
      <c r="M44" s="205">
        <f t="shared" si="9"/>
        <v>1.392156862745098</v>
      </c>
      <c r="N44" s="205">
        <f t="shared" si="9"/>
        <v>1.290909090909091</v>
      </c>
      <c r="O44" s="205">
        <f t="shared" si="9"/>
        <v>1.2678571428571428</v>
      </c>
      <c r="P44" s="205">
        <f t="shared" si="9"/>
        <v>1.2347826086956522</v>
      </c>
      <c r="Q44" s="205">
        <f t="shared" si="9"/>
        <v>1.1639344262295082</v>
      </c>
      <c r="R44" s="205">
        <f t="shared" si="9"/>
        <v>1.1639344262295082</v>
      </c>
      <c r="S44" s="205">
        <f t="shared" si="9"/>
        <v>1.1639344262295082</v>
      </c>
      <c r="T44" s="205">
        <f t="shared" si="9"/>
        <v>1.0757575757575757</v>
      </c>
      <c r="U44" s="205">
        <f t="shared" si="9"/>
        <v>1.0757575757575757</v>
      </c>
      <c r="V44" s="205">
        <f>$V$45/V45</f>
        <v>1</v>
      </c>
      <c r="W44" s="205">
        <f t="shared" si="10" ref="W44:AC44">$V$45/W45</f>
        <v>1</v>
      </c>
      <c r="X44" s="205">
        <f t="shared" si="10"/>
        <v>1</v>
      </c>
      <c r="Y44" s="205">
        <f t="shared" si="10"/>
        <v>0.93421052631578949</v>
      </c>
      <c r="Z44" s="205">
        <f t="shared" si="10"/>
        <v>0.93421052631578949</v>
      </c>
      <c r="AA44" s="205">
        <f t="shared" si="10"/>
        <v>0.93421052631578949</v>
      </c>
      <c r="AB44" s="205">
        <f t="shared" si="10"/>
        <v>0.87654320987654322</v>
      </c>
      <c r="AC44" s="205">
        <f t="shared" si="10"/>
        <v>0.87654320987654322</v>
      </c>
      <c r="AD44" s="107"/>
      <c r="AE44" s="68"/>
    </row>
    <row r="45" spans="1:31" ht="15" customHeight="1" thickBot="1">
      <c r="A45" s="786"/>
      <c r="B45" s="778"/>
      <c r="C45" s="77">
        <v>670</v>
      </c>
      <c r="D45" s="77">
        <v>720</v>
      </c>
      <c r="E45" s="77">
        <v>720</v>
      </c>
      <c r="F45" s="77">
        <v>770</v>
      </c>
      <c r="G45" s="77">
        <v>820</v>
      </c>
      <c r="H45" s="77">
        <v>820</v>
      </c>
      <c r="I45" s="77">
        <v>820</v>
      </c>
      <c r="J45" s="77">
        <v>920</v>
      </c>
      <c r="K45" s="77">
        <v>1000</v>
      </c>
      <c r="L45" s="77">
        <v>1000</v>
      </c>
      <c r="M45" s="77">
        <v>1020</v>
      </c>
      <c r="N45" s="77">
        <v>1100</v>
      </c>
      <c r="O45" s="77">
        <v>1120</v>
      </c>
      <c r="P45" s="77">
        <v>1150</v>
      </c>
      <c r="Q45" s="77">
        <v>1220</v>
      </c>
      <c r="R45" s="77">
        <v>1220</v>
      </c>
      <c r="S45" s="77">
        <v>1220</v>
      </c>
      <c r="T45" s="77">
        <v>1320</v>
      </c>
      <c r="U45" s="77">
        <v>1320</v>
      </c>
      <c r="V45" s="77">
        <v>1420</v>
      </c>
      <c r="W45" s="77">
        <v>1420</v>
      </c>
      <c r="X45" s="77">
        <v>1420</v>
      </c>
      <c r="Y45" s="77">
        <v>1520</v>
      </c>
      <c r="Z45" s="77">
        <v>1520</v>
      </c>
      <c r="AA45" s="77">
        <v>1520</v>
      </c>
      <c r="AB45" s="77">
        <v>1620</v>
      </c>
      <c r="AC45" s="104">
        <v>1620</v>
      </c>
      <c r="AD45" s="107" t="s">
        <v>603</v>
      </c>
      <c r="AE45" s="68"/>
    </row>
    <row r="46" spans="1:31" ht="15" customHeight="1">
      <c r="A46" s="754" t="s">
        <v>604</v>
      </c>
      <c r="B46" s="756" t="s">
        <v>605</v>
      </c>
      <c r="C46" s="745" t="s">
        <v>590</v>
      </c>
      <c r="D46" s="746"/>
      <c r="E46" s="746"/>
      <c r="F46" s="746"/>
      <c r="G46" s="746"/>
      <c r="H46" s="746"/>
      <c r="I46" s="746"/>
      <c r="J46" s="746"/>
      <c r="K46" s="746"/>
      <c r="L46" s="746"/>
      <c r="M46" s="746"/>
      <c r="N46" s="746"/>
      <c r="O46" s="746"/>
      <c r="P46" s="746"/>
      <c r="Q46" s="747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120"/>
      <c r="AD46" s="107"/>
      <c r="AE46" s="68">
        <v>200</v>
      </c>
    </row>
    <row r="47" spans="1:31" ht="15" customHeight="1">
      <c r="A47" s="782"/>
      <c r="B47" s="638"/>
      <c r="C47" s="748"/>
      <c r="D47" s="749"/>
      <c r="E47" s="749"/>
      <c r="F47" s="749"/>
      <c r="G47" s="749"/>
      <c r="H47" s="749"/>
      <c r="I47" s="749"/>
      <c r="J47" s="749"/>
      <c r="K47" s="749"/>
      <c r="L47" s="749"/>
      <c r="M47" s="749"/>
      <c r="N47" s="749"/>
      <c r="O47" s="749"/>
      <c r="P47" s="749"/>
      <c r="Q47" s="750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13"/>
      <c r="AD47" s="107"/>
      <c r="AE47" s="68"/>
    </row>
    <row r="48" spans="1:31" ht="15" customHeight="1">
      <c r="A48" s="782"/>
      <c r="B48" s="638"/>
      <c r="C48" s="748"/>
      <c r="D48" s="749"/>
      <c r="E48" s="749"/>
      <c r="F48" s="749"/>
      <c r="G48" s="749"/>
      <c r="H48" s="749"/>
      <c r="I48" s="749"/>
      <c r="J48" s="749"/>
      <c r="K48" s="749"/>
      <c r="L48" s="749"/>
      <c r="M48" s="749"/>
      <c r="N48" s="749"/>
      <c r="O48" s="749"/>
      <c r="P48" s="749"/>
      <c r="Q48" s="750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13"/>
      <c r="AD48" s="107"/>
      <c r="AE48" s="68"/>
    </row>
    <row r="49" spans="1:31" ht="15" customHeight="1" thickBot="1">
      <c r="A49" s="755"/>
      <c r="B49" s="757"/>
      <c r="C49" s="742"/>
      <c r="D49" s="743"/>
      <c r="E49" s="743"/>
      <c r="F49" s="743"/>
      <c r="G49" s="743"/>
      <c r="H49" s="743"/>
      <c r="I49" s="743"/>
      <c r="J49" s="743"/>
      <c r="K49" s="743"/>
      <c r="L49" s="743"/>
      <c r="M49" s="743"/>
      <c r="N49" s="743"/>
      <c r="O49" s="743"/>
      <c r="P49" s="743"/>
      <c r="Q49" s="833"/>
      <c r="R49" s="77">
        <v>720</v>
      </c>
      <c r="S49" s="77">
        <v>720</v>
      </c>
      <c r="T49" s="77">
        <v>720</v>
      </c>
      <c r="U49" s="77">
        <v>720</v>
      </c>
      <c r="V49" s="77">
        <v>720</v>
      </c>
      <c r="W49" s="77">
        <v>720</v>
      </c>
      <c r="X49" s="77">
        <v>720</v>
      </c>
      <c r="Y49" s="77">
        <v>1020</v>
      </c>
      <c r="Z49" s="77">
        <v>1020</v>
      </c>
      <c r="AA49" s="77">
        <v>1020</v>
      </c>
      <c r="AB49" s="77">
        <v>1020</v>
      </c>
      <c r="AC49" s="104">
        <v>1020</v>
      </c>
      <c r="AD49" s="292" t="s">
        <v>593</v>
      </c>
      <c r="AE49" s="68"/>
    </row>
    <row r="50" spans="1:31" ht="15" customHeight="1">
      <c r="A50" s="754" t="s">
        <v>606</v>
      </c>
      <c r="B50" s="756" t="s">
        <v>607</v>
      </c>
      <c r="C50" s="745" t="s">
        <v>590</v>
      </c>
      <c r="D50" s="746"/>
      <c r="E50" s="746"/>
      <c r="F50" s="746"/>
      <c r="G50" s="746"/>
      <c r="H50" s="746"/>
      <c r="I50" s="746"/>
      <c r="J50" s="746"/>
      <c r="K50" s="746"/>
      <c r="L50" s="746"/>
      <c r="M50" s="746"/>
      <c r="N50" s="746"/>
      <c r="O50" s="746"/>
      <c r="P50" s="746"/>
      <c r="Q50" s="747"/>
      <c r="R50" s="89">
        <v>5</v>
      </c>
      <c r="S50" s="89">
        <v>5</v>
      </c>
      <c r="T50" s="89">
        <v>5</v>
      </c>
      <c r="U50" s="89">
        <v>5</v>
      </c>
      <c r="V50" s="89">
        <v>5</v>
      </c>
      <c r="W50" s="89">
        <v>5</v>
      </c>
      <c r="X50" s="89">
        <v>5</v>
      </c>
      <c r="Y50" s="89">
        <v>4</v>
      </c>
      <c r="Z50" s="89">
        <v>4</v>
      </c>
      <c r="AA50" s="89">
        <v>4</v>
      </c>
      <c r="AB50" s="89">
        <v>4</v>
      </c>
      <c r="AC50" s="120">
        <v>4</v>
      </c>
      <c r="AD50" s="107" t="s">
        <v>376</v>
      </c>
      <c r="AE50" s="68">
        <v>200</v>
      </c>
    </row>
    <row r="51" spans="1:31" ht="15" customHeight="1">
      <c r="A51" s="782"/>
      <c r="B51" s="638"/>
      <c r="C51" s="748"/>
      <c r="D51" s="749"/>
      <c r="E51" s="749"/>
      <c r="F51" s="749"/>
      <c r="G51" s="749"/>
      <c r="H51" s="749"/>
      <c r="I51" s="749"/>
      <c r="J51" s="749"/>
      <c r="K51" s="749"/>
      <c r="L51" s="749"/>
      <c r="M51" s="749"/>
      <c r="N51" s="749"/>
      <c r="O51" s="749"/>
      <c r="P51" s="749"/>
      <c r="Q51" s="750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13"/>
      <c r="AD51" s="107"/>
      <c r="AE51" s="68"/>
    </row>
    <row r="52" spans="1:31" ht="15" customHeight="1" thickBot="1">
      <c r="A52" s="755"/>
      <c r="B52" s="757"/>
      <c r="C52" s="742"/>
      <c r="D52" s="743"/>
      <c r="E52" s="743"/>
      <c r="F52" s="743"/>
      <c r="G52" s="743"/>
      <c r="H52" s="743"/>
      <c r="I52" s="743"/>
      <c r="J52" s="743"/>
      <c r="K52" s="743"/>
      <c r="L52" s="743"/>
      <c r="M52" s="743"/>
      <c r="N52" s="743"/>
      <c r="O52" s="743"/>
      <c r="P52" s="743"/>
      <c r="Q52" s="833"/>
      <c r="R52" s="77">
        <v>720</v>
      </c>
      <c r="S52" s="77">
        <v>720</v>
      </c>
      <c r="T52" s="77">
        <v>720</v>
      </c>
      <c r="U52" s="77">
        <v>720</v>
      </c>
      <c r="V52" s="77">
        <v>720</v>
      </c>
      <c r="W52" s="77">
        <v>720</v>
      </c>
      <c r="X52" s="77">
        <v>720</v>
      </c>
      <c r="Y52" s="77">
        <v>1020</v>
      </c>
      <c r="Z52" s="77">
        <v>1020</v>
      </c>
      <c r="AA52" s="77">
        <v>1020</v>
      </c>
      <c r="AB52" s="77">
        <v>1020</v>
      </c>
      <c r="AC52" s="104">
        <v>1020</v>
      </c>
      <c r="AD52" s="292" t="s">
        <v>593</v>
      </c>
      <c r="AE52" s="68"/>
    </row>
    <row r="53" spans="1:31" ht="15" customHeight="1">
      <c r="A53" s="754" t="s">
        <v>608</v>
      </c>
      <c r="B53" s="756" t="s">
        <v>609</v>
      </c>
      <c r="C53" s="745" t="s">
        <v>590</v>
      </c>
      <c r="D53" s="746"/>
      <c r="E53" s="746"/>
      <c r="F53" s="746"/>
      <c r="G53" s="746"/>
      <c r="H53" s="746"/>
      <c r="I53" s="746"/>
      <c r="J53" s="746"/>
      <c r="K53" s="746"/>
      <c r="L53" s="746"/>
      <c r="M53" s="746"/>
      <c r="N53" s="746"/>
      <c r="O53" s="746"/>
      <c r="P53" s="746"/>
      <c r="Q53" s="747"/>
      <c r="R53" s="89">
        <v>5</v>
      </c>
      <c r="S53" s="89">
        <v>5</v>
      </c>
      <c r="T53" s="89">
        <v>5</v>
      </c>
      <c r="U53" s="89">
        <v>5</v>
      </c>
      <c r="V53" s="89">
        <v>5</v>
      </c>
      <c r="W53" s="89">
        <v>5</v>
      </c>
      <c r="X53" s="89">
        <v>5</v>
      </c>
      <c r="Y53" s="89">
        <v>5</v>
      </c>
      <c r="Z53" s="89">
        <v>5</v>
      </c>
      <c r="AA53" s="89">
        <v>5</v>
      </c>
      <c r="AB53" s="89">
        <v>5</v>
      </c>
      <c r="AC53" s="120">
        <v>5</v>
      </c>
      <c r="AD53" s="107" t="s">
        <v>376</v>
      </c>
      <c r="AE53" s="68">
        <v>200</v>
      </c>
    </row>
    <row r="54" spans="1:31" ht="15" customHeight="1">
      <c r="A54" s="782"/>
      <c r="B54" s="638"/>
      <c r="C54" s="748"/>
      <c r="D54" s="749"/>
      <c r="E54" s="749"/>
      <c r="F54" s="749"/>
      <c r="G54" s="749"/>
      <c r="H54" s="749"/>
      <c r="I54" s="749"/>
      <c r="J54" s="749"/>
      <c r="K54" s="749"/>
      <c r="L54" s="749"/>
      <c r="M54" s="749"/>
      <c r="N54" s="749"/>
      <c r="O54" s="749"/>
      <c r="P54" s="749"/>
      <c r="Q54" s="750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13"/>
      <c r="AD54" s="107"/>
      <c r="AE54" s="68"/>
    </row>
    <row r="55" spans="1:31" ht="15" customHeight="1" thickBot="1">
      <c r="A55" s="755"/>
      <c r="B55" s="757"/>
      <c r="C55" s="742"/>
      <c r="D55" s="743"/>
      <c r="E55" s="743"/>
      <c r="F55" s="743"/>
      <c r="G55" s="743"/>
      <c r="H55" s="743"/>
      <c r="I55" s="743"/>
      <c r="J55" s="743"/>
      <c r="K55" s="743"/>
      <c r="L55" s="743"/>
      <c r="M55" s="743"/>
      <c r="N55" s="743"/>
      <c r="O55" s="743"/>
      <c r="P55" s="743"/>
      <c r="Q55" s="833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104"/>
      <c r="AD55" s="107"/>
      <c r="AE55" s="68"/>
    </row>
    <row r="56" spans="1:31" ht="15.75">
      <c r="A56" s="754" t="s">
        <v>610</v>
      </c>
      <c r="B56" s="756" t="s">
        <v>611</v>
      </c>
      <c r="C56" s="78">
        <f t="shared" si="11" ref="C56:P56">30*2/60*(C59/$Q$59)</f>
        <v>0.80377358490566042</v>
      </c>
      <c r="D56" s="89">
        <f t="shared" si="11"/>
        <v>1</v>
      </c>
      <c r="E56" s="89">
        <f t="shared" si="11"/>
        <v>1</v>
      </c>
      <c r="F56" s="89">
        <f t="shared" si="11"/>
        <v>1</v>
      </c>
      <c r="G56" s="89">
        <f t="shared" si="11"/>
        <v>1</v>
      </c>
      <c r="H56" s="89">
        <f t="shared" si="11"/>
        <v>1</v>
      </c>
      <c r="I56" s="89">
        <f t="shared" si="11"/>
        <v>1</v>
      </c>
      <c r="J56" s="89">
        <f t="shared" si="11"/>
        <v>1</v>
      </c>
      <c r="K56" s="89">
        <f t="shared" si="11"/>
        <v>1</v>
      </c>
      <c r="L56" s="89">
        <f t="shared" si="11"/>
        <v>1</v>
      </c>
      <c r="M56" s="89">
        <f t="shared" si="11"/>
        <v>1</v>
      </c>
      <c r="N56" s="89">
        <f t="shared" si="11"/>
        <v>1</v>
      </c>
      <c r="O56" s="89">
        <f t="shared" si="11"/>
        <v>1</v>
      </c>
      <c r="P56" s="89">
        <f t="shared" si="11"/>
        <v>1</v>
      </c>
      <c r="Q56" s="89">
        <f>30*2/60*(Q59/$Q$59)</f>
        <v>1</v>
      </c>
      <c r="R56" s="745" t="s">
        <v>590</v>
      </c>
      <c r="S56" s="746"/>
      <c r="T56" s="746"/>
      <c r="U56" s="746"/>
      <c r="V56" s="746"/>
      <c r="W56" s="746"/>
      <c r="X56" s="746"/>
      <c r="Y56" s="746"/>
      <c r="Z56" s="746"/>
      <c r="AA56" s="746"/>
      <c r="AB56" s="746"/>
      <c r="AC56" s="761"/>
      <c r="AD56" s="107" t="s">
        <v>393</v>
      </c>
      <c r="AE56" s="68">
        <v>200</v>
      </c>
    </row>
    <row r="57" spans="1:31" ht="15.75">
      <c r="A57" s="782"/>
      <c r="B57" s="638"/>
      <c r="C57" s="75">
        <f t="shared" si="12" ref="C57:P57">C56*$AE$56</f>
        <v>160.75471698113208</v>
      </c>
      <c r="D57" s="13">
        <f t="shared" si="12"/>
        <v>200</v>
      </c>
      <c r="E57" s="13">
        <f t="shared" si="12"/>
        <v>200</v>
      </c>
      <c r="F57" s="13">
        <f t="shared" si="12"/>
        <v>200</v>
      </c>
      <c r="G57" s="13">
        <f t="shared" si="12"/>
        <v>200</v>
      </c>
      <c r="H57" s="13">
        <f t="shared" si="12"/>
        <v>200</v>
      </c>
      <c r="I57" s="13">
        <f t="shared" si="12"/>
        <v>200</v>
      </c>
      <c r="J57" s="13">
        <f t="shared" si="12"/>
        <v>200</v>
      </c>
      <c r="K57" s="13">
        <f t="shared" si="12"/>
        <v>200</v>
      </c>
      <c r="L57" s="13">
        <f t="shared" si="12"/>
        <v>200</v>
      </c>
      <c r="M57" s="13">
        <f t="shared" si="12"/>
        <v>200</v>
      </c>
      <c r="N57" s="13">
        <f t="shared" si="12"/>
        <v>200</v>
      </c>
      <c r="O57" s="13">
        <f t="shared" si="12"/>
        <v>200</v>
      </c>
      <c r="P57" s="13">
        <f t="shared" si="12"/>
        <v>200</v>
      </c>
      <c r="Q57" s="13">
        <f>Q56*$AE$56</f>
        <v>200</v>
      </c>
      <c r="R57" s="748"/>
      <c r="S57" s="749"/>
      <c r="T57" s="749"/>
      <c r="U57" s="749"/>
      <c r="V57" s="749"/>
      <c r="W57" s="749"/>
      <c r="X57" s="749"/>
      <c r="Y57" s="749"/>
      <c r="Z57" s="749"/>
      <c r="AA57" s="749"/>
      <c r="AB57" s="749"/>
      <c r="AC57" s="803"/>
      <c r="AD57" s="107" t="s">
        <v>377</v>
      </c>
      <c r="AE57" s="68"/>
    </row>
    <row r="58" spans="1:31" ht="15.75">
      <c r="A58" s="782"/>
      <c r="B58" s="638"/>
      <c r="C58" s="75">
        <f t="shared" si="13" ref="C58:P58">$AC$2*2/C56</f>
        <v>24.88262910798122</v>
      </c>
      <c r="D58" s="13">
        <f t="shared" si="13"/>
        <v>20</v>
      </c>
      <c r="E58" s="13">
        <f t="shared" si="13"/>
        <v>20</v>
      </c>
      <c r="F58" s="13">
        <f t="shared" si="13"/>
        <v>20</v>
      </c>
      <c r="G58" s="13">
        <f t="shared" si="13"/>
        <v>20</v>
      </c>
      <c r="H58" s="13">
        <f t="shared" si="13"/>
        <v>20</v>
      </c>
      <c r="I58" s="13">
        <f t="shared" si="13"/>
        <v>20</v>
      </c>
      <c r="J58" s="13">
        <f t="shared" si="13"/>
        <v>20</v>
      </c>
      <c r="K58" s="13">
        <f t="shared" si="13"/>
        <v>20</v>
      </c>
      <c r="L58" s="13">
        <f t="shared" si="13"/>
        <v>20</v>
      </c>
      <c r="M58" s="13">
        <f t="shared" si="13"/>
        <v>20</v>
      </c>
      <c r="N58" s="13">
        <f t="shared" si="13"/>
        <v>20</v>
      </c>
      <c r="O58" s="13">
        <f t="shared" si="13"/>
        <v>20</v>
      </c>
      <c r="P58" s="13">
        <f t="shared" si="13"/>
        <v>20</v>
      </c>
      <c r="Q58" s="13">
        <f>$AC$2*2/Q56</f>
        <v>20</v>
      </c>
      <c r="R58" s="748"/>
      <c r="S58" s="749"/>
      <c r="T58" s="749"/>
      <c r="U58" s="749"/>
      <c r="V58" s="749"/>
      <c r="W58" s="749"/>
      <c r="X58" s="749"/>
      <c r="Y58" s="749"/>
      <c r="Z58" s="749"/>
      <c r="AA58" s="749"/>
      <c r="AB58" s="749"/>
      <c r="AC58" s="803"/>
      <c r="AD58" s="107" t="s">
        <v>376</v>
      </c>
      <c r="AE58" s="68"/>
    </row>
    <row r="59" spans="1:31" ht="15.75" thickBot="1">
      <c r="A59" s="755"/>
      <c r="B59" s="757"/>
      <c r="C59" s="77">
        <v>426</v>
      </c>
      <c r="D59" s="77">
        <v>530</v>
      </c>
      <c r="E59" s="77">
        <v>530</v>
      </c>
      <c r="F59" s="77">
        <v>530</v>
      </c>
      <c r="G59" s="77">
        <v>530</v>
      </c>
      <c r="H59" s="77">
        <v>530</v>
      </c>
      <c r="I59" s="77">
        <v>530</v>
      </c>
      <c r="J59" s="77">
        <v>530</v>
      </c>
      <c r="K59" s="77">
        <v>530</v>
      </c>
      <c r="L59" s="77">
        <v>530</v>
      </c>
      <c r="M59" s="77">
        <v>530</v>
      </c>
      <c r="N59" s="77">
        <v>530</v>
      </c>
      <c r="O59" s="77">
        <v>530</v>
      </c>
      <c r="P59" s="77">
        <v>530</v>
      </c>
      <c r="Q59" s="77">
        <v>530</v>
      </c>
      <c r="R59" s="742"/>
      <c r="S59" s="743"/>
      <c r="T59" s="743"/>
      <c r="U59" s="743"/>
      <c r="V59" s="743"/>
      <c r="W59" s="743"/>
      <c r="X59" s="743"/>
      <c r="Y59" s="743"/>
      <c r="Z59" s="743"/>
      <c r="AA59" s="743"/>
      <c r="AB59" s="743"/>
      <c r="AC59" s="744"/>
      <c r="AD59" s="292" t="s">
        <v>593</v>
      </c>
      <c r="AE59" s="68"/>
    </row>
    <row r="60" spans="1:31" ht="30.75" thickBot="1">
      <c r="A60" s="302" t="s">
        <v>612</v>
      </c>
      <c r="B60" s="76" t="s">
        <v>613</v>
      </c>
      <c r="C60" s="198"/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303"/>
      <c r="S60" s="216"/>
      <c r="T60" s="216"/>
      <c r="U60" s="216"/>
      <c r="V60" s="216"/>
      <c r="W60" s="216"/>
      <c r="X60" s="216"/>
      <c r="Y60" s="216"/>
      <c r="Z60" s="216"/>
      <c r="AA60" s="216"/>
      <c r="AB60" s="216"/>
      <c r="AC60" s="217"/>
      <c r="AD60" s="107"/>
      <c r="AE60" s="68"/>
    </row>
    <row r="61" spans="1:31" ht="30.75" thickBot="1">
      <c r="A61" s="258" t="s">
        <v>614</v>
      </c>
      <c r="B61" s="91" t="s">
        <v>615</v>
      </c>
      <c r="C61" s="274"/>
      <c r="D61" s="274"/>
      <c r="E61" s="274"/>
      <c r="F61" s="274"/>
      <c r="G61" s="274"/>
      <c r="H61" s="274"/>
      <c r="I61" s="274"/>
      <c r="J61" s="274"/>
      <c r="K61" s="274"/>
      <c r="L61" s="274"/>
      <c r="M61" s="274"/>
      <c r="N61" s="274"/>
      <c r="O61" s="274"/>
      <c r="P61" s="274"/>
      <c r="Q61" s="274"/>
      <c r="R61" s="304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277"/>
      <c r="AD61" s="107"/>
      <c r="AE61" s="68">
        <v>138</v>
      </c>
    </row>
    <row r="62" spans="1:31" ht="15.75">
      <c r="A62" s="754" t="s">
        <v>141</v>
      </c>
      <c r="B62" s="756" t="s">
        <v>311</v>
      </c>
      <c r="C62" s="837" t="s">
        <v>616</v>
      </c>
      <c r="D62" s="89"/>
      <c r="E62" s="89"/>
      <c r="F62" s="837" t="s">
        <v>616</v>
      </c>
      <c r="G62" s="89"/>
      <c r="H62" s="89"/>
      <c r="I62" s="89"/>
      <c r="J62" s="837" t="s">
        <v>616</v>
      </c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120"/>
      <c r="AD62" s="107"/>
      <c r="AE62" s="68">
        <v>200</v>
      </c>
    </row>
    <row r="63" spans="1:31" ht="15.75">
      <c r="A63" s="782"/>
      <c r="B63" s="638"/>
      <c r="C63" s="838"/>
      <c r="D63" s="13"/>
      <c r="E63" s="13"/>
      <c r="F63" s="838"/>
      <c r="G63" s="13"/>
      <c r="H63" s="13"/>
      <c r="I63" s="13"/>
      <c r="J63" s="838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13"/>
      <c r="AD63" s="107"/>
      <c r="AE63" s="68"/>
    </row>
    <row r="64" spans="1:31" ht="15.75" thickBot="1">
      <c r="A64" s="755"/>
      <c r="B64" s="757"/>
      <c r="C64" s="839"/>
      <c r="D64" s="77"/>
      <c r="E64" s="77"/>
      <c r="F64" s="839"/>
      <c r="G64" s="77"/>
      <c r="H64" s="77"/>
      <c r="I64" s="77"/>
      <c r="J64" s="839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104"/>
      <c r="AD64" s="107"/>
      <c r="AE64" s="68"/>
    </row>
    <row r="65" spans="1:31" ht="15.75">
      <c r="A65" s="754" t="s">
        <v>143</v>
      </c>
      <c r="B65" s="756" t="s">
        <v>144</v>
      </c>
      <c r="C65" s="79">
        <f>36/60</f>
        <v>0.60</v>
      </c>
      <c r="D65" s="79">
        <f>38/60</f>
        <v>0.6333333333333333</v>
      </c>
      <c r="E65" s="79">
        <f t="shared" si="14" ref="E65:F65">38/60</f>
        <v>0.6333333333333333</v>
      </c>
      <c r="F65" s="79">
        <f t="shared" si="14"/>
        <v>0.6333333333333333</v>
      </c>
      <c r="G65" s="79">
        <f>41/60</f>
        <v>0.68333333333333335</v>
      </c>
      <c r="H65" s="79">
        <f t="shared" si="15" ref="H65:I65">41/60</f>
        <v>0.68333333333333335</v>
      </c>
      <c r="I65" s="79">
        <f t="shared" si="15"/>
        <v>0.68333333333333335</v>
      </c>
      <c r="J65" s="79">
        <f>46/60</f>
        <v>0.76666666666666672</v>
      </c>
      <c r="K65" s="79">
        <f>51/60</f>
        <v>0.85</v>
      </c>
      <c r="L65" s="79">
        <f>51/60</f>
        <v>0.85</v>
      </c>
      <c r="M65" s="89">
        <f>52/60</f>
        <v>0.8666666666666667</v>
      </c>
      <c r="N65" s="79">
        <f>56/60</f>
        <v>0.93333333333333335</v>
      </c>
      <c r="O65" s="79">
        <f>58/60</f>
        <v>0.96666666666666667</v>
      </c>
      <c r="P65" s="79">
        <f>58/60</f>
        <v>0.96666666666666667</v>
      </c>
      <c r="Q65" s="79">
        <f>61/60</f>
        <v>1.0166666666666666</v>
      </c>
      <c r="R65" s="79">
        <f t="shared" si="16" ref="R65:S65">61/60</f>
        <v>1.0166666666666666</v>
      </c>
      <c r="S65" s="79">
        <f t="shared" si="16"/>
        <v>1.0166666666666666</v>
      </c>
      <c r="T65" s="79">
        <f>66/60</f>
        <v>1.1000000000000001</v>
      </c>
      <c r="U65" s="79">
        <f>66/60</f>
        <v>1.1000000000000001</v>
      </c>
      <c r="V65" s="79">
        <f>71/60</f>
        <v>1.1833333333333333</v>
      </c>
      <c r="W65" s="79">
        <f>71/60</f>
        <v>1.1833333333333333</v>
      </c>
      <c r="X65" s="79">
        <f>71/60</f>
        <v>1.1833333333333333</v>
      </c>
      <c r="Y65" s="79">
        <f>77/60</f>
        <v>1.2833333333333334</v>
      </c>
      <c r="Z65" s="79">
        <f>77/60</f>
        <v>1.2833333333333334</v>
      </c>
      <c r="AA65" s="79">
        <f>77/60</f>
        <v>1.2833333333333334</v>
      </c>
      <c r="AB65" s="79">
        <f>82/60</f>
        <v>1.3666666666666667</v>
      </c>
      <c r="AC65" s="122">
        <f>82/60</f>
        <v>1.3666666666666667</v>
      </c>
      <c r="AD65" s="107" t="s">
        <v>393</v>
      </c>
      <c r="AE65" s="68">
        <v>200</v>
      </c>
    </row>
    <row r="66" spans="1:31" ht="15.75">
      <c r="A66" s="782"/>
      <c r="B66" s="638"/>
      <c r="C66" s="75">
        <f>C65*$AE$65</f>
        <v>120</v>
      </c>
      <c r="D66" s="75">
        <f>D65*$AE$65</f>
        <v>126.66666666666666</v>
      </c>
      <c r="E66" s="75">
        <f>E65*$AE$65</f>
        <v>126.66666666666666</v>
      </c>
      <c r="F66" s="75">
        <f>F65*$AE$65</f>
        <v>126.66666666666666</v>
      </c>
      <c r="G66" s="75">
        <f>G65*$AE$65</f>
        <v>136.66666666666666</v>
      </c>
      <c r="H66" s="75">
        <f t="shared" si="17" ref="H66:J66">H65*$AE$65</f>
        <v>136.66666666666666</v>
      </c>
      <c r="I66" s="75">
        <f t="shared" si="17"/>
        <v>136.66666666666666</v>
      </c>
      <c r="J66" s="75">
        <f t="shared" si="17"/>
        <v>153.33333333333334</v>
      </c>
      <c r="K66" s="75">
        <f>K65*$AE$65</f>
        <v>170</v>
      </c>
      <c r="L66" s="75">
        <f>L65*$AE$65</f>
        <v>170</v>
      </c>
      <c r="M66" s="75">
        <f t="shared" si="18" ref="M66:AC66">M65*$AE$65</f>
        <v>173.33333333333334</v>
      </c>
      <c r="N66" s="75">
        <f t="shared" si="18"/>
        <v>186.66666666666666</v>
      </c>
      <c r="O66" s="75">
        <f t="shared" si="18"/>
        <v>193.33333333333334</v>
      </c>
      <c r="P66" s="75">
        <f t="shared" si="18"/>
        <v>193.33333333333334</v>
      </c>
      <c r="Q66" s="75">
        <f t="shared" si="18"/>
        <v>203.33333333333331</v>
      </c>
      <c r="R66" s="75">
        <f t="shared" si="18"/>
        <v>203.33333333333331</v>
      </c>
      <c r="S66" s="75">
        <f t="shared" si="18"/>
        <v>203.33333333333331</v>
      </c>
      <c r="T66" s="75">
        <f t="shared" si="18"/>
        <v>220.00000000000003</v>
      </c>
      <c r="U66" s="75">
        <f t="shared" si="18"/>
        <v>220.00000000000003</v>
      </c>
      <c r="V66" s="75">
        <f t="shared" si="18"/>
        <v>236.66666666666666</v>
      </c>
      <c r="W66" s="75">
        <f t="shared" si="18"/>
        <v>236.66666666666666</v>
      </c>
      <c r="X66" s="75">
        <f t="shared" si="18"/>
        <v>236.66666666666666</v>
      </c>
      <c r="Y66" s="75">
        <f t="shared" si="18"/>
        <v>256.66666666666669</v>
      </c>
      <c r="Z66" s="75">
        <f t="shared" si="18"/>
        <v>256.66666666666669</v>
      </c>
      <c r="AA66" s="75">
        <f t="shared" si="18"/>
        <v>256.66666666666669</v>
      </c>
      <c r="AB66" s="75">
        <f t="shared" si="18"/>
        <v>273.33333333333331</v>
      </c>
      <c r="AC66" s="101">
        <f t="shared" si="18"/>
        <v>273.33333333333331</v>
      </c>
      <c r="AD66" s="107" t="s">
        <v>378</v>
      </c>
      <c r="AE66" s="68"/>
    </row>
    <row r="67" spans="1:31" ht="15.75">
      <c r="A67" s="782"/>
      <c r="B67" s="638"/>
      <c r="C67" s="102">
        <f>$AC$2/C65</f>
        <v>16.666666666666668</v>
      </c>
      <c r="D67" s="102">
        <f>$AC$2/D65</f>
        <v>15.789473684210527</v>
      </c>
      <c r="E67" s="102">
        <f>$AC$2/E65</f>
        <v>15.789473684210527</v>
      </c>
      <c r="F67" s="102">
        <f>$AC$2/F65</f>
        <v>15.789473684210527</v>
      </c>
      <c r="G67" s="102">
        <f>$AC$2/G65</f>
        <v>14.634146341463415</v>
      </c>
      <c r="H67" s="102">
        <f t="shared" si="19" ref="H67:J67">$AC$2/H65</f>
        <v>14.634146341463415</v>
      </c>
      <c r="I67" s="102">
        <f t="shared" si="19"/>
        <v>14.634146341463415</v>
      </c>
      <c r="J67" s="102">
        <f t="shared" si="19"/>
        <v>13.043478260869565</v>
      </c>
      <c r="K67" s="102">
        <f>$AC$2/K65</f>
        <v>11.764705882352942</v>
      </c>
      <c r="L67" s="102">
        <f>$AC$2/L65</f>
        <v>11.764705882352942</v>
      </c>
      <c r="M67" s="102">
        <f t="shared" si="20" ref="M67:AC67">$AC$2/M65</f>
        <v>11.538461538461538</v>
      </c>
      <c r="N67" s="102">
        <f t="shared" si="20"/>
        <v>10.714285714285714</v>
      </c>
      <c r="O67" s="102">
        <f t="shared" si="20"/>
        <v>10.344827586206897</v>
      </c>
      <c r="P67" s="102">
        <f t="shared" si="20"/>
        <v>10.344827586206897</v>
      </c>
      <c r="Q67" s="102">
        <f t="shared" si="20"/>
        <v>9.8360655737704921</v>
      </c>
      <c r="R67" s="102">
        <f t="shared" si="20"/>
        <v>9.8360655737704921</v>
      </c>
      <c r="S67" s="102">
        <f t="shared" si="20"/>
        <v>9.8360655737704921</v>
      </c>
      <c r="T67" s="102">
        <f t="shared" si="20"/>
        <v>9.0909090909090899</v>
      </c>
      <c r="U67" s="102">
        <f t="shared" si="20"/>
        <v>9.0909090909090899</v>
      </c>
      <c r="V67" s="102">
        <f t="shared" si="20"/>
        <v>8.4507042253521121</v>
      </c>
      <c r="W67" s="102">
        <f t="shared" si="20"/>
        <v>8.4507042253521121</v>
      </c>
      <c r="X67" s="102">
        <f t="shared" si="20"/>
        <v>8.4507042253521121</v>
      </c>
      <c r="Y67" s="102">
        <f t="shared" si="20"/>
        <v>7.7922077922077913</v>
      </c>
      <c r="Z67" s="102">
        <f t="shared" si="20"/>
        <v>7.7922077922077913</v>
      </c>
      <c r="AA67" s="102">
        <f t="shared" si="20"/>
        <v>7.7922077922077913</v>
      </c>
      <c r="AB67" s="102">
        <f t="shared" si="20"/>
        <v>7.3170731707317076</v>
      </c>
      <c r="AC67" s="103">
        <f t="shared" si="20"/>
        <v>7.3170731707317076</v>
      </c>
      <c r="AD67" s="107" t="s">
        <v>376</v>
      </c>
      <c r="AE67" s="68"/>
    </row>
    <row r="68" spans="1:31" ht="15.75" thickBot="1">
      <c r="A68" s="755"/>
      <c r="B68" s="757"/>
      <c r="C68" s="77">
        <v>670</v>
      </c>
      <c r="D68" s="77">
        <v>720</v>
      </c>
      <c r="E68" s="77">
        <v>720</v>
      </c>
      <c r="F68" s="77">
        <v>770</v>
      </c>
      <c r="G68" s="77">
        <v>820</v>
      </c>
      <c r="H68" s="77">
        <v>820</v>
      </c>
      <c r="I68" s="77">
        <v>820</v>
      </c>
      <c r="J68" s="77">
        <v>920</v>
      </c>
      <c r="K68" s="77">
        <v>1000</v>
      </c>
      <c r="L68" s="77">
        <v>1000</v>
      </c>
      <c r="M68" s="77">
        <v>1020</v>
      </c>
      <c r="N68" s="77">
        <v>1100</v>
      </c>
      <c r="O68" s="77">
        <v>1120</v>
      </c>
      <c r="P68" s="77">
        <v>1150</v>
      </c>
      <c r="Q68" s="77">
        <v>1220</v>
      </c>
      <c r="R68" s="77">
        <v>1220</v>
      </c>
      <c r="S68" s="77">
        <v>1220</v>
      </c>
      <c r="T68" s="77">
        <v>1320</v>
      </c>
      <c r="U68" s="77">
        <v>1320</v>
      </c>
      <c r="V68" s="77">
        <v>1420</v>
      </c>
      <c r="W68" s="77">
        <v>1420</v>
      </c>
      <c r="X68" s="77">
        <v>1420</v>
      </c>
      <c r="Y68" s="77">
        <v>1520</v>
      </c>
      <c r="Z68" s="77">
        <v>1520</v>
      </c>
      <c r="AA68" s="77">
        <v>1520</v>
      </c>
      <c r="AB68" s="77">
        <v>1620</v>
      </c>
      <c r="AC68" s="104">
        <v>1620</v>
      </c>
      <c r="AD68" s="107" t="s">
        <v>603</v>
      </c>
      <c r="AE68" s="68"/>
    </row>
    <row r="69" spans="1:31" ht="15.75">
      <c r="A69" s="765" t="s">
        <v>146</v>
      </c>
      <c r="B69" s="756" t="s">
        <v>118</v>
      </c>
      <c r="C69" s="745" t="s">
        <v>617</v>
      </c>
      <c r="D69" s="746"/>
      <c r="E69" s="746"/>
      <c r="F69" s="746"/>
      <c r="G69" s="746"/>
      <c r="H69" s="746"/>
      <c r="I69" s="746"/>
      <c r="J69" s="746"/>
      <c r="K69" s="746"/>
      <c r="L69" s="746"/>
      <c r="M69" s="746"/>
      <c r="N69" s="746"/>
      <c r="O69" s="746"/>
      <c r="P69" s="746"/>
      <c r="Q69" s="746"/>
      <c r="R69" s="746"/>
      <c r="S69" s="746"/>
      <c r="T69" s="746"/>
      <c r="U69" s="746"/>
      <c r="V69" s="746"/>
      <c r="W69" s="746"/>
      <c r="X69" s="746"/>
      <c r="Y69" s="746"/>
      <c r="Z69" s="746"/>
      <c r="AA69" s="746"/>
      <c r="AB69" s="746"/>
      <c r="AC69" s="761"/>
      <c r="AD69" s="107"/>
      <c r="AE69" s="68">
        <v>200</v>
      </c>
    </row>
    <row r="70" spans="1:31" ht="15.75">
      <c r="A70" s="766"/>
      <c r="B70" s="638"/>
      <c r="C70" s="748"/>
      <c r="D70" s="749"/>
      <c r="E70" s="749"/>
      <c r="F70" s="749"/>
      <c r="G70" s="749"/>
      <c r="H70" s="749"/>
      <c r="I70" s="749"/>
      <c r="J70" s="749"/>
      <c r="K70" s="749"/>
      <c r="L70" s="749"/>
      <c r="M70" s="749"/>
      <c r="N70" s="749"/>
      <c r="O70" s="749"/>
      <c r="P70" s="749"/>
      <c r="Q70" s="749"/>
      <c r="R70" s="749"/>
      <c r="S70" s="749"/>
      <c r="T70" s="749"/>
      <c r="U70" s="749"/>
      <c r="V70" s="749"/>
      <c r="W70" s="749"/>
      <c r="X70" s="749"/>
      <c r="Y70" s="749"/>
      <c r="Z70" s="749"/>
      <c r="AA70" s="749"/>
      <c r="AB70" s="749"/>
      <c r="AC70" s="803"/>
      <c r="AD70" s="107"/>
      <c r="AE70" s="68"/>
    </row>
    <row r="71" spans="1:31" ht="15.75">
      <c r="A71" s="766"/>
      <c r="B71" s="638"/>
      <c r="C71" s="748"/>
      <c r="D71" s="749"/>
      <c r="E71" s="749"/>
      <c r="F71" s="749"/>
      <c r="G71" s="749"/>
      <c r="H71" s="749"/>
      <c r="I71" s="749"/>
      <c r="J71" s="749"/>
      <c r="K71" s="749"/>
      <c r="L71" s="749"/>
      <c r="M71" s="749"/>
      <c r="N71" s="749"/>
      <c r="O71" s="749"/>
      <c r="P71" s="749"/>
      <c r="Q71" s="749"/>
      <c r="R71" s="749"/>
      <c r="S71" s="749"/>
      <c r="T71" s="749"/>
      <c r="U71" s="749"/>
      <c r="V71" s="749"/>
      <c r="W71" s="749"/>
      <c r="X71" s="749"/>
      <c r="Y71" s="749"/>
      <c r="Z71" s="749"/>
      <c r="AA71" s="749"/>
      <c r="AB71" s="749"/>
      <c r="AC71" s="803"/>
      <c r="AD71" s="107"/>
      <c r="AE71" s="68"/>
    </row>
    <row r="72" spans="1:31" ht="15.75" thickBot="1">
      <c r="A72" s="767"/>
      <c r="B72" s="757"/>
      <c r="C72" s="742"/>
      <c r="D72" s="743"/>
      <c r="E72" s="743"/>
      <c r="F72" s="743"/>
      <c r="G72" s="743"/>
      <c r="H72" s="743"/>
      <c r="I72" s="743"/>
      <c r="J72" s="743"/>
      <c r="K72" s="743"/>
      <c r="L72" s="743"/>
      <c r="M72" s="743"/>
      <c r="N72" s="743"/>
      <c r="O72" s="743"/>
      <c r="P72" s="743"/>
      <c r="Q72" s="743"/>
      <c r="R72" s="743"/>
      <c r="S72" s="743"/>
      <c r="T72" s="743"/>
      <c r="U72" s="743"/>
      <c r="V72" s="743"/>
      <c r="W72" s="743"/>
      <c r="X72" s="743"/>
      <c r="Y72" s="743"/>
      <c r="Z72" s="743"/>
      <c r="AA72" s="743"/>
      <c r="AB72" s="743"/>
      <c r="AC72" s="744"/>
      <c r="AD72" s="107"/>
      <c r="AE72" s="68"/>
    </row>
    <row r="73" spans="1:31" ht="15.75">
      <c r="A73" s="754" t="s">
        <v>148</v>
      </c>
      <c r="B73" s="756" t="s">
        <v>149</v>
      </c>
      <c r="C73" s="78">
        <f>C65*$AE$74</f>
        <v>0.39</v>
      </c>
      <c r="D73" s="78">
        <f t="shared" si="21" ref="D73:AC73">D65*$AE$74</f>
        <v>0.41166666666666668</v>
      </c>
      <c r="E73" s="78">
        <f t="shared" si="21"/>
        <v>0.41166666666666668</v>
      </c>
      <c r="F73" s="78">
        <f t="shared" si="21"/>
        <v>0.41166666666666668</v>
      </c>
      <c r="G73" s="78">
        <f t="shared" si="21"/>
        <v>0.44416666666666671</v>
      </c>
      <c r="H73" s="78">
        <f t="shared" si="21"/>
        <v>0.44416666666666671</v>
      </c>
      <c r="I73" s="78">
        <f t="shared" si="21"/>
        <v>0.44416666666666671</v>
      </c>
      <c r="J73" s="78">
        <f t="shared" si="21"/>
        <v>0.49833333333333341</v>
      </c>
      <c r="K73" s="78">
        <f t="shared" si="21"/>
        <v>0.5525</v>
      </c>
      <c r="L73" s="78">
        <f t="shared" si="21"/>
        <v>0.5525</v>
      </c>
      <c r="M73" s="78">
        <f t="shared" si="21"/>
        <v>0.56333333333333335</v>
      </c>
      <c r="N73" s="78">
        <f t="shared" si="21"/>
        <v>0.60666666666666669</v>
      </c>
      <c r="O73" s="78">
        <f t="shared" si="21"/>
        <v>0.62833333333333341</v>
      </c>
      <c r="P73" s="78">
        <f t="shared" si="21"/>
        <v>0.62833333333333341</v>
      </c>
      <c r="Q73" s="78">
        <f t="shared" si="21"/>
        <v>0.66083333333333327</v>
      </c>
      <c r="R73" s="78">
        <f t="shared" si="21"/>
        <v>0.66083333333333327</v>
      </c>
      <c r="S73" s="78">
        <f t="shared" si="21"/>
        <v>0.66083333333333327</v>
      </c>
      <c r="T73" s="78">
        <f t="shared" si="21"/>
        <v>0.71500000000000008</v>
      </c>
      <c r="U73" s="78">
        <f t="shared" si="21"/>
        <v>0.71500000000000008</v>
      </c>
      <c r="V73" s="78">
        <f t="shared" si="21"/>
        <v>0.76916666666666667</v>
      </c>
      <c r="W73" s="78">
        <f t="shared" si="21"/>
        <v>0.76916666666666667</v>
      </c>
      <c r="X73" s="78">
        <f t="shared" si="21"/>
        <v>0.76916666666666667</v>
      </c>
      <c r="Y73" s="78">
        <f t="shared" si="21"/>
        <v>0.83416666666666672</v>
      </c>
      <c r="Z73" s="78">
        <f t="shared" si="21"/>
        <v>0.83416666666666672</v>
      </c>
      <c r="AA73" s="78">
        <f t="shared" si="21"/>
        <v>0.83416666666666672</v>
      </c>
      <c r="AB73" s="78">
        <f t="shared" si="21"/>
        <v>0.88833333333333342</v>
      </c>
      <c r="AC73" s="100">
        <f t="shared" si="21"/>
        <v>0.88833333333333342</v>
      </c>
      <c r="AD73" s="107" t="s">
        <v>393</v>
      </c>
      <c r="AE73" s="68">
        <v>183</v>
      </c>
    </row>
    <row r="74" spans="1:32" ht="15.75">
      <c r="A74" s="782"/>
      <c r="B74" s="638"/>
      <c r="C74" s="75">
        <f>C73*$AE$73</f>
        <v>71.370000000000005</v>
      </c>
      <c r="D74" s="75">
        <f t="shared" si="22" ref="D74:AC74">D73*$AE$73</f>
        <v>75.335000000000008</v>
      </c>
      <c r="E74" s="75">
        <f t="shared" si="22"/>
        <v>75.335000000000008</v>
      </c>
      <c r="F74" s="75">
        <f t="shared" si="22"/>
        <v>75.335000000000008</v>
      </c>
      <c r="G74" s="75">
        <f t="shared" si="22"/>
        <v>81.282500000000013</v>
      </c>
      <c r="H74" s="75">
        <f t="shared" si="22"/>
        <v>81.282500000000013</v>
      </c>
      <c r="I74" s="75">
        <f t="shared" si="22"/>
        <v>81.282500000000013</v>
      </c>
      <c r="J74" s="75">
        <f t="shared" si="22"/>
        <v>91.195</v>
      </c>
      <c r="K74" s="75">
        <f t="shared" si="22"/>
        <v>101.1075</v>
      </c>
      <c r="L74" s="75">
        <f t="shared" si="22"/>
        <v>101.1075</v>
      </c>
      <c r="M74" s="75">
        <f t="shared" si="22"/>
        <v>103.09</v>
      </c>
      <c r="N74" s="75">
        <f t="shared" si="22"/>
        <v>111.02000000000001</v>
      </c>
      <c r="O74" s="75">
        <f t="shared" si="22"/>
        <v>114.98500000000001</v>
      </c>
      <c r="P74" s="75">
        <f t="shared" si="22"/>
        <v>114.98500000000001</v>
      </c>
      <c r="Q74" s="75">
        <f t="shared" si="22"/>
        <v>120.93249999999999</v>
      </c>
      <c r="R74" s="75">
        <f t="shared" si="22"/>
        <v>120.93249999999999</v>
      </c>
      <c r="S74" s="75">
        <f t="shared" si="22"/>
        <v>120.93249999999999</v>
      </c>
      <c r="T74" s="75">
        <f t="shared" si="22"/>
        <v>130.84500000000003</v>
      </c>
      <c r="U74" s="75">
        <f t="shared" si="22"/>
        <v>130.84500000000003</v>
      </c>
      <c r="V74" s="75">
        <f t="shared" si="22"/>
        <v>140.75749999999999</v>
      </c>
      <c r="W74" s="75">
        <f t="shared" si="22"/>
        <v>140.75749999999999</v>
      </c>
      <c r="X74" s="75">
        <f t="shared" si="22"/>
        <v>140.75749999999999</v>
      </c>
      <c r="Y74" s="75">
        <f t="shared" si="22"/>
        <v>152.6525</v>
      </c>
      <c r="Z74" s="75">
        <f t="shared" si="22"/>
        <v>152.6525</v>
      </c>
      <c r="AA74" s="75">
        <f t="shared" si="22"/>
        <v>152.6525</v>
      </c>
      <c r="AB74" s="75">
        <f t="shared" si="22"/>
        <v>162.56500000000003</v>
      </c>
      <c r="AC74" s="101">
        <f t="shared" si="22"/>
        <v>162.56500000000003</v>
      </c>
      <c r="AD74" s="107" t="s">
        <v>378</v>
      </c>
      <c r="AE74" s="68">
        <v>0.65</v>
      </c>
      <c r="AF74" t="s">
        <v>395</v>
      </c>
    </row>
    <row r="75" spans="1:31" ht="15.75">
      <c r="A75" s="782"/>
      <c r="B75" s="638"/>
      <c r="C75" s="75">
        <f>$AC$2/C73</f>
        <v>25.641025641025639</v>
      </c>
      <c r="D75" s="75">
        <f t="shared" si="23" ref="D75:AC75">$AC$2/D73</f>
        <v>24.291497975708502</v>
      </c>
      <c r="E75" s="75">
        <f t="shared" si="23"/>
        <v>24.291497975708502</v>
      </c>
      <c r="F75" s="75">
        <f t="shared" si="23"/>
        <v>24.291497975708502</v>
      </c>
      <c r="G75" s="75">
        <f t="shared" si="23"/>
        <v>22.514071294559098</v>
      </c>
      <c r="H75" s="75">
        <f t="shared" si="23"/>
        <v>22.514071294559098</v>
      </c>
      <c r="I75" s="75">
        <f t="shared" si="23"/>
        <v>22.514071294559098</v>
      </c>
      <c r="J75" s="75">
        <f t="shared" si="23"/>
        <v>20.066889632107021</v>
      </c>
      <c r="K75" s="75">
        <f t="shared" si="23"/>
        <v>18.099547511312217</v>
      </c>
      <c r="L75" s="75">
        <f t="shared" si="23"/>
        <v>18.099547511312217</v>
      </c>
      <c r="M75" s="75">
        <f t="shared" si="23"/>
        <v>17.751479289940828</v>
      </c>
      <c r="N75" s="75">
        <f t="shared" si="23"/>
        <v>16.483516483516482</v>
      </c>
      <c r="O75" s="75">
        <f t="shared" si="23"/>
        <v>15.915119363395224</v>
      </c>
      <c r="P75" s="75">
        <f t="shared" si="23"/>
        <v>15.915119363395224</v>
      </c>
      <c r="Q75" s="75">
        <f t="shared" si="23"/>
        <v>15.132408575031528</v>
      </c>
      <c r="R75" s="75">
        <f t="shared" si="23"/>
        <v>15.132408575031528</v>
      </c>
      <c r="S75" s="75">
        <f t="shared" si="23"/>
        <v>15.132408575031528</v>
      </c>
      <c r="T75" s="75">
        <f t="shared" si="23"/>
        <v>13.986013986013985</v>
      </c>
      <c r="U75" s="75">
        <f t="shared" si="23"/>
        <v>13.986013986013985</v>
      </c>
      <c r="V75" s="75">
        <f t="shared" si="23"/>
        <v>13.001083423618635</v>
      </c>
      <c r="W75" s="75">
        <f t="shared" si="23"/>
        <v>13.001083423618635</v>
      </c>
      <c r="X75" s="75">
        <f t="shared" si="23"/>
        <v>13.001083423618635</v>
      </c>
      <c r="Y75" s="75">
        <f t="shared" si="23"/>
        <v>11.988011988011987</v>
      </c>
      <c r="Z75" s="75">
        <f t="shared" si="23"/>
        <v>11.988011988011987</v>
      </c>
      <c r="AA75" s="75">
        <f t="shared" si="23"/>
        <v>11.988011988011987</v>
      </c>
      <c r="AB75" s="75">
        <f t="shared" si="23"/>
        <v>11.257035647279549</v>
      </c>
      <c r="AC75" s="101">
        <f t="shared" si="23"/>
        <v>11.257035647279549</v>
      </c>
      <c r="AD75" s="107" t="s">
        <v>376</v>
      </c>
      <c r="AE75" s="68"/>
    </row>
    <row r="76" spans="1:31" ht="15.75" thickBot="1">
      <c r="A76" s="755"/>
      <c r="B76" s="757"/>
      <c r="C76" s="77">
        <v>670</v>
      </c>
      <c r="D76" s="77">
        <v>720</v>
      </c>
      <c r="E76" s="77">
        <v>720</v>
      </c>
      <c r="F76" s="77">
        <v>770</v>
      </c>
      <c r="G76" s="77">
        <v>820</v>
      </c>
      <c r="H76" s="77">
        <v>820</v>
      </c>
      <c r="I76" s="77">
        <v>820</v>
      </c>
      <c r="J76" s="77">
        <v>920</v>
      </c>
      <c r="K76" s="77">
        <v>1000</v>
      </c>
      <c r="L76" s="77">
        <v>1000</v>
      </c>
      <c r="M76" s="77">
        <v>1020</v>
      </c>
      <c r="N76" s="77">
        <v>1100</v>
      </c>
      <c r="O76" s="77">
        <v>1120</v>
      </c>
      <c r="P76" s="77">
        <v>1150</v>
      </c>
      <c r="Q76" s="77">
        <v>1220</v>
      </c>
      <c r="R76" s="77">
        <v>1220</v>
      </c>
      <c r="S76" s="77">
        <v>1220</v>
      </c>
      <c r="T76" s="77">
        <v>1320</v>
      </c>
      <c r="U76" s="77">
        <v>1320</v>
      </c>
      <c r="V76" s="77">
        <v>1420</v>
      </c>
      <c r="W76" s="77">
        <v>1420</v>
      </c>
      <c r="X76" s="77">
        <v>1420</v>
      </c>
      <c r="Y76" s="77">
        <v>1520</v>
      </c>
      <c r="Z76" s="77">
        <v>1520</v>
      </c>
      <c r="AA76" s="77">
        <v>1520</v>
      </c>
      <c r="AB76" s="77">
        <v>1620</v>
      </c>
      <c r="AC76" s="104">
        <v>1620</v>
      </c>
      <c r="AD76" s="107" t="s">
        <v>603</v>
      </c>
      <c r="AE76" s="68"/>
    </row>
    <row r="77" spans="1:31" ht="15.75">
      <c r="A77" s="765" t="s">
        <v>150</v>
      </c>
      <c r="B77" s="756" t="s">
        <v>119</v>
      </c>
      <c r="C77" s="305">
        <f t="shared" si="24" ref="C77:AC77">C81/$G$81</f>
        <v>0.64634146341463417</v>
      </c>
      <c r="D77" s="305">
        <f t="shared" si="24"/>
        <v>0.87804878048780488</v>
      </c>
      <c r="E77" s="305">
        <f t="shared" si="24"/>
        <v>0.87804878048780488</v>
      </c>
      <c r="F77" s="305">
        <f t="shared" si="24"/>
        <v>0.93902439024390238</v>
      </c>
      <c r="G77" s="306">
        <f>G81/$G$81</f>
        <v>1</v>
      </c>
      <c r="H77" s="305">
        <f t="shared" si="24"/>
        <v>1</v>
      </c>
      <c r="I77" s="305">
        <f t="shared" si="24"/>
        <v>1</v>
      </c>
      <c r="J77" s="305">
        <f t="shared" si="24"/>
        <v>1.1219512195121952</v>
      </c>
      <c r="K77" s="305">
        <f t="shared" si="24"/>
        <v>1.2195121951219512</v>
      </c>
      <c r="L77" s="305">
        <f t="shared" si="24"/>
        <v>1.2195121951219512</v>
      </c>
      <c r="M77" s="305">
        <f t="shared" si="24"/>
        <v>1.2439024390243902</v>
      </c>
      <c r="N77" s="305">
        <f t="shared" si="24"/>
        <v>1.3414634146341464</v>
      </c>
      <c r="O77" s="305">
        <f t="shared" si="24"/>
        <v>1.3658536585365855</v>
      </c>
      <c r="P77" s="305">
        <f t="shared" si="24"/>
        <v>1.4024390243902438</v>
      </c>
      <c r="Q77" s="305">
        <f t="shared" si="24"/>
        <v>1.4878048780487805</v>
      </c>
      <c r="R77" s="305">
        <f t="shared" si="24"/>
        <v>1.4878048780487805</v>
      </c>
      <c r="S77" s="305">
        <f t="shared" si="24"/>
        <v>1.4878048780487805</v>
      </c>
      <c r="T77" s="305">
        <f t="shared" si="24"/>
        <v>1.6097560975609757</v>
      </c>
      <c r="U77" s="305">
        <f t="shared" si="24"/>
        <v>1.6097560975609757</v>
      </c>
      <c r="V77" s="305">
        <f t="shared" si="24"/>
        <v>1.7317073170731707</v>
      </c>
      <c r="W77" s="305">
        <f t="shared" si="24"/>
        <v>1.7317073170731707</v>
      </c>
      <c r="X77" s="305">
        <f t="shared" si="24"/>
        <v>1.7317073170731707</v>
      </c>
      <c r="Y77" s="305">
        <f t="shared" si="24"/>
        <v>1.8536585365853659</v>
      </c>
      <c r="Z77" s="305">
        <f t="shared" si="24"/>
        <v>1.8536585365853659</v>
      </c>
      <c r="AA77" s="305">
        <f t="shared" si="24"/>
        <v>1.8536585365853659</v>
      </c>
      <c r="AB77" s="305">
        <f t="shared" si="24"/>
        <v>1.975609756097561</v>
      </c>
      <c r="AC77" s="307">
        <f t="shared" si="24"/>
        <v>1.975609756097561</v>
      </c>
      <c r="AD77" s="107" t="s">
        <v>395</v>
      </c>
      <c r="AE77" s="68">
        <v>200</v>
      </c>
    </row>
    <row r="78" spans="1:31" ht="15.75">
      <c r="A78" s="766"/>
      <c r="B78" s="638"/>
      <c r="C78" s="308">
        <f t="shared" si="25" ref="C78:F78">60/60*C77</f>
        <v>0.64634146341463417</v>
      </c>
      <c r="D78" s="308">
        <f t="shared" si="25"/>
        <v>0.87804878048780488</v>
      </c>
      <c r="E78" s="308">
        <f t="shared" si="25"/>
        <v>0.87804878048780488</v>
      </c>
      <c r="F78" s="308">
        <f t="shared" si="25"/>
        <v>0.93902439024390238</v>
      </c>
      <c r="G78" s="308">
        <f>60/60*G77</f>
        <v>1</v>
      </c>
      <c r="H78" s="308">
        <f t="shared" si="26" ref="H78:AC78">60/60*H77</f>
        <v>1</v>
      </c>
      <c r="I78" s="308">
        <f t="shared" si="26"/>
        <v>1</v>
      </c>
      <c r="J78" s="308">
        <f t="shared" si="26"/>
        <v>1.1219512195121952</v>
      </c>
      <c r="K78" s="308">
        <f t="shared" si="26"/>
        <v>1.2195121951219512</v>
      </c>
      <c r="L78" s="308">
        <f t="shared" si="26"/>
        <v>1.2195121951219512</v>
      </c>
      <c r="M78" s="308">
        <f t="shared" si="26"/>
        <v>1.2439024390243902</v>
      </c>
      <c r="N78" s="308">
        <f t="shared" si="26"/>
        <v>1.3414634146341464</v>
      </c>
      <c r="O78" s="308">
        <f t="shared" si="26"/>
        <v>1.3658536585365855</v>
      </c>
      <c r="P78" s="308">
        <f t="shared" si="26"/>
        <v>1.4024390243902438</v>
      </c>
      <c r="Q78" s="308">
        <f t="shared" si="26"/>
        <v>1.4878048780487805</v>
      </c>
      <c r="R78" s="308">
        <f t="shared" si="26"/>
        <v>1.4878048780487805</v>
      </c>
      <c r="S78" s="308">
        <f t="shared" si="26"/>
        <v>1.4878048780487805</v>
      </c>
      <c r="T78" s="308">
        <f t="shared" si="26"/>
        <v>1.6097560975609757</v>
      </c>
      <c r="U78" s="308">
        <f t="shared" si="26"/>
        <v>1.6097560975609757</v>
      </c>
      <c r="V78" s="308">
        <f t="shared" si="26"/>
        <v>1.7317073170731707</v>
      </c>
      <c r="W78" s="308">
        <f t="shared" si="26"/>
        <v>1.7317073170731707</v>
      </c>
      <c r="X78" s="308">
        <f t="shared" si="26"/>
        <v>1.7317073170731707</v>
      </c>
      <c r="Y78" s="308">
        <f t="shared" si="26"/>
        <v>1.8536585365853659</v>
      </c>
      <c r="Z78" s="308">
        <f t="shared" si="26"/>
        <v>1.8536585365853659</v>
      </c>
      <c r="AA78" s="308">
        <f t="shared" si="26"/>
        <v>1.8536585365853659</v>
      </c>
      <c r="AB78" s="308">
        <f t="shared" si="26"/>
        <v>1.975609756097561</v>
      </c>
      <c r="AC78" s="309">
        <f t="shared" si="26"/>
        <v>1.975609756097561</v>
      </c>
      <c r="AD78" s="107" t="s">
        <v>393</v>
      </c>
      <c r="AE78" s="68"/>
    </row>
    <row r="79" spans="1:31" ht="15.75">
      <c r="A79" s="766"/>
      <c r="B79" s="638"/>
      <c r="C79" s="163">
        <f t="shared" si="27" ref="C79:F79">C78*$AE$77*2</f>
        <v>258.53658536585368</v>
      </c>
      <c r="D79" s="163">
        <f t="shared" si="27"/>
        <v>351.21951219512198</v>
      </c>
      <c r="E79" s="163">
        <f t="shared" si="27"/>
        <v>351.21951219512198</v>
      </c>
      <c r="F79" s="163">
        <f t="shared" si="27"/>
        <v>375.60975609756093</v>
      </c>
      <c r="G79" s="138">
        <f>G78*$AE$77*2</f>
        <v>400</v>
      </c>
      <c r="H79" s="163">
        <f t="shared" si="28" ref="H79:AC79">H78*$AE$77*2</f>
        <v>400</v>
      </c>
      <c r="I79" s="163">
        <f t="shared" si="28"/>
        <v>400</v>
      </c>
      <c r="J79" s="163">
        <f t="shared" si="28"/>
        <v>448.78048780487808</v>
      </c>
      <c r="K79" s="163">
        <f t="shared" si="28"/>
        <v>487.80487804878049</v>
      </c>
      <c r="L79" s="163">
        <f t="shared" si="28"/>
        <v>487.80487804878049</v>
      </c>
      <c r="M79" s="163">
        <f t="shared" si="28"/>
        <v>497.5609756097561</v>
      </c>
      <c r="N79" s="163">
        <f t="shared" si="28"/>
        <v>536.58536585365857</v>
      </c>
      <c r="O79" s="163">
        <f t="shared" si="28"/>
        <v>546.34146341463418</v>
      </c>
      <c r="P79" s="163">
        <f t="shared" si="28"/>
        <v>560.97560975609758</v>
      </c>
      <c r="Q79" s="163">
        <f t="shared" si="28"/>
        <v>595.1219512195122</v>
      </c>
      <c r="R79" s="163">
        <f t="shared" si="28"/>
        <v>595.1219512195122</v>
      </c>
      <c r="S79" s="163">
        <f t="shared" si="28"/>
        <v>595.1219512195122</v>
      </c>
      <c r="T79" s="163">
        <f t="shared" si="28"/>
        <v>643.90243902439033</v>
      </c>
      <c r="U79" s="163">
        <f t="shared" si="28"/>
        <v>643.90243902439033</v>
      </c>
      <c r="V79" s="163">
        <f t="shared" si="28"/>
        <v>692.68292682926824</v>
      </c>
      <c r="W79" s="163">
        <f t="shared" si="28"/>
        <v>692.68292682926824</v>
      </c>
      <c r="X79" s="163">
        <f t="shared" si="28"/>
        <v>692.68292682926824</v>
      </c>
      <c r="Y79" s="163">
        <f t="shared" si="28"/>
        <v>741.46341463414637</v>
      </c>
      <c r="Z79" s="163">
        <f t="shared" si="28"/>
        <v>741.46341463414637</v>
      </c>
      <c r="AA79" s="163">
        <f t="shared" si="28"/>
        <v>741.46341463414637</v>
      </c>
      <c r="AB79" s="163">
        <f t="shared" si="28"/>
        <v>790.2439024390244</v>
      </c>
      <c r="AC79" s="164">
        <f t="shared" si="28"/>
        <v>790.2439024390244</v>
      </c>
      <c r="AD79" s="107" t="s">
        <v>377</v>
      </c>
      <c r="AE79" s="68"/>
    </row>
    <row r="80" spans="1:31" ht="15.75">
      <c r="A80" s="800"/>
      <c r="B80" s="639"/>
      <c r="C80" s="458">
        <f t="shared" si="29" ref="C80:AC80">$AC$2/C78</f>
        <v>15.471698113207546</v>
      </c>
      <c r="D80" s="310">
        <f t="shared" si="29"/>
        <v>11.388888888888889</v>
      </c>
      <c r="E80" s="310">
        <f t="shared" si="29"/>
        <v>11.388888888888889</v>
      </c>
      <c r="F80" s="310">
        <f t="shared" si="29"/>
        <v>10.64935064935065</v>
      </c>
      <c r="G80" s="311">
        <f t="shared" si="29"/>
        <v>10</v>
      </c>
      <c r="H80" s="310">
        <f>$AC$2/H78</f>
        <v>10</v>
      </c>
      <c r="I80" s="310">
        <f t="shared" si="29"/>
        <v>10</v>
      </c>
      <c r="J80" s="310">
        <f t="shared" si="29"/>
        <v>8.9130434782608692</v>
      </c>
      <c r="K80" s="310">
        <f t="shared" si="29"/>
        <v>8.2000000000000011</v>
      </c>
      <c r="L80" s="310">
        <f t="shared" si="29"/>
        <v>8.2000000000000011</v>
      </c>
      <c r="M80" s="310">
        <f t="shared" si="29"/>
        <v>8.0392156862745097</v>
      </c>
      <c r="N80" s="310">
        <f t="shared" si="29"/>
        <v>7.4545454545454541</v>
      </c>
      <c r="O80" s="310">
        <f t="shared" si="29"/>
        <v>7.3214285714285712</v>
      </c>
      <c r="P80" s="310">
        <f t="shared" si="29"/>
        <v>7.1304347826086962</v>
      </c>
      <c r="Q80" s="310">
        <f t="shared" si="29"/>
        <v>6.721311475409836</v>
      </c>
      <c r="R80" s="310">
        <f t="shared" si="29"/>
        <v>6.721311475409836</v>
      </c>
      <c r="S80" s="310">
        <f t="shared" si="29"/>
        <v>6.721311475409836</v>
      </c>
      <c r="T80" s="310">
        <f t="shared" si="29"/>
        <v>6.2121212121212119</v>
      </c>
      <c r="U80" s="310">
        <f t="shared" si="29"/>
        <v>6.2121212121212119</v>
      </c>
      <c r="V80" s="310">
        <f t="shared" si="29"/>
        <v>5.774647887323944</v>
      </c>
      <c r="W80" s="310">
        <f t="shared" si="29"/>
        <v>5.774647887323944</v>
      </c>
      <c r="X80" s="310">
        <f t="shared" si="29"/>
        <v>5.774647887323944</v>
      </c>
      <c r="Y80" s="310">
        <f t="shared" si="29"/>
        <v>5.3947368421052628</v>
      </c>
      <c r="Z80" s="310">
        <f t="shared" si="29"/>
        <v>5.3947368421052628</v>
      </c>
      <c r="AA80" s="310">
        <f t="shared" si="29"/>
        <v>5.3947368421052628</v>
      </c>
      <c r="AB80" s="310">
        <f t="shared" si="29"/>
        <v>5.0617283950617287</v>
      </c>
      <c r="AC80" s="312">
        <f t="shared" si="29"/>
        <v>5.0617283950617287</v>
      </c>
      <c r="AD80" s="107" t="s">
        <v>376</v>
      </c>
      <c r="AE80" s="68"/>
    </row>
    <row r="81" spans="1:31" ht="15.75" thickBot="1">
      <c r="A81" s="767"/>
      <c r="B81" s="757"/>
      <c r="C81" s="77">
        <v>530</v>
      </c>
      <c r="D81" s="77">
        <v>720</v>
      </c>
      <c r="E81" s="77">
        <v>720</v>
      </c>
      <c r="F81" s="77">
        <v>770</v>
      </c>
      <c r="G81" s="73">
        <v>820</v>
      </c>
      <c r="H81" s="77">
        <v>820</v>
      </c>
      <c r="I81" s="77">
        <v>820</v>
      </c>
      <c r="J81" s="77">
        <v>920</v>
      </c>
      <c r="K81" s="77">
        <v>1000</v>
      </c>
      <c r="L81" s="77">
        <v>1000</v>
      </c>
      <c r="M81" s="77">
        <v>1020</v>
      </c>
      <c r="N81" s="77">
        <v>1100</v>
      </c>
      <c r="O81" s="77">
        <v>1120</v>
      </c>
      <c r="P81" s="77">
        <v>1150</v>
      </c>
      <c r="Q81" s="77">
        <v>1220</v>
      </c>
      <c r="R81" s="77">
        <v>1220</v>
      </c>
      <c r="S81" s="77">
        <v>1220</v>
      </c>
      <c r="T81" s="77">
        <v>1320</v>
      </c>
      <c r="U81" s="77">
        <v>1320</v>
      </c>
      <c r="V81" s="77">
        <v>1420</v>
      </c>
      <c r="W81" s="77">
        <v>1420</v>
      </c>
      <c r="X81" s="77">
        <v>1420</v>
      </c>
      <c r="Y81" s="77">
        <v>1520</v>
      </c>
      <c r="Z81" s="77">
        <v>1520</v>
      </c>
      <c r="AA81" s="77">
        <v>1520</v>
      </c>
      <c r="AB81" s="77">
        <v>1620</v>
      </c>
      <c r="AC81" s="104">
        <v>1620</v>
      </c>
      <c r="AD81" s="107" t="s">
        <v>603</v>
      </c>
      <c r="AE81" s="68"/>
    </row>
    <row r="82" spans="1:31" ht="15.75">
      <c r="A82" s="840" t="s">
        <v>152</v>
      </c>
      <c r="B82" s="768" t="s">
        <v>618</v>
      </c>
      <c r="C82" s="841" t="s">
        <v>449</v>
      </c>
      <c r="D82" s="746"/>
      <c r="E82" s="746"/>
      <c r="F82" s="746"/>
      <c r="G82" s="746"/>
      <c r="H82" s="746"/>
      <c r="I82" s="746"/>
      <c r="J82" s="746"/>
      <c r="K82" s="746"/>
      <c r="L82" s="746"/>
      <c r="M82" s="746"/>
      <c r="N82" s="746"/>
      <c r="O82" s="746"/>
      <c r="P82" s="746"/>
      <c r="Q82" s="746"/>
      <c r="R82" s="746"/>
      <c r="S82" s="746"/>
      <c r="T82" s="746"/>
      <c r="U82" s="746"/>
      <c r="V82" s="746"/>
      <c r="W82" s="746"/>
      <c r="X82" s="761"/>
      <c r="Y82" s="68">
        <v>4</v>
      </c>
      <c r="Z82" s="68"/>
      <c r="AA82" s="68"/>
      <c r="AB82" s="68"/>
      <c r="AC82" s="277"/>
      <c r="AD82" s="107"/>
      <c r="AE82" s="68">
        <v>200</v>
      </c>
    </row>
    <row r="83" spans="1:31" ht="15.75" thickBot="1">
      <c r="A83" s="840"/>
      <c r="B83" s="768"/>
      <c r="C83" s="842"/>
      <c r="D83" s="743"/>
      <c r="E83" s="743"/>
      <c r="F83" s="743"/>
      <c r="G83" s="743"/>
      <c r="H83" s="743"/>
      <c r="I83" s="743"/>
      <c r="J83" s="743"/>
      <c r="K83" s="743"/>
      <c r="L83" s="743"/>
      <c r="M83" s="743"/>
      <c r="N83" s="743"/>
      <c r="O83" s="743"/>
      <c r="P83" s="743"/>
      <c r="Q83" s="743"/>
      <c r="R83" s="743"/>
      <c r="S83" s="743"/>
      <c r="T83" s="743"/>
      <c r="U83" s="743"/>
      <c r="V83" s="743"/>
      <c r="W83" s="743"/>
      <c r="X83" s="744"/>
      <c r="Y83" s="68"/>
      <c r="Z83" s="68"/>
      <c r="AA83" s="68"/>
      <c r="AB83" s="68"/>
      <c r="AC83" s="277"/>
      <c r="AD83" s="107"/>
      <c r="AE83" s="68"/>
    </row>
    <row r="84" spans="1:31" ht="15.75">
      <c r="A84" s="765" t="s">
        <v>162</v>
      </c>
      <c r="B84" s="756" t="s">
        <v>619</v>
      </c>
      <c r="C84" s="745" t="s">
        <v>620</v>
      </c>
      <c r="D84" s="746"/>
      <c r="E84" s="746"/>
      <c r="F84" s="746"/>
      <c r="G84" s="746"/>
      <c r="H84" s="746"/>
      <c r="I84" s="746"/>
      <c r="J84" s="746"/>
      <c r="K84" s="746"/>
      <c r="L84" s="746"/>
      <c r="M84" s="746"/>
      <c r="N84" s="746"/>
      <c r="O84" s="746"/>
      <c r="P84" s="746"/>
      <c r="Q84" s="746"/>
      <c r="R84" s="746"/>
      <c r="S84" s="746"/>
      <c r="T84" s="746"/>
      <c r="U84" s="746"/>
      <c r="V84" s="746"/>
      <c r="W84" s="746"/>
      <c r="X84" s="746"/>
      <c r="Y84" s="746"/>
      <c r="Z84" s="746"/>
      <c r="AA84" s="746"/>
      <c r="AB84" s="746"/>
      <c r="AC84" s="761"/>
      <c r="AD84" s="107"/>
      <c r="AE84" s="68">
        <v>200</v>
      </c>
    </row>
    <row r="85" spans="1:31" ht="15.75">
      <c r="A85" s="766"/>
      <c r="B85" s="638"/>
      <c r="C85" s="751"/>
      <c r="D85" s="752"/>
      <c r="E85" s="752"/>
      <c r="F85" s="752"/>
      <c r="G85" s="752"/>
      <c r="H85" s="752"/>
      <c r="I85" s="752"/>
      <c r="J85" s="752"/>
      <c r="K85" s="752"/>
      <c r="L85" s="752"/>
      <c r="M85" s="752"/>
      <c r="N85" s="752"/>
      <c r="O85" s="752"/>
      <c r="P85" s="752"/>
      <c r="Q85" s="752"/>
      <c r="R85" s="752"/>
      <c r="S85" s="752"/>
      <c r="T85" s="752"/>
      <c r="U85" s="752"/>
      <c r="V85" s="752"/>
      <c r="W85" s="752"/>
      <c r="X85" s="752"/>
      <c r="Y85" s="752"/>
      <c r="Z85" s="752"/>
      <c r="AA85" s="752"/>
      <c r="AB85" s="752"/>
      <c r="AC85" s="807"/>
      <c r="AD85" s="107"/>
      <c r="AE85" s="68"/>
    </row>
    <row r="86" spans="1:31" ht="15.75" thickBot="1">
      <c r="A86" s="767"/>
      <c r="B86" s="757"/>
      <c r="C86" s="77">
        <v>670</v>
      </c>
      <c r="D86" s="77">
        <v>720</v>
      </c>
      <c r="E86" s="77">
        <v>720</v>
      </c>
      <c r="F86" s="77">
        <v>770</v>
      </c>
      <c r="G86" s="77">
        <v>820</v>
      </c>
      <c r="H86" s="77">
        <v>820</v>
      </c>
      <c r="I86" s="77">
        <v>820</v>
      </c>
      <c r="J86" s="77">
        <v>920</v>
      </c>
      <c r="K86" s="77">
        <v>1000</v>
      </c>
      <c r="L86" s="77">
        <v>1000</v>
      </c>
      <c r="M86" s="77">
        <v>1020</v>
      </c>
      <c r="N86" s="77">
        <v>1100</v>
      </c>
      <c r="O86" s="77">
        <v>1120</v>
      </c>
      <c r="P86" s="77">
        <v>1150</v>
      </c>
      <c r="Q86" s="77">
        <v>1220</v>
      </c>
      <c r="R86" s="77">
        <v>1220</v>
      </c>
      <c r="S86" s="77">
        <v>1220</v>
      </c>
      <c r="T86" s="77">
        <v>1320</v>
      </c>
      <c r="U86" s="77">
        <v>1320</v>
      </c>
      <c r="V86" s="77">
        <v>1420</v>
      </c>
      <c r="W86" s="77">
        <v>1420</v>
      </c>
      <c r="X86" s="77">
        <v>1420</v>
      </c>
      <c r="Y86" s="77">
        <v>1520</v>
      </c>
      <c r="Z86" s="77">
        <v>1520</v>
      </c>
      <c r="AA86" s="77">
        <v>1520</v>
      </c>
      <c r="AB86" s="77">
        <v>1620</v>
      </c>
      <c r="AC86" s="104">
        <v>1620</v>
      </c>
      <c r="AD86" s="107" t="s">
        <v>603</v>
      </c>
      <c r="AE86" s="68"/>
    </row>
    <row r="87" spans="1:31" ht="15.75">
      <c r="A87" s="754" t="s">
        <v>163</v>
      </c>
      <c r="B87" s="756" t="s">
        <v>621</v>
      </c>
      <c r="C87" s="843" t="s">
        <v>616</v>
      </c>
      <c r="D87" s="137">
        <v>0.84</v>
      </c>
      <c r="E87" s="89">
        <f>$D$87*E88</f>
        <v>0.84</v>
      </c>
      <c r="F87" s="89">
        <f t="shared" si="30" ref="F87:AC87">$D$87*F88</f>
        <v>0.89833333333333332</v>
      </c>
      <c r="G87" s="89">
        <f t="shared" si="30"/>
        <v>0.95666666666666655</v>
      </c>
      <c r="H87" s="89">
        <f t="shared" si="30"/>
        <v>0.95666666666666655</v>
      </c>
      <c r="I87" s="89">
        <f t="shared" si="30"/>
        <v>0.95666666666666655</v>
      </c>
      <c r="J87" s="89">
        <f t="shared" si="30"/>
        <v>1.0733333333333333</v>
      </c>
      <c r="K87" s="89">
        <f t="shared" si="30"/>
        <v>1.1666666666666665</v>
      </c>
      <c r="L87" s="89">
        <f t="shared" si="30"/>
        <v>1.1666666666666665</v>
      </c>
      <c r="M87" s="89">
        <f t="shared" si="30"/>
        <v>1.1899999999999999</v>
      </c>
      <c r="N87" s="89">
        <f t="shared" si="30"/>
        <v>1.2833333333333332</v>
      </c>
      <c r="O87" s="89">
        <f t="shared" si="30"/>
        <v>1.3066666666666666</v>
      </c>
      <c r="P87" s="89">
        <f t="shared" si="30"/>
        <v>1.3416666666666668</v>
      </c>
      <c r="Q87" s="89">
        <f t="shared" si="30"/>
        <v>1.4233333333333333</v>
      </c>
      <c r="R87" s="89">
        <f t="shared" si="30"/>
        <v>1.4233333333333333</v>
      </c>
      <c r="S87" s="89">
        <f t="shared" si="30"/>
        <v>1.4233333333333333</v>
      </c>
      <c r="T87" s="89">
        <f t="shared" si="30"/>
        <v>1.5399999999999998</v>
      </c>
      <c r="U87" s="89">
        <f t="shared" si="30"/>
        <v>1.5399999999999998</v>
      </c>
      <c r="V87" s="89">
        <f t="shared" si="30"/>
        <v>1.6566666666666667</v>
      </c>
      <c r="W87" s="89">
        <f t="shared" si="30"/>
        <v>1.6566666666666667</v>
      </c>
      <c r="X87" s="89">
        <f t="shared" si="30"/>
        <v>1.6566666666666667</v>
      </c>
      <c r="Y87" s="89">
        <f t="shared" si="30"/>
        <v>1.7733333333333332</v>
      </c>
      <c r="Z87" s="89">
        <f t="shared" si="30"/>
        <v>1.7733333333333332</v>
      </c>
      <c r="AA87" s="89">
        <f t="shared" si="30"/>
        <v>1.7733333333333332</v>
      </c>
      <c r="AB87" s="89">
        <f t="shared" si="30"/>
        <v>1.89</v>
      </c>
      <c r="AC87" s="120">
        <f t="shared" si="30"/>
        <v>1.89</v>
      </c>
      <c r="AD87" s="107" t="s">
        <v>393</v>
      </c>
      <c r="AE87" s="68">
        <v>183</v>
      </c>
    </row>
    <row r="88" spans="1:31" ht="15.75">
      <c r="A88" s="782"/>
      <c r="B88" s="638"/>
      <c r="C88" s="646"/>
      <c r="D88" s="99">
        <f>D91/$D$91</f>
        <v>1</v>
      </c>
      <c r="E88" s="108">
        <f t="shared" si="31" ref="E88:AC88">E91/$D$91</f>
        <v>1</v>
      </c>
      <c r="F88" s="108">
        <f t="shared" si="31"/>
        <v>1.0694444444444444</v>
      </c>
      <c r="G88" s="108">
        <f t="shared" si="31"/>
        <v>1.1388888888888888</v>
      </c>
      <c r="H88" s="108">
        <f t="shared" si="31"/>
        <v>1.1388888888888888</v>
      </c>
      <c r="I88" s="108">
        <f t="shared" si="31"/>
        <v>1.1388888888888888</v>
      </c>
      <c r="J88" s="108">
        <f t="shared" si="31"/>
        <v>1.2777777777777777</v>
      </c>
      <c r="K88" s="108">
        <f t="shared" si="31"/>
        <v>1.3888888888888888</v>
      </c>
      <c r="L88" s="108">
        <f t="shared" si="31"/>
        <v>1.3888888888888888</v>
      </c>
      <c r="M88" s="108">
        <f t="shared" si="31"/>
        <v>1.4166666666666667</v>
      </c>
      <c r="N88" s="108">
        <f t="shared" si="31"/>
        <v>1.5277777777777777</v>
      </c>
      <c r="O88" s="108">
        <f t="shared" si="31"/>
        <v>1.5555555555555556</v>
      </c>
      <c r="P88" s="108">
        <f t="shared" si="31"/>
        <v>1.5972222222222223</v>
      </c>
      <c r="Q88" s="108">
        <f t="shared" si="31"/>
        <v>1.6944444444444444</v>
      </c>
      <c r="R88" s="108">
        <f t="shared" si="31"/>
        <v>1.6944444444444444</v>
      </c>
      <c r="S88" s="108">
        <f t="shared" si="31"/>
        <v>1.6944444444444444</v>
      </c>
      <c r="T88" s="108">
        <f t="shared" si="31"/>
        <v>1.8333333333333333</v>
      </c>
      <c r="U88" s="108">
        <f t="shared" si="31"/>
        <v>1.8333333333333333</v>
      </c>
      <c r="V88" s="108">
        <f t="shared" si="31"/>
        <v>1.9722222222222223</v>
      </c>
      <c r="W88" s="108">
        <f t="shared" si="31"/>
        <v>1.9722222222222223</v>
      </c>
      <c r="X88" s="108">
        <f t="shared" si="31"/>
        <v>1.9722222222222223</v>
      </c>
      <c r="Y88" s="108">
        <f t="shared" si="31"/>
        <v>2.1111111111111112</v>
      </c>
      <c r="Z88" s="108">
        <f t="shared" si="31"/>
        <v>2.1111111111111112</v>
      </c>
      <c r="AA88" s="108">
        <f t="shared" si="31"/>
        <v>2.1111111111111112</v>
      </c>
      <c r="AB88" s="108">
        <f t="shared" si="31"/>
        <v>2.25</v>
      </c>
      <c r="AC88" s="136">
        <f t="shared" si="31"/>
        <v>2.25</v>
      </c>
      <c r="AD88" s="107" t="s">
        <v>622</v>
      </c>
      <c r="AE88" s="68"/>
    </row>
    <row r="89" spans="1:31" ht="15.75">
      <c r="A89" s="782"/>
      <c r="B89" s="638"/>
      <c r="C89" s="646"/>
      <c r="D89" s="138">
        <f>D87*$AE$87</f>
        <v>153.72</v>
      </c>
      <c r="E89" s="75">
        <f t="shared" si="32" ref="E89:AC89">E87*$AE$87</f>
        <v>153.72</v>
      </c>
      <c r="F89" s="75">
        <f t="shared" si="32"/>
        <v>164.395</v>
      </c>
      <c r="G89" s="75">
        <f t="shared" si="32"/>
        <v>175.07</v>
      </c>
      <c r="H89" s="75">
        <f t="shared" si="32"/>
        <v>175.07</v>
      </c>
      <c r="I89" s="75">
        <f t="shared" si="32"/>
        <v>175.07</v>
      </c>
      <c r="J89" s="75">
        <f t="shared" si="32"/>
        <v>196.42</v>
      </c>
      <c r="K89" s="75">
        <f t="shared" si="32"/>
        <v>213.49999999999997</v>
      </c>
      <c r="L89" s="75">
        <f t="shared" si="32"/>
        <v>213.49999999999997</v>
      </c>
      <c r="M89" s="75">
        <f t="shared" si="32"/>
        <v>217.76999999999998</v>
      </c>
      <c r="N89" s="75">
        <f t="shared" si="32"/>
        <v>234.84999999999997</v>
      </c>
      <c r="O89" s="75">
        <f t="shared" si="32"/>
        <v>239.12</v>
      </c>
      <c r="P89" s="75">
        <f t="shared" si="32"/>
        <v>245.52500000000003</v>
      </c>
      <c r="Q89" s="75">
        <f t="shared" si="32"/>
        <v>260.47000000000003</v>
      </c>
      <c r="R89" s="75">
        <f t="shared" si="32"/>
        <v>260.47000000000003</v>
      </c>
      <c r="S89" s="75">
        <f t="shared" si="32"/>
        <v>260.47000000000003</v>
      </c>
      <c r="T89" s="75">
        <f t="shared" si="32"/>
        <v>281.82</v>
      </c>
      <c r="U89" s="75">
        <f t="shared" si="32"/>
        <v>281.82</v>
      </c>
      <c r="V89" s="75">
        <f t="shared" si="32"/>
        <v>303.17000000000002</v>
      </c>
      <c r="W89" s="75">
        <f t="shared" si="32"/>
        <v>303.17000000000002</v>
      </c>
      <c r="X89" s="75">
        <f t="shared" si="32"/>
        <v>303.17000000000002</v>
      </c>
      <c r="Y89" s="75">
        <f t="shared" si="32"/>
        <v>324.51999999999998</v>
      </c>
      <c r="Z89" s="75">
        <f t="shared" si="32"/>
        <v>324.51999999999998</v>
      </c>
      <c r="AA89" s="75">
        <f t="shared" si="32"/>
        <v>324.51999999999998</v>
      </c>
      <c r="AB89" s="75">
        <f t="shared" si="32"/>
        <v>345.87</v>
      </c>
      <c r="AC89" s="101">
        <f t="shared" si="32"/>
        <v>345.87</v>
      </c>
      <c r="AD89" s="107" t="s">
        <v>378</v>
      </c>
      <c r="AE89" s="68"/>
    </row>
    <row r="90" spans="1:31" ht="15.75">
      <c r="A90" s="782"/>
      <c r="B90" s="638"/>
      <c r="C90" s="647"/>
      <c r="D90" s="98">
        <f>$AC$2/D87</f>
        <v>11.904761904761905</v>
      </c>
      <c r="E90" s="109">
        <f t="shared" si="33" ref="E90:AC90">$AC$2/E87</f>
        <v>11.904761904761905</v>
      </c>
      <c r="F90" s="109">
        <f t="shared" si="33"/>
        <v>11.131725417439704</v>
      </c>
      <c r="G90" s="109">
        <f t="shared" si="33"/>
        <v>10.452961672473869</v>
      </c>
      <c r="H90" s="109">
        <f t="shared" si="33"/>
        <v>10.452961672473869</v>
      </c>
      <c r="I90" s="109">
        <f t="shared" si="33"/>
        <v>10.452961672473869</v>
      </c>
      <c r="J90" s="109">
        <f t="shared" si="33"/>
        <v>9.316770186335404</v>
      </c>
      <c r="K90" s="109">
        <f t="shared" si="33"/>
        <v>8.571428571428573</v>
      </c>
      <c r="L90" s="109">
        <f t="shared" si="33"/>
        <v>8.571428571428573</v>
      </c>
      <c r="M90" s="109">
        <f t="shared" si="33"/>
        <v>8.4033613445378155</v>
      </c>
      <c r="N90" s="109">
        <f t="shared" si="33"/>
        <v>7.792207792207793</v>
      </c>
      <c r="O90" s="109">
        <f t="shared" si="33"/>
        <v>7.6530612244897958</v>
      </c>
      <c r="P90" s="109">
        <f t="shared" si="33"/>
        <v>7.4534161490683219</v>
      </c>
      <c r="Q90" s="109">
        <f t="shared" si="33"/>
        <v>7.0257611241217797</v>
      </c>
      <c r="R90" s="109">
        <f t="shared" si="33"/>
        <v>7.0257611241217797</v>
      </c>
      <c r="S90" s="109">
        <f t="shared" si="33"/>
        <v>7.0257611241217797</v>
      </c>
      <c r="T90" s="109">
        <f t="shared" si="33"/>
        <v>6.4935064935064943</v>
      </c>
      <c r="U90" s="109">
        <f t="shared" si="33"/>
        <v>6.4935064935064943</v>
      </c>
      <c r="V90" s="109">
        <f t="shared" si="33"/>
        <v>6.0362173038229372</v>
      </c>
      <c r="W90" s="109">
        <f t="shared" si="33"/>
        <v>6.0362173038229372</v>
      </c>
      <c r="X90" s="109">
        <f t="shared" si="33"/>
        <v>6.0362173038229372</v>
      </c>
      <c r="Y90" s="109">
        <f t="shared" si="33"/>
        <v>5.6390977443609023</v>
      </c>
      <c r="Z90" s="109">
        <f t="shared" si="33"/>
        <v>5.6390977443609023</v>
      </c>
      <c r="AA90" s="109">
        <f t="shared" si="33"/>
        <v>5.6390977443609023</v>
      </c>
      <c r="AB90" s="109">
        <f t="shared" si="33"/>
        <v>5.2910052910052912</v>
      </c>
      <c r="AC90" s="125">
        <f t="shared" si="33"/>
        <v>5.2910052910052912</v>
      </c>
      <c r="AD90" s="107" t="s">
        <v>376</v>
      </c>
      <c r="AE90" s="68"/>
    </row>
    <row r="91" spans="1:31" ht="15.75" thickBot="1">
      <c r="A91" s="755"/>
      <c r="B91" s="757"/>
      <c r="C91" s="77">
        <v>670</v>
      </c>
      <c r="D91" s="73">
        <v>720</v>
      </c>
      <c r="E91" s="77">
        <v>720</v>
      </c>
      <c r="F91" s="77">
        <v>770</v>
      </c>
      <c r="G91" s="77">
        <v>820</v>
      </c>
      <c r="H91" s="77">
        <v>820</v>
      </c>
      <c r="I91" s="77">
        <v>820</v>
      </c>
      <c r="J91" s="77">
        <v>920</v>
      </c>
      <c r="K91" s="77">
        <v>1000</v>
      </c>
      <c r="L91" s="77">
        <v>1000</v>
      </c>
      <c r="M91" s="77">
        <v>1020</v>
      </c>
      <c r="N91" s="77">
        <v>1100</v>
      </c>
      <c r="O91" s="77">
        <v>1120</v>
      </c>
      <c r="P91" s="77">
        <v>1150</v>
      </c>
      <c r="Q91" s="77">
        <v>1220</v>
      </c>
      <c r="R91" s="77">
        <v>1220</v>
      </c>
      <c r="S91" s="77">
        <v>1220</v>
      </c>
      <c r="T91" s="77">
        <v>1320</v>
      </c>
      <c r="U91" s="77">
        <v>1320</v>
      </c>
      <c r="V91" s="77">
        <v>1420</v>
      </c>
      <c r="W91" s="77">
        <v>1420</v>
      </c>
      <c r="X91" s="77">
        <v>1420</v>
      </c>
      <c r="Y91" s="77">
        <v>1520</v>
      </c>
      <c r="Z91" s="77">
        <v>1520</v>
      </c>
      <c r="AA91" s="77">
        <v>1520</v>
      </c>
      <c r="AB91" s="77">
        <v>1620</v>
      </c>
      <c r="AC91" s="104">
        <v>1620</v>
      </c>
      <c r="AD91" s="107" t="s">
        <v>603</v>
      </c>
      <c r="AE91" s="68"/>
    </row>
    <row r="92" spans="1:31" ht="15.75">
      <c r="A92" s="754" t="s">
        <v>169</v>
      </c>
      <c r="B92" s="756" t="s">
        <v>623</v>
      </c>
      <c r="C92" s="305">
        <f t="shared" si="34" ref="C92:AC92">C96/$G$81*1.5</f>
        <v>1.225609756097561</v>
      </c>
      <c r="D92" s="305">
        <f t="shared" si="34"/>
        <v>1.3170731707317074</v>
      </c>
      <c r="E92" s="305">
        <f t="shared" si="34"/>
        <v>1.3170731707317074</v>
      </c>
      <c r="F92" s="305">
        <f t="shared" si="34"/>
        <v>1.4085365853658536</v>
      </c>
      <c r="G92" s="306">
        <f>G96/$G$81*1.5</f>
        <v>1.50</v>
      </c>
      <c r="H92" s="305">
        <f t="shared" si="34"/>
        <v>1.50</v>
      </c>
      <c r="I92" s="305">
        <f t="shared" si="34"/>
        <v>1.50</v>
      </c>
      <c r="J92" s="305">
        <f t="shared" si="34"/>
        <v>1.6829268292682928</v>
      </c>
      <c r="K92" s="305">
        <f t="shared" si="34"/>
        <v>1.8292682926829267</v>
      </c>
      <c r="L92" s="305">
        <f t="shared" si="34"/>
        <v>1.8292682926829267</v>
      </c>
      <c r="M92" s="305">
        <f t="shared" si="34"/>
        <v>1.8658536585365852</v>
      </c>
      <c r="N92" s="305">
        <f t="shared" si="34"/>
        <v>2.0121951219512195</v>
      </c>
      <c r="O92" s="305">
        <f t="shared" si="34"/>
        <v>2.0487804878048781</v>
      </c>
      <c r="P92" s="305">
        <f t="shared" si="34"/>
        <v>2.1036585365853657</v>
      </c>
      <c r="Q92" s="305">
        <f t="shared" si="34"/>
        <v>2.2317073170731705</v>
      </c>
      <c r="R92" s="305">
        <f t="shared" si="34"/>
        <v>2.2317073170731705</v>
      </c>
      <c r="S92" s="305">
        <f t="shared" si="34"/>
        <v>2.2317073170731705</v>
      </c>
      <c r="T92" s="305">
        <f t="shared" si="34"/>
        <v>2.4146341463414638</v>
      </c>
      <c r="U92" s="305">
        <f t="shared" si="34"/>
        <v>2.4146341463414638</v>
      </c>
      <c r="V92" s="305">
        <f t="shared" si="34"/>
        <v>2.5975609756097562</v>
      </c>
      <c r="W92" s="305">
        <f t="shared" si="34"/>
        <v>2.5975609756097562</v>
      </c>
      <c r="X92" s="305">
        <f t="shared" si="34"/>
        <v>2.5975609756097562</v>
      </c>
      <c r="Y92" s="305">
        <f t="shared" si="34"/>
        <v>2.780487804878049</v>
      </c>
      <c r="Z92" s="305">
        <f t="shared" si="34"/>
        <v>2.780487804878049</v>
      </c>
      <c r="AA92" s="305">
        <f t="shared" si="34"/>
        <v>2.780487804878049</v>
      </c>
      <c r="AB92" s="305">
        <f t="shared" si="34"/>
        <v>2.9634146341463414</v>
      </c>
      <c r="AC92" s="307">
        <f t="shared" si="34"/>
        <v>2.9634146341463414</v>
      </c>
      <c r="AD92" s="107" t="s">
        <v>395</v>
      </c>
      <c r="AE92" s="68">
        <v>200</v>
      </c>
    </row>
    <row r="93" spans="1:31" ht="15.75">
      <c r="A93" s="783"/>
      <c r="B93" s="641"/>
      <c r="C93" s="308">
        <f t="shared" si="35" ref="C93:F93">60/60*C92</f>
        <v>1.225609756097561</v>
      </c>
      <c r="D93" s="308">
        <f t="shared" si="35"/>
        <v>1.3170731707317074</v>
      </c>
      <c r="E93" s="308">
        <f t="shared" si="35"/>
        <v>1.3170731707317074</v>
      </c>
      <c r="F93" s="308">
        <f t="shared" si="35"/>
        <v>1.4085365853658536</v>
      </c>
      <c r="G93" s="99">
        <f>60/60*G92</f>
        <v>1.50</v>
      </c>
      <c r="H93" s="308">
        <f t="shared" si="36" ref="H93:AC93">60/60*H92</f>
        <v>1.50</v>
      </c>
      <c r="I93" s="308">
        <f t="shared" si="36"/>
        <v>1.50</v>
      </c>
      <c r="J93" s="308">
        <f t="shared" si="36"/>
        <v>1.6829268292682928</v>
      </c>
      <c r="K93" s="308">
        <f t="shared" si="36"/>
        <v>1.8292682926829267</v>
      </c>
      <c r="L93" s="308">
        <f t="shared" si="36"/>
        <v>1.8292682926829267</v>
      </c>
      <c r="M93" s="308">
        <f t="shared" si="36"/>
        <v>1.8658536585365852</v>
      </c>
      <c r="N93" s="308">
        <f t="shared" si="36"/>
        <v>2.0121951219512195</v>
      </c>
      <c r="O93" s="308">
        <f t="shared" si="36"/>
        <v>2.0487804878048781</v>
      </c>
      <c r="P93" s="308">
        <f t="shared" si="36"/>
        <v>2.1036585365853657</v>
      </c>
      <c r="Q93" s="308">
        <f t="shared" si="36"/>
        <v>2.2317073170731705</v>
      </c>
      <c r="R93" s="308">
        <f t="shared" si="36"/>
        <v>2.2317073170731705</v>
      </c>
      <c r="S93" s="308">
        <f t="shared" si="36"/>
        <v>2.2317073170731705</v>
      </c>
      <c r="T93" s="308">
        <f t="shared" si="36"/>
        <v>2.4146341463414638</v>
      </c>
      <c r="U93" s="308">
        <f t="shared" si="36"/>
        <v>2.4146341463414638</v>
      </c>
      <c r="V93" s="308">
        <f t="shared" si="36"/>
        <v>2.5975609756097562</v>
      </c>
      <c r="W93" s="308">
        <f t="shared" si="36"/>
        <v>2.5975609756097562</v>
      </c>
      <c r="X93" s="308">
        <f t="shared" si="36"/>
        <v>2.5975609756097562</v>
      </c>
      <c r="Y93" s="308">
        <f t="shared" si="36"/>
        <v>2.780487804878049</v>
      </c>
      <c r="Z93" s="308">
        <f t="shared" si="36"/>
        <v>2.780487804878049</v>
      </c>
      <c r="AA93" s="308">
        <f t="shared" si="36"/>
        <v>2.780487804878049</v>
      </c>
      <c r="AB93" s="308">
        <f t="shared" si="36"/>
        <v>2.9634146341463414</v>
      </c>
      <c r="AC93" s="309">
        <f t="shared" si="36"/>
        <v>2.9634146341463414</v>
      </c>
      <c r="AD93" s="107" t="s">
        <v>393</v>
      </c>
      <c r="AE93" s="68"/>
    </row>
    <row r="94" spans="1:31" ht="15.75">
      <c r="A94" s="783"/>
      <c r="B94" s="641"/>
      <c r="C94" s="163">
        <f t="shared" si="37" ref="C94:F94">C93*$AE$77*2</f>
        <v>490.2439024390244</v>
      </c>
      <c r="D94" s="163">
        <f t="shared" si="37"/>
        <v>526.82926829268297</v>
      </c>
      <c r="E94" s="163">
        <f t="shared" si="37"/>
        <v>526.82926829268297</v>
      </c>
      <c r="F94" s="163">
        <f t="shared" si="37"/>
        <v>563.41463414634143</v>
      </c>
      <c r="G94" s="138">
        <f>G93*$AE$77*2</f>
        <v>600</v>
      </c>
      <c r="H94" s="163">
        <f t="shared" si="38" ref="H94:AC94">H93*$AE$77*2</f>
        <v>600</v>
      </c>
      <c r="I94" s="163">
        <f t="shared" si="38"/>
        <v>600</v>
      </c>
      <c r="J94" s="163">
        <f t="shared" si="38"/>
        <v>673.17073170731715</v>
      </c>
      <c r="K94" s="163">
        <f t="shared" si="38"/>
        <v>731.70731707317066</v>
      </c>
      <c r="L94" s="163">
        <f t="shared" si="38"/>
        <v>731.70731707317066</v>
      </c>
      <c r="M94" s="163">
        <f t="shared" si="38"/>
        <v>746.34146341463406</v>
      </c>
      <c r="N94" s="163">
        <f t="shared" si="38"/>
        <v>804.8780487804878</v>
      </c>
      <c r="O94" s="163">
        <f t="shared" si="38"/>
        <v>819.51219512195121</v>
      </c>
      <c r="P94" s="163">
        <f t="shared" si="38"/>
        <v>841.46341463414626</v>
      </c>
      <c r="Q94" s="163">
        <f t="shared" si="38"/>
        <v>892.68292682926824</v>
      </c>
      <c r="R94" s="163">
        <f t="shared" si="38"/>
        <v>892.68292682926824</v>
      </c>
      <c r="S94" s="163">
        <f t="shared" si="38"/>
        <v>892.68292682926824</v>
      </c>
      <c r="T94" s="163">
        <f t="shared" si="38"/>
        <v>965.8536585365855</v>
      </c>
      <c r="U94" s="163">
        <f t="shared" si="38"/>
        <v>965.8536585365855</v>
      </c>
      <c r="V94" s="163">
        <f t="shared" si="38"/>
        <v>1039.0243902439024</v>
      </c>
      <c r="W94" s="163">
        <f t="shared" si="38"/>
        <v>1039.0243902439024</v>
      </c>
      <c r="X94" s="163">
        <f t="shared" si="38"/>
        <v>1039.0243902439024</v>
      </c>
      <c r="Y94" s="163">
        <f t="shared" si="38"/>
        <v>1112.1951219512196</v>
      </c>
      <c r="Z94" s="163">
        <f t="shared" si="38"/>
        <v>1112.1951219512196</v>
      </c>
      <c r="AA94" s="163">
        <f t="shared" si="38"/>
        <v>1112.1951219512196</v>
      </c>
      <c r="AB94" s="163">
        <f t="shared" si="38"/>
        <v>1185.3658536585365</v>
      </c>
      <c r="AC94" s="164">
        <f t="shared" si="38"/>
        <v>1185.3658536585365</v>
      </c>
      <c r="AD94" s="107" t="s">
        <v>377</v>
      </c>
      <c r="AE94" s="68"/>
    </row>
    <row r="95" spans="1:31" ht="15.75">
      <c r="A95" s="782"/>
      <c r="B95" s="638"/>
      <c r="C95" s="310">
        <f t="shared" si="39" ref="C95:G95">$AC$2/C93</f>
        <v>8.1592039800995018</v>
      </c>
      <c r="D95" s="310">
        <f t="shared" si="39"/>
        <v>7.5925925925925926</v>
      </c>
      <c r="E95" s="310">
        <f t="shared" si="39"/>
        <v>7.5925925925925926</v>
      </c>
      <c r="F95" s="310">
        <f t="shared" si="39"/>
        <v>7.0995670995670999</v>
      </c>
      <c r="G95" s="311">
        <f t="shared" si="39"/>
        <v>6.666666666666667</v>
      </c>
      <c r="H95" s="310">
        <f>$AC$2/H93</f>
        <v>6.666666666666667</v>
      </c>
      <c r="I95" s="310">
        <f t="shared" si="40" ref="I95:AC95">$AC$2/I93</f>
        <v>6.666666666666667</v>
      </c>
      <c r="J95" s="310">
        <f t="shared" si="40"/>
        <v>5.9420289855072461</v>
      </c>
      <c r="K95" s="310">
        <f t="shared" si="40"/>
        <v>5.4666666666666668</v>
      </c>
      <c r="L95" s="310">
        <f t="shared" si="40"/>
        <v>5.4666666666666668</v>
      </c>
      <c r="M95" s="310">
        <f t="shared" si="40"/>
        <v>5.359477124183007</v>
      </c>
      <c r="N95" s="310">
        <f t="shared" si="40"/>
        <v>4.9696969696969697</v>
      </c>
      <c r="O95" s="310">
        <f t="shared" si="40"/>
        <v>4.8809523809523805</v>
      </c>
      <c r="P95" s="310">
        <f t="shared" si="40"/>
        <v>4.7536231884057978</v>
      </c>
      <c r="Q95" s="310">
        <f t="shared" si="40"/>
        <v>4.4808743169398912</v>
      </c>
      <c r="R95" s="310">
        <f t="shared" si="40"/>
        <v>4.4808743169398912</v>
      </c>
      <c r="S95" s="310">
        <f t="shared" si="40"/>
        <v>4.4808743169398912</v>
      </c>
      <c r="T95" s="310">
        <f t="shared" si="40"/>
        <v>4.141414141414141</v>
      </c>
      <c r="U95" s="310">
        <f t="shared" si="40"/>
        <v>4.141414141414141</v>
      </c>
      <c r="V95" s="310">
        <f t="shared" si="40"/>
        <v>3.8497652582159625</v>
      </c>
      <c r="W95" s="310">
        <f t="shared" si="40"/>
        <v>3.8497652582159625</v>
      </c>
      <c r="X95" s="310">
        <f t="shared" si="40"/>
        <v>3.8497652582159625</v>
      </c>
      <c r="Y95" s="310">
        <f t="shared" si="40"/>
        <v>3.5964912280701751</v>
      </c>
      <c r="Z95" s="310">
        <f t="shared" si="40"/>
        <v>3.5964912280701751</v>
      </c>
      <c r="AA95" s="310">
        <f t="shared" si="40"/>
        <v>3.5964912280701751</v>
      </c>
      <c r="AB95" s="310">
        <f t="shared" si="40"/>
        <v>3.3744855967078191</v>
      </c>
      <c r="AC95" s="312">
        <f t="shared" si="40"/>
        <v>3.3744855967078191</v>
      </c>
      <c r="AD95" s="107" t="s">
        <v>376</v>
      </c>
      <c r="AE95" s="68"/>
    </row>
    <row r="96" spans="1:31" ht="15.75" thickBot="1">
      <c r="A96" s="755"/>
      <c r="B96" s="757"/>
      <c r="C96" s="77">
        <v>670</v>
      </c>
      <c r="D96" s="77">
        <v>720</v>
      </c>
      <c r="E96" s="77">
        <v>720</v>
      </c>
      <c r="F96" s="77">
        <v>770</v>
      </c>
      <c r="G96" s="73">
        <v>820</v>
      </c>
      <c r="H96" s="77">
        <v>820</v>
      </c>
      <c r="I96" s="77">
        <v>820</v>
      </c>
      <c r="J96" s="77">
        <v>920</v>
      </c>
      <c r="K96" s="77">
        <v>1000</v>
      </c>
      <c r="L96" s="77">
        <v>1000</v>
      </c>
      <c r="M96" s="77">
        <v>1020</v>
      </c>
      <c r="N96" s="77">
        <v>1100</v>
      </c>
      <c r="O96" s="77">
        <v>1120</v>
      </c>
      <c r="P96" s="77">
        <v>1150</v>
      </c>
      <c r="Q96" s="77">
        <v>1220</v>
      </c>
      <c r="R96" s="77">
        <v>1220</v>
      </c>
      <c r="S96" s="77">
        <v>1220</v>
      </c>
      <c r="T96" s="77">
        <v>1320</v>
      </c>
      <c r="U96" s="77">
        <v>1320</v>
      </c>
      <c r="V96" s="77">
        <v>1420</v>
      </c>
      <c r="W96" s="77">
        <v>1420</v>
      </c>
      <c r="X96" s="77">
        <v>1420</v>
      </c>
      <c r="Y96" s="77">
        <v>1520</v>
      </c>
      <c r="Z96" s="77">
        <v>1520</v>
      </c>
      <c r="AA96" s="77">
        <v>1520</v>
      </c>
      <c r="AB96" s="77">
        <v>1620</v>
      </c>
      <c r="AC96" s="104">
        <v>1620</v>
      </c>
      <c r="AD96" s="107" t="s">
        <v>603</v>
      </c>
      <c r="AE96" s="68"/>
    </row>
    <row r="97" spans="1:31" ht="15.75">
      <c r="A97" s="754" t="s">
        <v>624</v>
      </c>
      <c r="B97" s="756" t="s">
        <v>625</v>
      </c>
      <c r="C97" s="745" t="s">
        <v>449</v>
      </c>
      <c r="D97" s="746"/>
      <c r="E97" s="746"/>
      <c r="F97" s="746"/>
      <c r="G97" s="746"/>
      <c r="H97" s="746"/>
      <c r="I97" s="746"/>
      <c r="J97" s="746"/>
      <c r="K97" s="747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  <c r="AC97" s="120"/>
      <c r="AD97" s="107"/>
      <c r="AE97" s="68">
        <v>200</v>
      </c>
    </row>
    <row r="98" spans="1:31" ht="15.75" thickBot="1">
      <c r="A98" s="755"/>
      <c r="B98" s="757"/>
      <c r="C98" s="742"/>
      <c r="D98" s="743"/>
      <c r="E98" s="743"/>
      <c r="F98" s="743"/>
      <c r="G98" s="743"/>
      <c r="H98" s="743"/>
      <c r="I98" s="743"/>
      <c r="J98" s="743"/>
      <c r="K98" s="833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104"/>
      <c r="AD98" s="107"/>
      <c r="AE98" s="68"/>
    </row>
    <row r="99" spans="1:31" ht="15.75">
      <c r="A99" s="784" t="s">
        <v>626</v>
      </c>
      <c r="B99" s="777" t="s">
        <v>627</v>
      </c>
      <c r="C99" s="745" t="s">
        <v>628</v>
      </c>
      <c r="D99" s="746"/>
      <c r="E99" s="746"/>
      <c r="F99" s="746"/>
      <c r="G99" s="746"/>
      <c r="H99" s="746"/>
      <c r="I99" s="746"/>
      <c r="J99" s="746"/>
      <c r="K99" s="746"/>
      <c r="L99" s="746"/>
      <c r="M99" s="746"/>
      <c r="N99" s="746"/>
      <c r="O99" s="746"/>
      <c r="P99" s="746"/>
      <c r="Q99" s="746"/>
      <c r="R99" s="746"/>
      <c r="S99" s="746"/>
      <c r="T99" s="746"/>
      <c r="U99" s="746"/>
      <c r="V99" s="746"/>
      <c r="W99" s="746"/>
      <c r="X99" s="746"/>
      <c r="Y99" s="746"/>
      <c r="Z99" s="746"/>
      <c r="AA99" s="746"/>
      <c r="AB99" s="746"/>
      <c r="AC99" s="761"/>
      <c r="AD99" s="107"/>
      <c r="AE99" s="68">
        <v>183</v>
      </c>
    </row>
    <row r="100" spans="1:31" ht="15.75" thickBot="1">
      <c r="A100" s="786"/>
      <c r="B100" s="778"/>
      <c r="C100" s="742"/>
      <c r="D100" s="743"/>
      <c r="E100" s="743"/>
      <c r="F100" s="743"/>
      <c r="G100" s="743"/>
      <c r="H100" s="743"/>
      <c r="I100" s="743"/>
      <c r="J100" s="743"/>
      <c r="K100" s="743"/>
      <c r="L100" s="743"/>
      <c r="M100" s="743"/>
      <c r="N100" s="743"/>
      <c r="O100" s="743"/>
      <c r="P100" s="743"/>
      <c r="Q100" s="743"/>
      <c r="R100" s="743"/>
      <c r="S100" s="743"/>
      <c r="T100" s="743"/>
      <c r="U100" s="743"/>
      <c r="V100" s="743"/>
      <c r="W100" s="743"/>
      <c r="X100" s="743"/>
      <c r="Y100" s="743"/>
      <c r="Z100" s="743"/>
      <c r="AA100" s="743"/>
      <c r="AB100" s="743"/>
      <c r="AC100" s="744"/>
      <c r="AD100" s="107"/>
      <c r="AE100" s="68"/>
    </row>
    <row r="101" spans="1:31" ht="15.75" thickBot="1">
      <c r="A101" s="130" t="s">
        <v>629</v>
      </c>
      <c r="B101" s="76" t="s">
        <v>630</v>
      </c>
      <c r="C101" s="772" t="s">
        <v>631</v>
      </c>
      <c r="D101" s="773"/>
      <c r="E101" s="773"/>
      <c r="F101" s="773"/>
      <c r="G101" s="773"/>
      <c r="H101" s="773"/>
      <c r="I101" s="773"/>
      <c r="J101" s="773"/>
      <c r="K101" s="773"/>
      <c r="L101" s="773"/>
      <c r="M101" s="773"/>
      <c r="N101" s="773"/>
      <c r="O101" s="773"/>
      <c r="P101" s="773"/>
      <c r="Q101" s="773"/>
      <c r="R101" s="773"/>
      <c r="S101" s="773"/>
      <c r="T101" s="773"/>
      <c r="U101" s="773"/>
      <c r="V101" s="773"/>
      <c r="W101" s="773"/>
      <c r="X101" s="773"/>
      <c r="Y101" s="773"/>
      <c r="Z101" s="773"/>
      <c r="AA101" s="773"/>
      <c r="AB101" s="773"/>
      <c r="AC101" s="774"/>
      <c r="AD101" s="107"/>
      <c r="AE101" s="68">
        <v>200</v>
      </c>
    </row>
    <row r="102" spans="1:31" ht="30.75" thickBot="1">
      <c r="A102" s="313" t="s">
        <v>632</v>
      </c>
      <c r="B102" s="213" t="s">
        <v>633</v>
      </c>
      <c r="C102" s="303"/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6"/>
      <c r="Q102" s="216"/>
      <c r="R102" s="216"/>
      <c r="S102" s="216"/>
      <c r="T102" s="216"/>
      <c r="U102" s="216"/>
      <c r="V102" s="216"/>
      <c r="W102" s="216"/>
      <c r="X102" s="216"/>
      <c r="Y102" s="216"/>
      <c r="Z102" s="216"/>
      <c r="AA102" s="216"/>
      <c r="AB102" s="216"/>
      <c r="AC102" s="217"/>
      <c r="AD102" s="107"/>
      <c r="AE102" s="68"/>
    </row>
    <row r="103" spans="1:31" ht="15.75" thickBot="1">
      <c r="A103" s="271" t="s">
        <v>634</v>
      </c>
      <c r="B103" s="55" t="s">
        <v>635</v>
      </c>
      <c r="C103" s="772" t="s">
        <v>636</v>
      </c>
      <c r="D103" s="773"/>
      <c r="E103" s="773"/>
      <c r="F103" s="773"/>
      <c r="G103" s="773"/>
      <c r="H103" s="773"/>
      <c r="I103" s="773"/>
      <c r="J103" s="773"/>
      <c r="K103" s="773"/>
      <c r="L103" s="773"/>
      <c r="M103" s="773"/>
      <c r="N103" s="773"/>
      <c r="O103" s="773"/>
      <c r="P103" s="773"/>
      <c r="Q103" s="773"/>
      <c r="R103" s="773"/>
      <c r="S103" s="773"/>
      <c r="T103" s="773"/>
      <c r="U103" s="773"/>
      <c r="V103" s="773"/>
      <c r="W103" s="773"/>
      <c r="X103" s="773"/>
      <c r="Y103" s="773"/>
      <c r="Z103" s="773"/>
      <c r="AA103" s="773"/>
      <c r="AB103" s="773"/>
      <c r="AC103" s="774"/>
      <c r="AD103" s="107"/>
      <c r="AE103" s="68">
        <v>183</v>
      </c>
    </row>
    <row r="104" spans="1:31" ht="15.75">
      <c r="A104" s="754" t="s">
        <v>637</v>
      </c>
      <c r="B104" s="756" t="s">
        <v>638</v>
      </c>
      <c r="C104" s="745" t="s">
        <v>449</v>
      </c>
      <c r="D104" s="746"/>
      <c r="E104" s="746"/>
      <c r="F104" s="746"/>
      <c r="G104" s="746"/>
      <c r="H104" s="746"/>
      <c r="I104" s="746"/>
      <c r="J104" s="746"/>
      <c r="K104" s="747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89"/>
      <c r="AC104" s="120"/>
      <c r="AD104" s="107"/>
      <c r="AE104" s="68">
        <v>200</v>
      </c>
    </row>
    <row r="105" spans="1:31" ht="15.75" thickBot="1">
      <c r="A105" s="755"/>
      <c r="B105" s="757"/>
      <c r="C105" s="742"/>
      <c r="D105" s="743"/>
      <c r="E105" s="743"/>
      <c r="F105" s="743"/>
      <c r="G105" s="743"/>
      <c r="H105" s="743"/>
      <c r="I105" s="743"/>
      <c r="J105" s="743"/>
      <c r="K105" s="833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104"/>
      <c r="AD105" s="107"/>
      <c r="AE105" s="68"/>
    </row>
    <row r="106" spans="1:31" ht="15" customHeight="1">
      <c r="A106" s="754" t="s">
        <v>639</v>
      </c>
      <c r="B106" s="816" t="s">
        <v>640</v>
      </c>
      <c r="C106" s="78">
        <f t="shared" si="41" ref="C106:AC106">C110/$J$110</f>
        <v>0.79577464788732399</v>
      </c>
      <c r="D106" s="78">
        <f t="shared" si="41"/>
        <v>0.8352112676056338</v>
      </c>
      <c r="E106" s="78">
        <f t="shared" si="41"/>
        <v>0.8464788732394366</v>
      </c>
      <c r="F106" s="78">
        <f t="shared" si="41"/>
        <v>0.88309859154929582</v>
      </c>
      <c r="G106" s="78">
        <f t="shared" si="41"/>
        <v>0.91830985915492958</v>
      </c>
      <c r="H106" s="78">
        <f t="shared" si="41"/>
        <v>0.92535211267605633</v>
      </c>
      <c r="I106" s="78">
        <f t="shared" si="41"/>
        <v>0.92676056338028168</v>
      </c>
      <c r="J106" s="78">
        <f>J110/$J$110</f>
        <v>1</v>
      </c>
      <c r="K106" s="78">
        <f t="shared" si="41"/>
        <v>1.0577464788732394</v>
      </c>
      <c r="L106" s="78">
        <f t="shared" si="41"/>
        <v>1.1042253521126761</v>
      </c>
      <c r="M106" s="78">
        <f t="shared" si="41"/>
        <v>1.1816901408450704</v>
      </c>
      <c r="N106" s="78">
        <f t="shared" si="41"/>
        <v>1.2394366197183098</v>
      </c>
      <c r="O106" s="78">
        <f t="shared" si="41"/>
        <v>0</v>
      </c>
      <c r="P106" s="78">
        <f t="shared" si="41"/>
        <v>1.295774647887324</v>
      </c>
      <c r="Q106" s="78">
        <f t="shared" si="41"/>
        <v>0</v>
      </c>
      <c r="R106" s="78">
        <f t="shared" si="41"/>
        <v>0</v>
      </c>
      <c r="S106" s="78">
        <f t="shared" si="41"/>
        <v>0</v>
      </c>
      <c r="T106" s="78">
        <f t="shared" si="41"/>
        <v>0</v>
      </c>
      <c r="U106" s="78">
        <f t="shared" si="41"/>
        <v>0</v>
      </c>
      <c r="V106" s="78">
        <f t="shared" si="41"/>
        <v>0</v>
      </c>
      <c r="W106" s="78">
        <f t="shared" si="41"/>
        <v>0</v>
      </c>
      <c r="X106" s="78">
        <f t="shared" si="41"/>
        <v>1.5042253521126761</v>
      </c>
      <c r="Y106" s="78">
        <f t="shared" si="41"/>
        <v>1.5760563380281689</v>
      </c>
      <c r="Z106" s="78">
        <f t="shared" si="41"/>
        <v>1.5816901408450703</v>
      </c>
      <c r="AA106" s="78">
        <f t="shared" si="41"/>
        <v>0</v>
      </c>
      <c r="AB106" s="78">
        <f t="shared" si="41"/>
        <v>0</v>
      </c>
      <c r="AC106" s="100">
        <f t="shared" si="41"/>
        <v>0</v>
      </c>
      <c r="AD106" s="107" t="s">
        <v>395</v>
      </c>
      <c r="AE106" s="68">
        <v>200</v>
      </c>
    </row>
    <row r="107" spans="1:31" ht="15" customHeight="1">
      <c r="A107" s="783"/>
      <c r="B107" s="836"/>
      <c r="C107" s="90">
        <f t="shared" si="42" ref="C107:I107">3*C106</f>
        <v>2.387323943661972</v>
      </c>
      <c r="D107" s="90">
        <f t="shared" si="42"/>
        <v>2.5056338028169014</v>
      </c>
      <c r="E107" s="90">
        <f t="shared" si="42"/>
        <v>2.5394366197183098</v>
      </c>
      <c r="F107" s="90">
        <f t="shared" si="42"/>
        <v>2.6492957746478876</v>
      </c>
      <c r="G107" s="90">
        <f t="shared" si="42"/>
        <v>2.7549295774647886</v>
      </c>
      <c r="H107" s="90">
        <f t="shared" si="42"/>
        <v>2.7760563380281691</v>
      </c>
      <c r="I107" s="90">
        <f t="shared" si="42"/>
        <v>2.7802816901408449</v>
      </c>
      <c r="J107" s="90">
        <f>3*J106</f>
        <v>3</v>
      </c>
      <c r="K107" s="90">
        <f t="shared" si="43" ref="K107:AC107">3*K106</f>
        <v>3.1732394366197179</v>
      </c>
      <c r="L107" s="90">
        <f t="shared" si="43"/>
        <v>3.3126760563380282</v>
      </c>
      <c r="M107" s="90">
        <f t="shared" si="43"/>
        <v>3.5450704225352112</v>
      </c>
      <c r="N107" s="90">
        <f t="shared" si="43"/>
        <v>3.7183098591549291</v>
      </c>
      <c r="O107" s="90">
        <f t="shared" si="43"/>
        <v>0</v>
      </c>
      <c r="P107" s="90">
        <f t="shared" si="43"/>
        <v>3.887323943661972</v>
      </c>
      <c r="Q107" s="90">
        <f t="shared" si="43"/>
        <v>0</v>
      </c>
      <c r="R107" s="90">
        <f t="shared" si="43"/>
        <v>0</v>
      </c>
      <c r="S107" s="90">
        <f t="shared" si="43"/>
        <v>0</v>
      </c>
      <c r="T107" s="90">
        <f t="shared" si="43"/>
        <v>0</v>
      </c>
      <c r="U107" s="90">
        <f t="shared" si="43"/>
        <v>0</v>
      </c>
      <c r="V107" s="90">
        <f t="shared" si="43"/>
        <v>0</v>
      </c>
      <c r="W107" s="90">
        <f t="shared" si="43"/>
        <v>0</v>
      </c>
      <c r="X107" s="90">
        <f t="shared" si="43"/>
        <v>4.5126760563380284</v>
      </c>
      <c r="Y107" s="90">
        <f t="shared" si="43"/>
        <v>4.7281690140845072</v>
      </c>
      <c r="Z107" s="90">
        <f t="shared" si="43"/>
        <v>4.7450704225352105</v>
      </c>
      <c r="AA107" s="90">
        <f t="shared" si="43"/>
        <v>0</v>
      </c>
      <c r="AB107" s="90">
        <f t="shared" si="43"/>
        <v>0</v>
      </c>
      <c r="AC107" s="300">
        <f t="shared" si="43"/>
        <v>0</v>
      </c>
      <c r="AD107" s="107" t="s">
        <v>393</v>
      </c>
      <c r="AE107" s="68"/>
    </row>
    <row r="108" spans="1:31" ht="15" customHeight="1">
      <c r="A108" s="783"/>
      <c r="B108" s="836"/>
      <c r="C108" s="80">
        <f t="shared" si="44" ref="C108:I108">C107*$AE$106</f>
        <v>477.46478873239437</v>
      </c>
      <c r="D108" s="80">
        <f t="shared" si="44"/>
        <v>501.12676056338029</v>
      </c>
      <c r="E108" s="80">
        <f t="shared" si="44"/>
        <v>507.88732394366195</v>
      </c>
      <c r="F108" s="80">
        <f t="shared" si="44"/>
        <v>529.85915492957747</v>
      </c>
      <c r="G108" s="80">
        <f t="shared" si="44"/>
        <v>550.9859154929577</v>
      </c>
      <c r="H108" s="80">
        <f t="shared" si="44"/>
        <v>555.21126760563379</v>
      </c>
      <c r="I108" s="80">
        <f t="shared" si="44"/>
        <v>556.05633802816897</v>
      </c>
      <c r="J108" s="80">
        <f>J107*$AE$106</f>
        <v>600</v>
      </c>
      <c r="K108" s="80">
        <f t="shared" si="45" ref="K108:AC108">K107*$AE$106</f>
        <v>634.64788732394356</v>
      </c>
      <c r="L108" s="80">
        <f t="shared" si="45"/>
        <v>662.53521126760563</v>
      </c>
      <c r="M108" s="80">
        <f t="shared" si="45"/>
        <v>709.0140845070423</v>
      </c>
      <c r="N108" s="80">
        <f t="shared" si="45"/>
        <v>743.66197183098586</v>
      </c>
      <c r="O108" s="80">
        <f t="shared" si="45"/>
        <v>0</v>
      </c>
      <c r="P108" s="80">
        <f t="shared" si="45"/>
        <v>777.46478873239437</v>
      </c>
      <c r="Q108" s="80">
        <f t="shared" si="45"/>
        <v>0</v>
      </c>
      <c r="R108" s="80">
        <f t="shared" si="45"/>
        <v>0</v>
      </c>
      <c r="S108" s="80">
        <f t="shared" si="45"/>
        <v>0</v>
      </c>
      <c r="T108" s="80">
        <f t="shared" si="45"/>
        <v>0</v>
      </c>
      <c r="U108" s="80">
        <f t="shared" si="45"/>
        <v>0</v>
      </c>
      <c r="V108" s="80">
        <f t="shared" si="45"/>
        <v>0</v>
      </c>
      <c r="W108" s="80">
        <f t="shared" si="45"/>
        <v>0</v>
      </c>
      <c r="X108" s="80">
        <f t="shared" si="45"/>
        <v>902.53521126760563</v>
      </c>
      <c r="Y108" s="80">
        <f t="shared" si="45"/>
        <v>945.63380281690138</v>
      </c>
      <c r="Z108" s="80">
        <f t="shared" si="45"/>
        <v>949.01408450704207</v>
      </c>
      <c r="AA108" s="80">
        <f t="shared" si="45"/>
        <v>0</v>
      </c>
      <c r="AB108" s="80">
        <f t="shared" si="45"/>
        <v>0</v>
      </c>
      <c r="AC108" s="197">
        <f t="shared" si="45"/>
        <v>0</v>
      </c>
      <c r="AD108" s="107" t="s">
        <v>377</v>
      </c>
      <c r="AE108" s="68"/>
    </row>
    <row r="109" spans="1:31" ht="15" customHeight="1">
      <c r="A109" s="783"/>
      <c r="B109" s="836"/>
      <c r="C109" s="314">
        <f t="shared" si="46" ref="C109:AC109">$AC$2/C107*2</f>
        <v>8.3775811209439528</v>
      </c>
      <c r="D109" s="314">
        <f t="shared" si="46"/>
        <v>7.9820123664980329</v>
      </c>
      <c r="E109" s="314">
        <f t="shared" si="46"/>
        <v>7.8757626178591238</v>
      </c>
      <c r="F109" s="314">
        <f t="shared" si="46"/>
        <v>7.5491759702286014</v>
      </c>
      <c r="G109" s="314">
        <f t="shared" si="46"/>
        <v>7.259713701431493</v>
      </c>
      <c r="H109" s="314">
        <f t="shared" si="46"/>
        <v>7.2044647387113141</v>
      </c>
      <c r="I109" s="314">
        <f t="shared" si="46"/>
        <v>7.1935157041540023</v>
      </c>
      <c r="J109" s="314">
        <f>$AC$2/J107*2</f>
        <v>6.666666666666667</v>
      </c>
      <c r="K109" s="314">
        <f t="shared" si="46"/>
        <v>6.3027075011096327</v>
      </c>
      <c r="L109" s="314">
        <f t="shared" si="46"/>
        <v>6.0374149659863949</v>
      </c>
      <c r="M109" s="314">
        <f t="shared" si="46"/>
        <v>5.6416368692888357</v>
      </c>
      <c r="N109" s="314">
        <f t="shared" si="46"/>
        <v>5.3787878787878798</v>
      </c>
      <c r="O109" s="314" t="e">
        <f t="shared" si="46"/>
        <v>#DIV/0!</v>
      </c>
      <c r="P109" s="314">
        <f t="shared" si="46"/>
        <v>5.1449275362318838</v>
      </c>
      <c r="Q109" s="314" t="e">
        <f t="shared" si="46"/>
        <v>#DIV/0!</v>
      </c>
      <c r="R109" s="314" t="e">
        <f t="shared" si="46"/>
        <v>#DIV/0!</v>
      </c>
      <c r="S109" s="314" t="e">
        <f t="shared" si="46"/>
        <v>#DIV/0!</v>
      </c>
      <c r="T109" s="314" t="e">
        <f t="shared" si="46"/>
        <v>#DIV/0!</v>
      </c>
      <c r="U109" s="314" t="e">
        <f t="shared" si="46"/>
        <v>#DIV/0!</v>
      </c>
      <c r="V109" s="314" t="e">
        <f t="shared" si="46"/>
        <v>#DIV/0!</v>
      </c>
      <c r="W109" s="314" t="e">
        <f t="shared" si="46"/>
        <v>#DIV/0!</v>
      </c>
      <c r="X109" s="314">
        <f t="shared" si="46"/>
        <v>4.4319600499375778</v>
      </c>
      <c r="Y109" s="314">
        <f t="shared" si="46"/>
        <v>4.2299672326481979</v>
      </c>
      <c r="Z109" s="314">
        <f t="shared" si="46"/>
        <v>4.2149005639655694</v>
      </c>
      <c r="AA109" s="314" t="e">
        <f t="shared" si="46"/>
        <v>#DIV/0!</v>
      </c>
      <c r="AB109" s="314" t="e">
        <f t="shared" si="46"/>
        <v>#DIV/0!</v>
      </c>
      <c r="AC109" s="315" t="e">
        <f t="shared" si="46"/>
        <v>#DIV/0!</v>
      </c>
      <c r="AD109" s="107" t="s">
        <v>376</v>
      </c>
      <c r="AE109" s="68"/>
    </row>
    <row r="110" spans="1:31" ht="15.75" thickBot="1">
      <c r="A110" s="755"/>
      <c r="B110" s="817"/>
      <c r="C110" s="77">
        <v>1130</v>
      </c>
      <c r="D110" s="77">
        <v>1186</v>
      </c>
      <c r="E110" s="77">
        <v>1202</v>
      </c>
      <c r="F110" s="77">
        <v>1254</v>
      </c>
      <c r="G110" s="77">
        <v>1304</v>
      </c>
      <c r="H110" s="77">
        <v>1314</v>
      </c>
      <c r="I110" s="77">
        <v>1316</v>
      </c>
      <c r="J110" s="77">
        <v>1420</v>
      </c>
      <c r="K110" s="77">
        <v>1502</v>
      </c>
      <c r="L110" s="77">
        <v>1568</v>
      </c>
      <c r="M110" s="77">
        <v>1678</v>
      </c>
      <c r="N110" s="77">
        <v>1760</v>
      </c>
      <c r="O110" s="77"/>
      <c r="P110" s="77">
        <v>1840</v>
      </c>
      <c r="Q110" s="77"/>
      <c r="R110" s="77"/>
      <c r="S110" s="77"/>
      <c r="T110" s="77"/>
      <c r="U110" s="77"/>
      <c r="V110" s="77"/>
      <c r="W110" s="77"/>
      <c r="X110" s="77">
        <v>2136</v>
      </c>
      <c r="Y110" s="77">
        <v>2238</v>
      </c>
      <c r="Z110" s="77">
        <v>2246</v>
      </c>
      <c r="AA110" s="77"/>
      <c r="AB110" s="77"/>
      <c r="AC110" s="104"/>
      <c r="AD110" s="107" t="s">
        <v>641</v>
      </c>
      <c r="AE110" s="68"/>
    </row>
    <row r="111" spans="1:31" ht="15" customHeight="1">
      <c r="A111" s="754" t="s">
        <v>172</v>
      </c>
      <c r="B111" s="756" t="s">
        <v>642</v>
      </c>
      <c r="C111" s="305">
        <f t="shared" si="47" ref="C111:F111">C115/$G$81*1.5</f>
        <v>1.225609756097561</v>
      </c>
      <c r="D111" s="305">
        <f t="shared" si="47"/>
        <v>1.3170731707317074</v>
      </c>
      <c r="E111" s="305">
        <f t="shared" si="47"/>
        <v>1.3170731707317074</v>
      </c>
      <c r="F111" s="305">
        <f t="shared" si="47"/>
        <v>1.4085365853658536</v>
      </c>
      <c r="G111" s="306">
        <f>G115/$G$81*1.5</f>
        <v>1.50</v>
      </c>
      <c r="H111" s="305">
        <f t="shared" si="48" ref="H111:AC111">H115/$G$81*1.5</f>
        <v>1.50</v>
      </c>
      <c r="I111" s="305">
        <f t="shared" si="48"/>
        <v>1.50</v>
      </c>
      <c r="J111" s="305">
        <f t="shared" si="48"/>
        <v>1.6829268292682928</v>
      </c>
      <c r="K111" s="305">
        <f t="shared" si="48"/>
        <v>1.8292682926829267</v>
      </c>
      <c r="L111" s="305">
        <f t="shared" si="48"/>
        <v>1.8292682926829267</v>
      </c>
      <c r="M111" s="305">
        <f t="shared" si="48"/>
        <v>1.8658536585365852</v>
      </c>
      <c r="N111" s="305">
        <f t="shared" si="48"/>
        <v>2.0121951219512195</v>
      </c>
      <c r="O111" s="305">
        <f t="shared" si="48"/>
        <v>2.0487804878048781</v>
      </c>
      <c r="P111" s="305">
        <f t="shared" si="48"/>
        <v>2.1036585365853657</v>
      </c>
      <c r="Q111" s="305">
        <f t="shared" si="48"/>
        <v>2.2317073170731705</v>
      </c>
      <c r="R111" s="305">
        <f t="shared" si="48"/>
        <v>2.2317073170731705</v>
      </c>
      <c r="S111" s="305">
        <f t="shared" si="48"/>
        <v>2.2317073170731705</v>
      </c>
      <c r="T111" s="305">
        <f t="shared" si="48"/>
        <v>2.4146341463414638</v>
      </c>
      <c r="U111" s="305">
        <f t="shared" si="48"/>
        <v>2.4146341463414638</v>
      </c>
      <c r="V111" s="305">
        <f t="shared" si="48"/>
        <v>2.5975609756097562</v>
      </c>
      <c r="W111" s="305">
        <f t="shared" si="48"/>
        <v>2.5975609756097562</v>
      </c>
      <c r="X111" s="305">
        <f t="shared" si="48"/>
        <v>2.5975609756097562</v>
      </c>
      <c r="Y111" s="305">
        <f t="shared" si="48"/>
        <v>2.780487804878049</v>
      </c>
      <c r="Z111" s="305">
        <f t="shared" si="48"/>
        <v>2.780487804878049</v>
      </c>
      <c r="AA111" s="305">
        <f t="shared" si="48"/>
        <v>2.780487804878049</v>
      </c>
      <c r="AB111" s="305">
        <f t="shared" si="48"/>
        <v>2.9634146341463414</v>
      </c>
      <c r="AC111" s="307">
        <f t="shared" si="48"/>
        <v>2.9634146341463414</v>
      </c>
      <c r="AD111" s="107" t="s">
        <v>395</v>
      </c>
      <c r="AE111" s="68">
        <v>200</v>
      </c>
    </row>
    <row r="112" spans="1:31" ht="15" customHeight="1">
      <c r="A112" s="783"/>
      <c r="B112" s="641"/>
      <c r="C112" s="308">
        <f t="shared" si="49" ref="C112:F112">60/60*C111</f>
        <v>1.225609756097561</v>
      </c>
      <c r="D112" s="308">
        <f t="shared" si="49"/>
        <v>1.3170731707317074</v>
      </c>
      <c r="E112" s="308">
        <f t="shared" si="49"/>
        <v>1.3170731707317074</v>
      </c>
      <c r="F112" s="308">
        <f t="shared" si="49"/>
        <v>1.4085365853658536</v>
      </c>
      <c r="G112" s="99">
        <f>60/60*G111</f>
        <v>1.50</v>
      </c>
      <c r="H112" s="308">
        <f t="shared" si="50" ref="H112:AC112">60/60*H111</f>
        <v>1.50</v>
      </c>
      <c r="I112" s="308">
        <f t="shared" si="50"/>
        <v>1.50</v>
      </c>
      <c r="J112" s="308">
        <f t="shared" si="50"/>
        <v>1.6829268292682928</v>
      </c>
      <c r="K112" s="308">
        <f t="shared" si="50"/>
        <v>1.8292682926829267</v>
      </c>
      <c r="L112" s="308">
        <f t="shared" si="50"/>
        <v>1.8292682926829267</v>
      </c>
      <c r="M112" s="308">
        <f t="shared" si="50"/>
        <v>1.8658536585365852</v>
      </c>
      <c r="N112" s="308">
        <f t="shared" si="50"/>
        <v>2.0121951219512195</v>
      </c>
      <c r="O112" s="308">
        <f t="shared" si="50"/>
        <v>2.0487804878048781</v>
      </c>
      <c r="P112" s="308">
        <f t="shared" si="50"/>
        <v>2.1036585365853657</v>
      </c>
      <c r="Q112" s="308">
        <f t="shared" si="50"/>
        <v>2.2317073170731705</v>
      </c>
      <c r="R112" s="308">
        <f t="shared" si="50"/>
        <v>2.2317073170731705</v>
      </c>
      <c r="S112" s="308">
        <f t="shared" si="50"/>
        <v>2.2317073170731705</v>
      </c>
      <c r="T112" s="308">
        <f t="shared" si="50"/>
        <v>2.4146341463414638</v>
      </c>
      <c r="U112" s="308">
        <f t="shared" si="50"/>
        <v>2.4146341463414638</v>
      </c>
      <c r="V112" s="308">
        <f t="shared" si="50"/>
        <v>2.5975609756097562</v>
      </c>
      <c r="W112" s="308">
        <f t="shared" si="50"/>
        <v>2.5975609756097562</v>
      </c>
      <c r="X112" s="308">
        <f t="shared" si="50"/>
        <v>2.5975609756097562</v>
      </c>
      <c r="Y112" s="308">
        <f t="shared" si="50"/>
        <v>2.780487804878049</v>
      </c>
      <c r="Z112" s="308">
        <f t="shared" si="50"/>
        <v>2.780487804878049</v>
      </c>
      <c r="AA112" s="308">
        <f t="shared" si="50"/>
        <v>2.780487804878049</v>
      </c>
      <c r="AB112" s="308">
        <f t="shared" si="50"/>
        <v>2.9634146341463414</v>
      </c>
      <c r="AC112" s="309">
        <f t="shared" si="50"/>
        <v>2.9634146341463414</v>
      </c>
      <c r="AD112" s="107" t="s">
        <v>393</v>
      </c>
      <c r="AE112" s="68"/>
    </row>
    <row r="113" spans="1:31" ht="15" customHeight="1">
      <c r="A113" s="783"/>
      <c r="B113" s="641"/>
      <c r="C113" s="163">
        <f t="shared" si="51" ref="C113:F113">C112*$AE$77*2</f>
        <v>490.2439024390244</v>
      </c>
      <c r="D113" s="163">
        <f t="shared" si="51"/>
        <v>526.82926829268297</v>
      </c>
      <c r="E113" s="163">
        <f t="shared" si="51"/>
        <v>526.82926829268297</v>
      </c>
      <c r="F113" s="163">
        <f t="shared" si="51"/>
        <v>563.41463414634143</v>
      </c>
      <c r="G113" s="138">
        <f>G112*$AE$77*2</f>
        <v>600</v>
      </c>
      <c r="H113" s="163">
        <f t="shared" si="52" ref="H113:AC113">H112*$AE$77*2</f>
        <v>600</v>
      </c>
      <c r="I113" s="163">
        <f t="shared" si="52"/>
        <v>600</v>
      </c>
      <c r="J113" s="163">
        <f t="shared" si="52"/>
        <v>673.17073170731715</v>
      </c>
      <c r="K113" s="163">
        <f t="shared" si="52"/>
        <v>731.70731707317066</v>
      </c>
      <c r="L113" s="163">
        <f t="shared" si="52"/>
        <v>731.70731707317066</v>
      </c>
      <c r="M113" s="163">
        <f t="shared" si="52"/>
        <v>746.34146341463406</v>
      </c>
      <c r="N113" s="163">
        <f t="shared" si="52"/>
        <v>804.8780487804878</v>
      </c>
      <c r="O113" s="163">
        <f t="shared" si="52"/>
        <v>819.51219512195121</v>
      </c>
      <c r="P113" s="163">
        <f t="shared" si="52"/>
        <v>841.46341463414626</v>
      </c>
      <c r="Q113" s="163">
        <f t="shared" si="52"/>
        <v>892.68292682926824</v>
      </c>
      <c r="R113" s="163">
        <f t="shared" si="52"/>
        <v>892.68292682926824</v>
      </c>
      <c r="S113" s="163">
        <f t="shared" si="52"/>
        <v>892.68292682926824</v>
      </c>
      <c r="T113" s="163">
        <f t="shared" si="52"/>
        <v>965.8536585365855</v>
      </c>
      <c r="U113" s="163">
        <f t="shared" si="52"/>
        <v>965.8536585365855</v>
      </c>
      <c r="V113" s="163">
        <f t="shared" si="52"/>
        <v>1039.0243902439024</v>
      </c>
      <c r="W113" s="163">
        <f t="shared" si="52"/>
        <v>1039.0243902439024</v>
      </c>
      <c r="X113" s="163">
        <f t="shared" si="52"/>
        <v>1039.0243902439024</v>
      </c>
      <c r="Y113" s="163">
        <f t="shared" si="52"/>
        <v>1112.1951219512196</v>
      </c>
      <c r="Z113" s="163">
        <f t="shared" si="52"/>
        <v>1112.1951219512196</v>
      </c>
      <c r="AA113" s="163">
        <f t="shared" si="52"/>
        <v>1112.1951219512196</v>
      </c>
      <c r="AB113" s="163">
        <f t="shared" si="52"/>
        <v>1185.3658536585365</v>
      </c>
      <c r="AC113" s="164">
        <f t="shared" si="52"/>
        <v>1185.3658536585365</v>
      </c>
      <c r="AD113" s="107" t="s">
        <v>377</v>
      </c>
      <c r="AE113" s="68"/>
    </row>
    <row r="114" spans="1:31" ht="15" customHeight="1">
      <c r="A114" s="782"/>
      <c r="B114" s="638"/>
      <c r="C114" s="310">
        <f t="shared" si="53" ref="C114:G114">$AC$2/C112</f>
        <v>8.1592039800995018</v>
      </c>
      <c r="D114" s="310">
        <f t="shared" si="53"/>
        <v>7.5925925925925926</v>
      </c>
      <c r="E114" s="310">
        <f t="shared" si="53"/>
        <v>7.5925925925925926</v>
      </c>
      <c r="F114" s="310">
        <f t="shared" si="53"/>
        <v>7.0995670995670999</v>
      </c>
      <c r="G114" s="311">
        <f t="shared" si="53"/>
        <v>6.666666666666667</v>
      </c>
      <c r="H114" s="310">
        <f>$AC$2/H112</f>
        <v>6.666666666666667</v>
      </c>
      <c r="I114" s="310">
        <f t="shared" si="54" ref="I114:AC114">$AC$2/I112</f>
        <v>6.666666666666667</v>
      </c>
      <c r="J114" s="310">
        <f t="shared" si="54"/>
        <v>5.9420289855072461</v>
      </c>
      <c r="K114" s="310">
        <f t="shared" si="54"/>
        <v>5.4666666666666668</v>
      </c>
      <c r="L114" s="310">
        <f t="shared" si="54"/>
        <v>5.4666666666666668</v>
      </c>
      <c r="M114" s="310">
        <f t="shared" si="54"/>
        <v>5.359477124183007</v>
      </c>
      <c r="N114" s="310">
        <f t="shared" si="54"/>
        <v>4.9696969696969697</v>
      </c>
      <c r="O114" s="310">
        <f t="shared" si="54"/>
        <v>4.8809523809523805</v>
      </c>
      <c r="P114" s="310">
        <f t="shared" si="54"/>
        <v>4.7536231884057978</v>
      </c>
      <c r="Q114" s="310">
        <f t="shared" si="54"/>
        <v>4.4808743169398912</v>
      </c>
      <c r="R114" s="310">
        <f t="shared" si="54"/>
        <v>4.4808743169398912</v>
      </c>
      <c r="S114" s="310">
        <f t="shared" si="54"/>
        <v>4.4808743169398912</v>
      </c>
      <c r="T114" s="310">
        <f t="shared" si="54"/>
        <v>4.141414141414141</v>
      </c>
      <c r="U114" s="310">
        <f t="shared" si="54"/>
        <v>4.141414141414141</v>
      </c>
      <c r="V114" s="310">
        <f t="shared" si="54"/>
        <v>3.8497652582159625</v>
      </c>
      <c r="W114" s="310">
        <f t="shared" si="54"/>
        <v>3.8497652582159625</v>
      </c>
      <c r="X114" s="310">
        <f t="shared" si="54"/>
        <v>3.8497652582159625</v>
      </c>
      <c r="Y114" s="310">
        <f t="shared" si="54"/>
        <v>3.5964912280701751</v>
      </c>
      <c r="Z114" s="310">
        <f t="shared" si="54"/>
        <v>3.5964912280701751</v>
      </c>
      <c r="AA114" s="310">
        <f t="shared" si="54"/>
        <v>3.5964912280701751</v>
      </c>
      <c r="AB114" s="310">
        <f t="shared" si="54"/>
        <v>3.3744855967078191</v>
      </c>
      <c r="AC114" s="312">
        <f t="shared" si="54"/>
        <v>3.3744855967078191</v>
      </c>
      <c r="AD114" s="107" t="s">
        <v>376</v>
      </c>
      <c r="AE114" s="68"/>
    </row>
    <row r="115" spans="1:31" ht="15.75" thickBot="1">
      <c r="A115" s="755"/>
      <c r="B115" s="757"/>
      <c r="C115" s="77">
        <v>670</v>
      </c>
      <c r="D115" s="77">
        <v>720</v>
      </c>
      <c r="E115" s="77">
        <v>720</v>
      </c>
      <c r="F115" s="77">
        <v>770</v>
      </c>
      <c r="G115" s="73">
        <v>820</v>
      </c>
      <c r="H115" s="77">
        <v>820</v>
      </c>
      <c r="I115" s="77">
        <v>820</v>
      </c>
      <c r="J115" s="77">
        <v>920</v>
      </c>
      <c r="K115" s="77">
        <v>1000</v>
      </c>
      <c r="L115" s="77">
        <v>1000</v>
      </c>
      <c r="M115" s="77">
        <v>1020</v>
      </c>
      <c r="N115" s="77">
        <v>1100</v>
      </c>
      <c r="O115" s="77">
        <v>1120</v>
      </c>
      <c r="P115" s="77">
        <v>1150</v>
      </c>
      <c r="Q115" s="77">
        <v>1220</v>
      </c>
      <c r="R115" s="77">
        <v>1220</v>
      </c>
      <c r="S115" s="77">
        <v>1220</v>
      </c>
      <c r="T115" s="77">
        <v>1320</v>
      </c>
      <c r="U115" s="77">
        <v>1320</v>
      </c>
      <c r="V115" s="77">
        <v>1420</v>
      </c>
      <c r="W115" s="77">
        <v>1420</v>
      </c>
      <c r="X115" s="77">
        <v>1420</v>
      </c>
      <c r="Y115" s="77">
        <v>1520</v>
      </c>
      <c r="Z115" s="77">
        <v>1520</v>
      </c>
      <c r="AA115" s="77">
        <v>1520</v>
      </c>
      <c r="AB115" s="77">
        <v>1620</v>
      </c>
      <c r="AC115" s="104">
        <v>1620</v>
      </c>
      <c r="AD115" s="107" t="s">
        <v>603</v>
      </c>
      <c r="AE115" s="68"/>
    </row>
    <row r="116" spans="1:31" ht="15.75" thickBot="1">
      <c r="A116" s="130" t="s">
        <v>643</v>
      </c>
      <c r="B116" s="76" t="s">
        <v>644</v>
      </c>
      <c r="C116" s="772" t="s">
        <v>645</v>
      </c>
      <c r="D116" s="773"/>
      <c r="E116" s="773"/>
      <c r="F116" s="773"/>
      <c r="G116" s="773"/>
      <c r="H116" s="773"/>
      <c r="I116" s="773"/>
      <c r="J116" s="773"/>
      <c r="K116" s="773"/>
      <c r="L116" s="773"/>
      <c r="M116" s="773"/>
      <c r="N116" s="773"/>
      <c r="O116" s="773"/>
      <c r="P116" s="773"/>
      <c r="Q116" s="773"/>
      <c r="R116" s="773"/>
      <c r="S116" s="773"/>
      <c r="T116" s="773"/>
      <c r="U116" s="773"/>
      <c r="V116" s="773"/>
      <c r="W116" s="773"/>
      <c r="X116" s="773"/>
      <c r="Y116" s="773"/>
      <c r="Z116" s="773"/>
      <c r="AA116" s="773"/>
      <c r="AB116" s="773"/>
      <c r="AC116" s="774"/>
      <c r="AD116" s="107"/>
      <c r="AE116" s="68">
        <v>183</v>
      </c>
    </row>
    <row r="117" spans="1:31" ht="15">
      <c r="A117" s="784" t="s">
        <v>314</v>
      </c>
      <c r="B117" s="777" t="s">
        <v>646</v>
      </c>
      <c r="C117" s="306">
        <f>C121/$C$121</f>
        <v>1</v>
      </c>
      <c r="D117" s="305">
        <f t="shared" si="55" ref="D117:AC117">D121/$C$121</f>
        <v>1.0649350649350648</v>
      </c>
      <c r="E117" s="305">
        <f t="shared" si="55"/>
        <v>1.0805194805194804</v>
      </c>
      <c r="F117" s="305">
        <f t="shared" si="55"/>
        <v>0</v>
      </c>
      <c r="G117" s="305">
        <f t="shared" si="55"/>
        <v>1.1948051948051948</v>
      </c>
      <c r="H117" s="305">
        <f t="shared" si="55"/>
        <v>0</v>
      </c>
      <c r="I117" s="305">
        <f t="shared" si="55"/>
        <v>1.1948051948051948</v>
      </c>
      <c r="J117" s="305">
        <f t="shared" si="55"/>
        <v>0</v>
      </c>
      <c r="K117" s="305">
        <f t="shared" si="55"/>
        <v>1.4285714285714286</v>
      </c>
      <c r="L117" s="305">
        <f t="shared" si="55"/>
        <v>1.4285714285714286</v>
      </c>
      <c r="M117" s="305">
        <f t="shared" si="55"/>
        <v>1.4545454545454546</v>
      </c>
      <c r="N117" s="305">
        <f t="shared" si="55"/>
        <v>1.5584415584415585</v>
      </c>
      <c r="O117" s="305">
        <f t="shared" si="55"/>
        <v>0</v>
      </c>
      <c r="P117" s="305">
        <f t="shared" si="55"/>
        <v>1.6233766233766234</v>
      </c>
      <c r="Q117" s="305">
        <f t="shared" si="55"/>
        <v>0</v>
      </c>
      <c r="R117" s="305">
        <f t="shared" si="55"/>
        <v>0</v>
      </c>
      <c r="S117" s="305">
        <f t="shared" si="55"/>
        <v>0</v>
      </c>
      <c r="T117" s="305">
        <f t="shared" si="55"/>
        <v>0</v>
      </c>
      <c r="U117" s="305">
        <f t="shared" si="55"/>
        <v>0</v>
      </c>
      <c r="V117" s="305">
        <f t="shared" si="55"/>
        <v>0</v>
      </c>
      <c r="W117" s="305">
        <f t="shared" si="55"/>
        <v>0</v>
      </c>
      <c r="X117" s="305">
        <f t="shared" si="55"/>
        <v>1.974025974025974</v>
      </c>
      <c r="Y117" s="305">
        <f t="shared" si="55"/>
        <v>2.1038961038961039</v>
      </c>
      <c r="Z117" s="305">
        <f t="shared" si="55"/>
        <v>2.1038961038961039</v>
      </c>
      <c r="AA117" s="305">
        <f t="shared" si="55"/>
        <v>0</v>
      </c>
      <c r="AB117" s="305">
        <f t="shared" si="55"/>
        <v>0</v>
      </c>
      <c r="AC117" s="307">
        <f t="shared" si="55"/>
        <v>0</v>
      </c>
      <c r="AD117" s="107" t="s">
        <v>395</v>
      </c>
      <c r="AE117" s="68">
        <v>200</v>
      </c>
    </row>
    <row r="118" spans="1:31" ht="15">
      <c r="A118" s="785"/>
      <c r="B118" s="640"/>
      <c r="C118" s="316">
        <f>2*C117</f>
        <v>2</v>
      </c>
      <c r="D118" s="317">
        <f t="shared" si="56" ref="D118:AC118">2*D117</f>
        <v>2.1298701298701297</v>
      </c>
      <c r="E118" s="317">
        <f t="shared" si="56"/>
        <v>2.1610389610389609</v>
      </c>
      <c r="F118" s="317">
        <f t="shared" si="56"/>
        <v>0</v>
      </c>
      <c r="G118" s="317">
        <f t="shared" si="56"/>
        <v>2.3896103896103895</v>
      </c>
      <c r="H118" s="317">
        <f t="shared" si="56"/>
        <v>0</v>
      </c>
      <c r="I118" s="317">
        <f t="shared" si="56"/>
        <v>2.3896103896103895</v>
      </c>
      <c r="J118" s="317">
        <f t="shared" si="56"/>
        <v>0</v>
      </c>
      <c r="K118" s="317">
        <f t="shared" si="56"/>
        <v>2.8571428571428572</v>
      </c>
      <c r="L118" s="317">
        <f t="shared" si="56"/>
        <v>2.8571428571428572</v>
      </c>
      <c r="M118" s="317">
        <f t="shared" si="56"/>
        <v>2.9090909090909092</v>
      </c>
      <c r="N118" s="317">
        <f t="shared" si="56"/>
        <v>3.116883116883117</v>
      </c>
      <c r="O118" s="317">
        <f t="shared" si="56"/>
        <v>0</v>
      </c>
      <c r="P118" s="317">
        <f t="shared" si="56"/>
        <v>3.2467532467532467</v>
      </c>
      <c r="Q118" s="317">
        <f t="shared" si="56"/>
        <v>0</v>
      </c>
      <c r="R118" s="317">
        <f t="shared" si="56"/>
        <v>0</v>
      </c>
      <c r="S118" s="317">
        <f t="shared" si="56"/>
        <v>0</v>
      </c>
      <c r="T118" s="317">
        <f t="shared" si="56"/>
        <v>0</v>
      </c>
      <c r="U118" s="317">
        <f t="shared" si="56"/>
        <v>0</v>
      </c>
      <c r="V118" s="317">
        <f t="shared" si="56"/>
        <v>0</v>
      </c>
      <c r="W118" s="317">
        <f t="shared" si="56"/>
        <v>0</v>
      </c>
      <c r="X118" s="317">
        <f t="shared" si="56"/>
        <v>3.948051948051948</v>
      </c>
      <c r="Y118" s="317">
        <f t="shared" si="56"/>
        <v>4.2077922077922079</v>
      </c>
      <c r="Z118" s="317">
        <f t="shared" si="56"/>
        <v>4.2077922077922079</v>
      </c>
      <c r="AA118" s="317">
        <f t="shared" si="56"/>
        <v>0</v>
      </c>
      <c r="AB118" s="317">
        <f t="shared" si="56"/>
        <v>0</v>
      </c>
      <c r="AC118" s="318">
        <f t="shared" si="56"/>
        <v>0</v>
      </c>
      <c r="AD118" s="107" t="s">
        <v>393</v>
      </c>
      <c r="AE118" s="68"/>
    </row>
    <row r="119" spans="1:31" ht="15.75">
      <c r="A119" s="785"/>
      <c r="B119" s="640"/>
      <c r="C119" s="138">
        <f>C118*$AE$117</f>
        <v>400</v>
      </c>
      <c r="D119" s="75">
        <f t="shared" si="57" ref="D119:AC119">D118*$AE$117</f>
        <v>425.97402597402595</v>
      </c>
      <c r="E119" s="75">
        <f t="shared" si="57"/>
        <v>432.20779220779218</v>
      </c>
      <c r="F119" s="75">
        <f t="shared" si="57"/>
        <v>0</v>
      </c>
      <c r="G119" s="75">
        <f t="shared" si="57"/>
        <v>477.9220779220779</v>
      </c>
      <c r="H119" s="75">
        <f t="shared" si="57"/>
        <v>0</v>
      </c>
      <c r="I119" s="75">
        <f t="shared" si="57"/>
        <v>477.9220779220779</v>
      </c>
      <c r="J119" s="75">
        <f t="shared" si="57"/>
        <v>0</v>
      </c>
      <c r="K119" s="75">
        <f t="shared" si="57"/>
        <v>571.42857142857144</v>
      </c>
      <c r="L119" s="75">
        <f t="shared" si="57"/>
        <v>571.42857142857144</v>
      </c>
      <c r="M119" s="75">
        <f t="shared" si="57"/>
        <v>581.81818181818187</v>
      </c>
      <c r="N119" s="75">
        <f t="shared" si="57"/>
        <v>623.37662337662346</v>
      </c>
      <c r="O119" s="75">
        <f t="shared" si="57"/>
        <v>0</v>
      </c>
      <c r="P119" s="75">
        <f t="shared" si="57"/>
        <v>649.35064935064929</v>
      </c>
      <c r="Q119" s="75">
        <f t="shared" si="57"/>
        <v>0</v>
      </c>
      <c r="R119" s="75">
        <f t="shared" si="57"/>
        <v>0</v>
      </c>
      <c r="S119" s="75">
        <f t="shared" si="57"/>
        <v>0</v>
      </c>
      <c r="T119" s="75">
        <f t="shared" si="57"/>
        <v>0</v>
      </c>
      <c r="U119" s="75">
        <f t="shared" si="57"/>
        <v>0</v>
      </c>
      <c r="V119" s="75">
        <f t="shared" si="57"/>
        <v>0</v>
      </c>
      <c r="W119" s="75">
        <f t="shared" si="57"/>
        <v>0</v>
      </c>
      <c r="X119" s="75">
        <f t="shared" si="57"/>
        <v>789.61038961038957</v>
      </c>
      <c r="Y119" s="75">
        <f t="shared" si="57"/>
        <v>841.55844155844159</v>
      </c>
      <c r="Z119" s="75">
        <f t="shared" si="57"/>
        <v>841.55844155844159</v>
      </c>
      <c r="AA119" s="75">
        <f t="shared" si="57"/>
        <v>0</v>
      </c>
      <c r="AB119" s="75">
        <f t="shared" si="57"/>
        <v>0</v>
      </c>
      <c r="AC119" s="101">
        <f t="shared" si="57"/>
        <v>0</v>
      </c>
      <c r="AD119" s="107" t="s">
        <v>377</v>
      </c>
      <c r="AE119" s="68"/>
    </row>
    <row r="120" spans="1:31" ht="15.75">
      <c r="A120" s="785"/>
      <c r="B120" s="640"/>
      <c r="C120" s="311">
        <f>$AC$2/C118*4</f>
        <v>20</v>
      </c>
      <c r="D120" s="310">
        <f t="shared" si="58" ref="D120:AC120">$AC$2/D118*4</f>
        <v>18.780487804878049</v>
      </c>
      <c r="E120" s="310">
        <f t="shared" si="58"/>
        <v>18.509615384615387</v>
      </c>
      <c r="F120" s="310" t="e">
        <f t="shared" si="58"/>
        <v>#DIV/0!</v>
      </c>
      <c r="G120" s="310">
        <f t="shared" si="58"/>
        <v>16.739130434782609</v>
      </c>
      <c r="H120" s="310" t="e">
        <f t="shared" si="58"/>
        <v>#DIV/0!</v>
      </c>
      <c r="I120" s="310">
        <f t="shared" si="58"/>
        <v>16.739130434782609</v>
      </c>
      <c r="J120" s="310" t="e">
        <f t="shared" si="58"/>
        <v>#DIV/0!</v>
      </c>
      <c r="K120" s="310">
        <f t="shared" si="58"/>
        <v>14</v>
      </c>
      <c r="L120" s="310">
        <f t="shared" si="58"/>
        <v>14</v>
      </c>
      <c r="M120" s="310">
        <f t="shared" si="58"/>
        <v>13.75</v>
      </c>
      <c r="N120" s="310">
        <f t="shared" si="58"/>
        <v>12.833333333333332</v>
      </c>
      <c r="O120" s="310" t="e">
        <f t="shared" si="58"/>
        <v>#DIV/0!</v>
      </c>
      <c r="P120" s="310">
        <f t="shared" si="58"/>
        <v>12.32</v>
      </c>
      <c r="Q120" s="310" t="e">
        <f t="shared" si="58"/>
        <v>#DIV/0!</v>
      </c>
      <c r="R120" s="310" t="e">
        <f t="shared" si="58"/>
        <v>#DIV/0!</v>
      </c>
      <c r="S120" s="310" t="e">
        <f t="shared" si="58"/>
        <v>#DIV/0!</v>
      </c>
      <c r="T120" s="310" t="e">
        <f t="shared" si="58"/>
        <v>#DIV/0!</v>
      </c>
      <c r="U120" s="310" t="e">
        <f t="shared" si="58"/>
        <v>#DIV/0!</v>
      </c>
      <c r="V120" s="310" t="e">
        <f t="shared" si="58"/>
        <v>#DIV/0!</v>
      </c>
      <c r="W120" s="310" t="e">
        <f t="shared" si="58"/>
        <v>#DIV/0!</v>
      </c>
      <c r="X120" s="310">
        <f t="shared" si="58"/>
        <v>10.131578947368421</v>
      </c>
      <c r="Y120" s="310">
        <f t="shared" si="58"/>
        <v>9.5061728395061724</v>
      </c>
      <c r="Z120" s="310">
        <f t="shared" si="58"/>
        <v>9.5061728395061724</v>
      </c>
      <c r="AA120" s="310" t="e">
        <f t="shared" si="58"/>
        <v>#DIV/0!</v>
      </c>
      <c r="AB120" s="310" t="e">
        <f t="shared" si="58"/>
        <v>#DIV/0!</v>
      </c>
      <c r="AC120" s="312" t="e">
        <f t="shared" si="58"/>
        <v>#DIV/0!</v>
      </c>
      <c r="AD120" s="107" t="s">
        <v>376</v>
      </c>
      <c r="AE120" s="68"/>
    </row>
    <row r="121" spans="1:31" ht="15.75" thickBot="1">
      <c r="A121" s="786"/>
      <c r="B121" s="778"/>
      <c r="C121" s="319">
        <v>770</v>
      </c>
      <c r="D121" s="189">
        <v>820</v>
      </c>
      <c r="E121" s="189">
        <v>832</v>
      </c>
      <c r="F121" s="189"/>
      <c r="G121" s="189">
        <v>920</v>
      </c>
      <c r="H121" s="189"/>
      <c r="I121" s="189">
        <v>920</v>
      </c>
      <c r="J121" s="189"/>
      <c r="K121" s="189">
        <v>1100</v>
      </c>
      <c r="L121" s="189">
        <v>1100</v>
      </c>
      <c r="M121" s="189">
        <v>1120</v>
      </c>
      <c r="N121" s="189">
        <v>1200</v>
      </c>
      <c r="O121" s="189"/>
      <c r="P121" s="189">
        <v>1250</v>
      </c>
      <c r="Q121" s="189"/>
      <c r="R121" s="189"/>
      <c r="S121" s="189"/>
      <c r="T121" s="189"/>
      <c r="U121" s="189"/>
      <c r="V121" s="189"/>
      <c r="W121" s="189"/>
      <c r="X121" s="189">
        <v>1520</v>
      </c>
      <c r="Y121" s="189">
        <v>1620</v>
      </c>
      <c r="Z121" s="189">
        <v>1620</v>
      </c>
      <c r="AA121" s="189"/>
      <c r="AB121" s="189"/>
      <c r="AC121" s="190"/>
      <c r="AD121" s="107" t="s">
        <v>647</v>
      </c>
      <c r="AE121" s="68"/>
    </row>
    <row r="122" spans="1:31" ht="15">
      <c r="A122" s="754" t="s">
        <v>648</v>
      </c>
      <c r="B122" s="756" t="s">
        <v>649</v>
      </c>
      <c r="C122" s="306">
        <f>C126/$C$126</f>
        <v>1</v>
      </c>
      <c r="D122" s="78">
        <f t="shared" si="59" ref="D122:AC122">D126/$C$126</f>
        <v>1.0495575221238937</v>
      </c>
      <c r="E122" s="78">
        <f t="shared" si="59"/>
        <v>1.0637168141592921</v>
      </c>
      <c r="F122" s="78">
        <f t="shared" si="59"/>
        <v>1.1097345132743364</v>
      </c>
      <c r="G122" s="78">
        <f t="shared" si="59"/>
        <v>1.1539823008849557</v>
      </c>
      <c r="H122" s="78">
        <f t="shared" si="59"/>
        <v>0</v>
      </c>
      <c r="I122" s="78">
        <f t="shared" si="59"/>
        <v>1.1646017699115043</v>
      </c>
      <c r="J122" s="78">
        <f t="shared" si="59"/>
        <v>1.2566371681415929</v>
      </c>
      <c r="K122" s="78">
        <f t="shared" si="59"/>
        <v>1.3292035398230089</v>
      </c>
      <c r="L122" s="78">
        <f t="shared" si="59"/>
        <v>1.3876106194690265</v>
      </c>
      <c r="M122" s="78">
        <f t="shared" si="59"/>
        <v>1.4849557522123893</v>
      </c>
      <c r="N122" s="78">
        <f t="shared" si="59"/>
        <v>1.5575221238938053</v>
      </c>
      <c r="O122" s="78">
        <f t="shared" si="59"/>
        <v>0</v>
      </c>
      <c r="P122" s="78">
        <f t="shared" si="59"/>
        <v>1.6283185840707965</v>
      </c>
      <c r="Q122" s="78">
        <f t="shared" si="59"/>
        <v>0</v>
      </c>
      <c r="R122" s="78">
        <f t="shared" si="59"/>
        <v>0</v>
      </c>
      <c r="S122" s="78">
        <f t="shared" si="59"/>
        <v>0</v>
      </c>
      <c r="T122" s="78">
        <f t="shared" si="59"/>
        <v>0</v>
      </c>
      <c r="U122" s="78">
        <f t="shared" si="59"/>
        <v>0</v>
      </c>
      <c r="V122" s="78">
        <f t="shared" si="59"/>
        <v>0</v>
      </c>
      <c r="W122" s="78">
        <f t="shared" si="59"/>
        <v>0</v>
      </c>
      <c r="X122" s="78">
        <f t="shared" si="59"/>
        <v>1.8902654867256636</v>
      </c>
      <c r="Y122" s="78">
        <f t="shared" si="59"/>
        <v>1.9805309734513274</v>
      </c>
      <c r="Z122" s="78">
        <f t="shared" si="59"/>
        <v>1.9876106194690266</v>
      </c>
      <c r="AA122" s="78">
        <f t="shared" si="59"/>
        <v>0</v>
      </c>
      <c r="AB122" s="78">
        <f t="shared" si="59"/>
        <v>0</v>
      </c>
      <c r="AC122" s="78">
        <f t="shared" si="59"/>
        <v>0</v>
      </c>
      <c r="AD122" s="107" t="s">
        <v>395</v>
      </c>
      <c r="AE122" s="68">
        <v>200</v>
      </c>
    </row>
    <row r="123" spans="1:31" ht="15">
      <c r="A123" s="785"/>
      <c r="B123" s="640"/>
      <c r="C123" s="320">
        <f>2*C122</f>
        <v>2</v>
      </c>
      <c r="D123" s="90">
        <f t="shared" si="60" ref="D123:AC123">2*D122</f>
        <v>2.0991150442477875</v>
      </c>
      <c r="E123" s="90">
        <f t="shared" si="60"/>
        <v>2.1274336283185842</v>
      </c>
      <c r="F123" s="90">
        <f t="shared" si="60"/>
        <v>2.2194690265486727</v>
      </c>
      <c r="G123" s="90">
        <f t="shared" si="60"/>
        <v>2.3079646017699114</v>
      </c>
      <c r="H123" s="90">
        <f t="shared" si="60"/>
        <v>0</v>
      </c>
      <c r="I123" s="90">
        <f t="shared" si="60"/>
        <v>2.3292035398230087</v>
      </c>
      <c r="J123" s="90">
        <f t="shared" si="60"/>
        <v>2.5132743362831858</v>
      </c>
      <c r="K123" s="90">
        <f t="shared" si="60"/>
        <v>2.6584070796460177</v>
      </c>
      <c r="L123" s="90">
        <f t="shared" si="60"/>
        <v>2.7752212389380531</v>
      </c>
      <c r="M123" s="90">
        <f t="shared" si="60"/>
        <v>2.9699115044247786</v>
      </c>
      <c r="N123" s="90">
        <f t="shared" si="60"/>
        <v>3.1150442477876106</v>
      </c>
      <c r="O123" s="90">
        <f t="shared" si="60"/>
        <v>0</v>
      </c>
      <c r="P123" s="90">
        <f t="shared" si="60"/>
        <v>3.2566371681415931</v>
      </c>
      <c r="Q123" s="90">
        <f t="shared" si="60"/>
        <v>0</v>
      </c>
      <c r="R123" s="90">
        <f t="shared" si="60"/>
        <v>0</v>
      </c>
      <c r="S123" s="90">
        <f t="shared" si="60"/>
        <v>0</v>
      </c>
      <c r="T123" s="90">
        <f t="shared" si="60"/>
        <v>0</v>
      </c>
      <c r="U123" s="90">
        <f t="shared" si="60"/>
        <v>0</v>
      </c>
      <c r="V123" s="90">
        <f t="shared" si="60"/>
        <v>0</v>
      </c>
      <c r="W123" s="90">
        <f t="shared" si="60"/>
        <v>0</v>
      </c>
      <c r="X123" s="90">
        <f t="shared" si="60"/>
        <v>3.7805309734513273</v>
      </c>
      <c r="Y123" s="90">
        <f t="shared" si="60"/>
        <v>3.9610619469026549</v>
      </c>
      <c r="Z123" s="90">
        <f t="shared" si="60"/>
        <v>3.9752212389380532</v>
      </c>
      <c r="AA123" s="90">
        <f t="shared" si="60"/>
        <v>0</v>
      </c>
      <c r="AB123" s="90">
        <f t="shared" si="60"/>
        <v>0</v>
      </c>
      <c r="AC123" s="300">
        <f t="shared" si="60"/>
        <v>0</v>
      </c>
      <c r="AD123" s="107" t="s">
        <v>393</v>
      </c>
      <c r="AE123" s="68"/>
    </row>
    <row r="124" spans="1:31" ht="15.75">
      <c r="A124" s="785"/>
      <c r="B124" s="640"/>
      <c r="C124" s="321">
        <f t="shared" si="61" ref="C124:AC124">C123*$AE$106</f>
        <v>400</v>
      </c>
      <c r="D124" s="80">
        <f t="shared" si="61"/>
        <v>419.82300884955748</v>
      </c>
      <c r="E124" s="80">
        <f t="shared" si="61"/>
        <v>425.48672566371681</v>
      </c>
      <c r="F124" s="80">
        <f t="shared" si="61"/>
        <v>443.89380530973455</v>
      </c>
      <c r="G124" s="80">
        <f t="shared" si="61"/>
        <v>461.59292035398227</v>
      </c>
      <c r="H124" s="80">
        <f t="shared" si="61"/>
        <v>0</v>
      </c>
      <c r="I124" s="80">
        <f t="shared" si="61"/>
        <v>465.84070796460173</v>
      </c>
      <c r="J124" s="80">
        <f t="shared" si="61"/>
        <v>502.65486725663715</v>
      </c>
      <c r="K124" s="80">
        <f t="shared" si="61"/>
        <v>531.68141592920358</v>
      </c>
      <c r="L124" s="80">
        <f t="shared" si="61"/>
        <v>555.04424778761063</v>
      </c>
      <c r="M124" s="80">
        <f t="shared" si="61"/>
        <v>593.98230088495575</v>
      </c>
      <c r="N124" s="80">
        <f t="shared" si="61"/>
        <v>623.00884955752213</v>
      </c>
      <c r="O124" s="80">
        <f t="shared" si="61"/>
        <v>0</v>
      </c>
      <c r="P124" s="80">
        <f t="shared" si="61"/>
        <v>651.32743362831866</v>
      </c>
      <c r="Q124" s="80">
        <f t="shared" si="61"/>
        <v>0</v>
      </c>
      <c r="R124" s="80">
        <f t="shared" si="61"/>
        <v>0</v>
      </c>
      <c r="S124" s="80">
        <f t="shared" si="61"/>
        <v>0</v>
      </c>
      <c r="T124" s="80">
        <f t="shared" si="61"/>
        <v>0</v>
      </c>
      <c r="U124" s="80">
        <f t="shared" si="61"/>
        <v>0</v>
      </c>
      <c r="V124" s="80">
        <f t="shared" si="61"/>
        <v>0</v>
      </c>
      <c r="W124" s="80">
        <f t="shared" si="61"/>
        <v>0</v>
      </c>
      <c r="X124" s="80">
        <f t="shared" si="61"/>
        <v>756.10619469026551</v>
      </c>
      <c r="Y124" s="80">
        <f t="shared" si="61"/>
        <v>792.21238938053102</v>
      </c>
      <c r="Z124" s="80">
        <f t="shared" si="61"/>
        <v>795.04424778761063</v>
      </c>
      <c r="AA124" s="80">
        <f t="shared" si="61"/>
        <v>0</v>
      </c>
      <c r="AB124" s="80">
        <f t="shared" si="61"/>
        <v>0</v>
      </c>
      <c r="AC124" s="197">
        <f t="shared" si="61"/>
        <v>0</v>
      </c>
      <c r="AD124" s="107" t="s">
        <v>377</v>
      </c>
      <c r="AE124" s="68"/>
    </row>
    <row r="125" spans="1:31" ht="15.75">
      <c r="A125" s="785"/>
      <c r="B125" s="640"/>
      <c r="C125" s="322">
        <f>$AC$2/C123*2</f>
        <v>10</v>
      </c>
      <c r="D125" s="314">
        <f t="shared" si="62" ref="D125:AC125">$AC$2/D123*2</f>
        <v>9.527824620573357</v>
      </c>
      <c r="E125" s="314">
        <f t="shared" si="62"/>
        <v>9.4009983361064879</v>
      </c>
      <c r="F125" s="314">
        <f t="shared" si="62"/>
        <v>9.0111642743221676</v>
      </c>
      <c r="G125" s="314">
        <f t="shared" si="62"/>
        <v>8.6656441717791424</v>
      </c>
      <c r="H125" s="314" t="e">
        <f t="shared" si="62"/>
        <v>#DIV/0!</v>
      </c>
      <c r="I125" s="314">
        <f t="shared" si="62"/>
        <v>8.5866261398176302</v>
      </c>
      <c r="J125" s="314">
        <f t="shared" si="62"/>
        <v>7.9577464788732399</v>
      </c>
      <c r="K125" s="314">
        <f t="shared" si="62"/>
        <v>7.5233022636484685</v>
      </c>
      <c r="L125" s="314">
        <f t="shared" si="62"/>
        <v>7.2066326530612246</v>
      </c>
      <c r="M125" s="314">
        <f t="shared" si="62"/>
        <v>6.7342073897497023</v>
      </c>
      <c r="N125" s="314">
        <f t="shared" si="62"/>
        <v>6.4204545454545459</v>
      </c>
      <c r="O125" s="314" t="e">
        <f t="shared" si="62"/>
        <v>#DIV/0!</v>
      </c>
      <c r="P125" s="314">
        <f t="shared" si="62"/>
        <v>6.1413043478260869</v>
      </c>
      <c r="Q125" s="314" t="e">
        <f t="shared" si="62"/>
        <v>#DIV/0!</v>
      </c>
      <c r="R125" s="314" t="e">
        <f t="shared" si="62"/>
        <v>#DIV/0!</v>
      </c>
      <c r="S125" s="314" t="e">
        <f t="shared" si="62"/>
        <v>#DIV/0!</v>
      </c>
      <c r="T125" s="314" t="e">
        <f t="shared" si="62"/>
        <v>#DIV/0!</v>
      </c>
      <c r="U125" s="314" t="e">
        <f t="shared" si="62"/>
        <v>#DIV/0!</v>
      </c>
      <c r="V125" s="314" t="e">
        <f t="shared" si="62"/>
        <v>#DIV/0!</v>
      </c>
      <c r="W125" s="314" t="e">
        <f t="shared" si="62"/>
        <v>#DIV/0!</v>
      </c>
      <c r="X125" s="314">
        <f t="shared" si="62"/>
        <v>5.2902621722846446</v>
      </c>
      <c r="Y125" s="314">
        <f t="shared" si="62"/>
        <v>5.0491510277033065</v>
      </c>
      <c r="Z125" s="314">
        <f t="shared" si="62"/>
        <v>5.0311665182546745</v>
      </c>
      <c r="AA125" s="314" t="e">
        <f t="shared" si="62"/>
        <v>#DIV/0!</v>
      </c>
      <c r="AB125" s="314" t="e">
        <f t="shared" si="62"/>
        <v>#DIV/0!</v>
      </c>
      <c r="AC125" s="314" t="e">
        <f t="shared" si="62"/>
        <v>#DIV/0!</v>
      </c>
      <c r="AD125" s="107" t="s">
        <v>376</v>
      </c>
      <c r="AE125" s="68"/>
    </row>
    <row r="126" spans="1:31" ht="15.75" thickBot="1">
      <c r="A126" s="755"/>
      <c r="B126" s="757"/>
      <c r="C126" s="73">
        <v>1130</v>
      </c>
      <c r="D126" s="77">
        <v>1186</v>
      </c>
      <c r="E126" s="77">
        <v>1202</v>
      </c>
      <c r="F126" s="77">
        <v>1254</v>
      </c>
      <c r="G126" s="77">
        <v>1304</v>
      </c>
      <c r="H126" s="77"/>
      <c r="I126" s="77">
        <v>1316</v>
      </c>
      <c r="J126" s="77">
        <v>1420</v>
      </c>
      <c r="K126" s="77">
        <v>1502</v>
      </c>
      <c r="L126" s="77">
        <v>1568</v>
      </c>
      <c r="M126" s="77">
        <v>1678</v>
      </c>
      <c r="N126" s="77">
        <v>1760</v>
      </c>
      <c r="O126" s="77"/>
      <c r="P126" s="77">
        <v>1840</v>
      </c>
      <c r="Q126" s="77"/>
      <c r="R126" s="77"/>
      <c r="S126" s="77"/>
      <c r="T126" s="77"/>
      <c r="U126" s="77"/>
      <c r="V126" s="77"/>
      <c r="W126" s="77"/>
      <c r="X126" s="77">
        <v>2136</v>
      </c>
      <c r="Y126" s="77">
        <v>2238</v>
      </c>
      <c r="Z126" s="77">
        <v>2246</v>
      </c>
      <c r="AA126" s="77"/>
      <c r="AB126" s="77"/>
      <c r="AC126" s="104"/>
      <c r="AD126" s="107" t="s">
        <v>641</v>
      </c>
      <c r="AE126" s="68"/>
    </row>
    <row r="127" spans="1:31" ht="15.75" thickBot="1">
      <c r="A127" s="323"/>
      <c r="B127" s="324" t="s">
        <v>650</v>
      </c>
      <c r="C127" s="323"/>
      <c r="D127" s="323"/>
      <c r="E127" s="323"/>
      <c r="F127" s="323"/>
      <c r="G127" s="323"/>
      <c r="H127" s="323"/>
      <c r="I127" s="323"/>
      <c r="J127" s="323"/>
      <c r="K127" s="323"/>
      <c r="L127" s="323"/>
      <c r="M127" s="323"/>
      <c r="N127" s="323"/>
      <c r="O127" s="323"/>
      <c r="P127" s="323"/>
      <c r="Q127" s="323"/>
      <c r="R127" s="323"/>
      <c r="S127" s="323"/>
      <c r="T127" s="323"/>
      <c r="U127" s="323"/>
      <c r="V127" s="323"/>
      <c r="W127" s="323"/>
      <c r="X127" s="323"/>
      <c r="Y127" s="323"/>
      <c r="Z127" s="323"/>
      <c r="AA127" s="323"/>
      <c r="AB127" s="323"/>
      <c r="AC127" s="323"/>
      <c r="AD127" s="107"/>
      <c r="AE127" s="68"/>
    </row>
    <row r="128" spans="1:31" ht="15.75">
      <c r="A128" s="754" t="s">
        <v>651</v>
      </c>
      <c r="B128" s="756" t="s">
        <v>652</v>
      </c>
      <c r="C128" s="745" t="s">
        <v>449</v>
      </c>
      <c r="D128" s="746"/>
      <c r="E128" s="746"/>
      <c r="F128" s="746"/>
      <c r="G128" s="746"/>
      <c r="H128" s="746"/>
      <c r="I128" s="746"/>
      <c r="J128" s="747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  <c r="AA128" s="89"/>
      <c r="AB128" s="89"/>
      <c r="AC128" s="120"/>
      <c r="AD128" s="107"/>
      <c r="AE128" s="68"/>
    </row>
    <row r="129" spans="1:31" ht="15.75">
      <c r="A129" s="782"/>
      <c r="B129" s="638"/>
      <c r="C129" s="748"/>
      <c r="D129" s="749"/>
      <c r="E129" s="749"/>
      <c r="F129" s="749"/>
      <c r="G129" s="749"/>
      <c r="H129" s="749"/>
      <c r="I129" s="749"/>
      <c r="J129" s="750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13"/>
      <c r="AD129" s="107"/>
      <c r="AE129" s="68"/>
    </row>
    <row r="130" spans="1:31" ht="15.75">
      <c r="A130" s="782"/>
      <c r="B130" s="638"/>
      <c r="C130" s="748"/>
      <c r="D130" s="749"/>
      <c r="E130" s="749"/>
      <c r="F130" s="749"/>
      <c r="G130" s="749"/>
      <c r="H130" s="749"/>
      <c r="I130" s="749"/>
      <c r="J130" s="750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13"/>
      <c r="AD130" s="107"/>
      <c r="AE130" s="68"/>
    </row>
    <row r="131" spans="1:31" ht="15.75">
      <c r="A131" s="782"/>
      <c r="B131" s="638"/>
      <c r="C131" s="748"/>
      <c r="D131" s="749"/>
      <c r="E131" s="749"/>
      <c r="F131" s="749"/>
      <c r="G131" s="749"/>
      <c r="H131" s="749"/>
      <c r="I131" s="749"/>
      <c r="J131" s="750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13"/>
      <c r="AD131" s="107"/>
      <c r="AE131" s="68"/>
    </row>
    <row r="132" spans="1:31" ht="15.75">
      <c r="A132" s="782"/>
      <c r="B132" s="638"/>
      <c r="C132" s="748"/>
      <c r="D132" s="749"/>
      <c r="E132" s="749"/>
      <c r="F132" s="749"/>
      <c r="G132" s="749"/>
      <c r="H132" s="749"/>
      <c r="I132" s="749"/>
      <c r="J132" s="750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13"/>
      <c r="AD132" s="107"/>
      <c r="AE132" s="68"/>
    </row>
    <row r="133" spans="1:31" ht="15.75" thickBot="1">
      <c r="A133" s="755"/>
      <c r="B133" s="757"/>
      <c r="C133" s="742"/>
      <c r="D133" s="743"/>
      <c r="E133" s="743"/>
      <c r="F133" s="743"/>
      <c r="G133" s="743"/>
      <c r="H133" s="743"/>
      <c r="I133" s="743"/>
      <c r="J133" s="833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104"/>
      <c r="AD133" s="107"/>
      <c r="AE133" s="68"/>
    </row>
    <row r="134" spans="1:31" ht="15.75">
      <c r="A134" s="844" t="s">
        <v>182</v>
      </c>
      <c r="B134" s="756" t="s">
        <v>183</v>
      </c>
      <c r="C134" s="79">
        <f>77/60</f>
        <v>1.2833333333333334</v>
      </c>
      <c r="D134" s="89"/>
      <c r="E134" s="89"/>
      <c r="F134" s="79">
        <f>82/60</f>
        <v>1.3666666666666667</v>
      </c>
      <c r="G134" s="89"/>
      <c r="H134" s="89"/>
      <c r="I134" s="89"/>
      <c r="J134" s="79">
        <f>88/60</f>
        <v>1.4666666666666666</v>
      </c>
      <c r="K134" s="79">
        <f>90/60</f>
        <v>1.50</v>
      </c>
      <c r="L134" s="79">
        <f>92/60</f>
        <v>1.5333333333333334</v>
      </c>
      <c r="M134" s="79">
        <f>94/60</f>
        <v>1.5666666666666667</v>
      </c>
      <c r="N134" s="79">
        <f>96/60</f>
        <v>1.60</v>
      </c>
      <c r="O134" s="79">
        <f>97/60</f>
        <v>1.6166666666666667</v>
      </c>
      <c r="P134" s="79">
        <f>99/60</f>
        <v>1.65</v>
      </c>
      <c r="Q134" s="79">
        <f>100/60</f>
        <v>1.6666666666666667</v>
      </c>
      <c r="R134" s="79">
        <f>101/60</f>
        <v>1.6833333333333333</v>
      </c>
      <c r="S134" s="79">
        <f>102/60</f>
        <v>1.70</v>
      </c>
      <c r="T134" s="79">
        <f>104/60</f>
        <v>1.7333333333333334</v>
      </c>
      <c r="U134" s="79">
        <f>105/60</f>
        <v>1.75</v>
      </c>
      <c r="V134" s="79">
        <f>107/60</f>
        <v>1.7833333333333334</v>
      </c>
      <c r="W134" s="79">
        <f>107/60</f>
        <v>1.7833333333333334</v>
      </c>
      <c r="X134" s="79">
        <f>109/60</f>
        <v>1.8166666666666667</v>
      </c>
      <c r="Y134" s="79">
        <f>112/60</f>
        <v>1.8666666666666667</v>
      </c>
      <c r="Z134" s="89"/>
      <c r="AA134" s="89"/>
      <c r="AB134" s="89"/>
      <c r="AC134" s="120"/>
      <c r="AD134" s="107" t="s">
        <v>393</v>
      </c>
      <c r="AE134" s="68">
        <v>183</v>
      </c>
    </row>
    <row r="135" spans="1:31" ht="15.75">
      <c r="A135" s="845"/>
      <c r="B135" s="641"/>
      <c r="C135" s="75">
        <f>C134*$AE$134</f>
        <v>234.85000000000002</v>
      </c>
      <c r="D135" s="90"/>
      <c r="E135" s="90"/>
      <c r="F135" s="75">
        <f>F134*$AE$134</f>
        <v>250.10</v>
      </c>
      <c r="G135" s="90"/>
      <c r="H135" s="90"/>
      <c r="I135" s="90"/>
      <c r="J135" s="75">
        <f t="shared" si="63" ref="J135:Y135">J134*$AE$134</f>
        <v>268.39999999999998</v>
      </c>
      <c r="K135" s="75">
        <f t="shared" si="63"/>
        <v>274.50</v>
      </c>
      <c r="L135" s="75">
        <f t="shared" si="63"/>
        <v>280.60000000000002</v>
      </c>
      <c r="M135" s="75">
        <f t="shared" si="63"/>
        <v>286.70</v>
      </c>
      <c r="N135" s="75">
        <f t="shared" si="63"/>
        <v>292.80</v>
      </c>
      <c r="O135" s="75">
        <f t="shared" si="63"/>
        <v>295.85000000000002</v>
      </c>
      <c r="P135" s="75">
        <f t="shared" si="63"/>
        <v>301.95</v>
      </c>
      <c r="Q135" s="75">
        <f t="shared" si="63"/>
        <v>305</v>
      </c>
      <c r="R135" s="75">
        <f t="shared" si="63"/>
        <v>308.05</v>
      </c>
      <c r="S135" s="75">
        <f t="shared" si="63"/>
        <v>311.09999999999997</v>
      </c>
      <c r="T135" s="75">
        <f t="shared" si="63"/>
        <v>317.20</v>
      </c>
      <c r="U135" s="75">
        <f t="shared" si="63"/>
        <v>320.25</v>
      </c>
      <c r="V135" s="75">
        <f t="shared" si="63"/>
        <v>326.35000000000002</v>
      </c>
      <c r="W135" s="75">
        <f t="shared" si="63"/>
        <v>326.35000000000002</v>
      </c>
      <c r="X135" s="75">
        <f t="shared" si="63"/>
        <v>332.45</v>
      </c>
      <c r="Y135" s="75">
        <f t="shared" si="63"/>
        <v>341.60</v>
      </c>
      <c r="Z135" s="90"/>
      <c r="AA135" s="90"/>
      <c r="AB135" s="90"/>
      <c r="AC135" s="300"/>
      <c r="AD135" s="107" t="s">
        <v>378</v>
      </c>
      <c r="AE135" s="68"/>
    </row>
    <row r="136" spans="1:31" ht="15.75">
      <c r="A136" s="845"/>
      <c r="B136" s="641"/>
      <c r="C136" s="102">
        <f t="shared" si="64" ref="C136">$AC$2/C134</f>
        <v>7.7922077922077913</v>
      </c>
      <c r="D136" s="90"/>
      <c r="E136" s="90"/>
      <c r="F136" s="102">
        <f t="shared" si="65" ref="F136">$AC$2/F134</f>
        <v>7.3170731707317076</v>
      </c>
      <c r="G136" s="90"/>
      <c r="H136" s="90"/>
      <c r="I136" s="90"/>
      <c r="J136" s="102">
        <f t="shared" si="66" ref="J136:Y136">$AC$2/J134</f>
        <v>6.8181818181818183</v>
      </c>
      <c r="K136" s="102">
        <f t="shared" si="66"/>
        <v>6.666666666666667</v>
      </c>
      <c r="L136" s="102">
        <f t="shared" si="66"/>
        <v>6.5217391304347823</v>
      </c>
      <c r="M136" s="102">
        <f t="shared" si="66"/>
        <v>6.3829787234042552</v>
      </c>
      <c r="N136" s="102">
        <f t="shared" si="66"/>
        <v>6.25</v>
      </c>
      <c r="O136" s="102">
        <f t="shared" si="66"/>
        <v>6.1855670103092786</v>
      </c>
      <c r="P136" s="102">
        <f t="shared" si="66"/>
        <v>6.0606060606060606</v>
      </c>
      <c r="Q136" s="102">
        <f t="shared" si="66"/>
        <v>6</v>
      </c>
      <c r="R136" s="102">
        <f t="shared" si="66"/>
        <v>5.9405940594059405</v>
      </c>
      <c r="S136" s="102">
        <f t="shared" si="66"/>
        <v>5.882352941176471</v>
      </c>
      <c r="T136" s="102">
        <f t="shared" si="66"/>
        <v>5.7692307692307692</v>
      </c>
      <c r="U136" s="102">
        <f t="shared" si="66"/>
        <v>5.7142857142857144</v>
      </c>
      <c r="V136" s="102">
        <f t="shared" si="66"/>
        <v>5.6074766355140184</v>
      </c>
      <c r="W136" s="102">
        <f t="shared" si="66"/>
        <v>5.6074766355140184</v>
      </c>
      <c r="X136" s="102">
        <f t="shared" si="66"/>
        <v>5.5045871559633026</v>
      </c>
      <c r="Y136" s="102">
        <f t="shared" si="66"/>
        <v>5.3571428571428568</v>
      </c>
      <c r="Z136" s="90"/>
      <c r="AA136" s="90"/>
      <c r="AB136" s="90"/>
      <c r="AC136" s="300"/>
      <c r="AD136" s="107"/>
      <c r="AE136" s="68"/>
    </row>
    <row r="137" spans="1:31" ht="15.75">
      <c r="A137" s="846"/>
      <c r="B137" s="640"/>
      <c r="C137" s="203">
        <f>C138*9</f>
        <v>9</v>
      </c>
      <c r="D137" s="203">
        <f t="shared" si="67" ref="D137:AC137">D138*9</f>
        <v>55.295999999999999</v>
      </c>
      <c r="E137" s="203">
        <f t="shared" si="67"/>
        <v>8.5970149253731343</v>
      </c>
      <c r="F137" s="203">
        <f t="shared" si="67"/>
        <v>8.3277108433734934</v>
      </c>
      <c r="G137" s="203">
        <f t="shared" si="67"/>
        <v>8.0842105263157897</v>
      </c>
      <c r="H137" s="203">
        <f t="shared" si="67"/>
        <v>8.0372093023255822</v>
      </c>
      <c r="I137" s="203">
        <f t="shared" si="67"/>
        <v>7.7315436241610733</v>
      </c>
      <c r="J137" s="203">
        <f t="shared" si="67"/>
        <v>7.2605042016806722</v>
      </c>
      <c r="K137" s="203">
        <f t="shared" si="67"/>
        <v>6.9119999999999999</v>
      </c>
      <c r="L137" s="203">
        <f t="shared" si="67"/>
        <v>6.6976744186046506</v>
      </c>
      <c r="M137" s="203">
        <f t="shared" si="67"/>
        <v>6.3238792314730103</v>
      </c>
      <c r="N137" s="203">
        <f t="shared" si="67"/>
        <v>6.0952380952380949</v>
      </c>
      <c r="O137" s="203">
        <f t="shared" si="67"/>
        <v>5.9947961838681696</v>
      </c>
      <c r="P137" s="203">
        <f t="shared" si="67"/>
        <v>5.8625954198473291</v>
      </c>
      <c r="Q137" s="203">
        <f t="shared" si="67"/>
        <v>5.6655737704918039</v>
      </c>
      <c r="R137" s="203">
        <f t="shared" si="67"/>
        <v>5.6240846216436129</v>
      </c>
      <c r="S137" s="203">
        <f t="shared" si="67"/>
        <v>5.6012965964343602</v>
      </c>
      <c r="T137" s="203">
        <f t="shared" si="67"/>
        <v>5.3873733437256437</v>
      </c>
      <c r="U137" s="203">
        <f t="shared" si="67"/>
        <v>5.3664596273291929</v>
      </c>
      <c r="V137" s="203">
        <f t="shared" si="67"/>
        <v>5.1891891891891895</v>
      </c>
      <c r="W137" s="203">
        <f t="shared" si="67"/>
        <v>5.1852963240810199</v>
      </c>
      <c r="X137" s="203">
        <f t="shared" si="67"/>
        <v>5.1697830964846672</v>
      </c>
      <c r="Y137" s="203">
        <f t="shared" si="67"/>
        <v>4.9726618705035968</v>
      </c>
      <c r="Z137" s="203">
        <f t="shared" si="67"/>
        <v>4.9548387096774196</v>
      </c>
      <c r="AA137" s="203">
        <f t="shared" si="67"/>
        <v>4.9336188436830835</v>
      </c>
      <c r="AB137" s="203">
        <f t="shared" si="67"/>
        <v>4.7668965517241384</v>
      </c>
      <c r="AC137" s="203">
        <f t="shared" si="67"/>
        <v>21.667711598746081</v>
      </c>
      <c r="AD137" s="107" t="s">
        <v>376</v>
      </c>
      <c r="AE137" s="68"/>
    </row>
    <row r="138" spans="1:31" ht="15.75">
      <c r="A138" s="846"/>
      <c r="B138" s="640"/>
      <c r="C138" s="205">
        <f>$C$139/C139</f>
        <v>1</v>
      </c>
      <c r="D138" s="205">
        <f t="shared" si="68" ref="D138:AC138">$C$139/D139</f>
        <v>6.1440000000000001</v>
      </c>
      <c r="E138" s="205">
        <f t="shared" si="68"/>
        <v>0.95522388059701491</v>
      </c>
      <c r="F138" s="205">
        <f t="shared" si="68"/>
        <v>0.92530120481927713</v>
      </c>
      <c r="G138" s="205">
        <f t="shared" si="68"/>
        <v>0.89824561403508774</v>
      </c>
      <c r="H138" s="205">
        <f t="shared" si="68"/>
        <v>0.89302325581395348</v>
      </c>
      <c r="I138" s="205">
        <f t="shared" si="68"/>
        <v>0.85906040268456374</v>
      </c>
      <c r="J138" s="205">
        <f t="shared" si="68"/>
        <v>0.80672268907563027</v>
      </c>
      <c r="K138" s="205">
        <f t="shared" si="68"/>
        <v>0.76800000000000002</v>
      </c>
      <c r="L138" s="205">
        <f t="shared" si="68"/>
        <v>0.7441860465116279</v>
      </c>
      <c r="M138" s="205">
        <f t="shared" si="68"/>
        <v>0.70265324794144557</v>
      </c>
      <c r="N138" s="205">
        <f t="shared" si="68"/>
        <v>0.67724867724867721</v>
      </c>
      <c r="O138" s="205">
        <f t="shared" si="68"/>
        <v>0.66608846487424112</v>
      </c>
      <c r="P138" s="205">
        <f t="shared" si="68"/>
        <v>0.65139949109414763</v>
      </c>
      <c r="Q138" s="205">
        <f t="shared" si="68"/>
        <v>0.62950819672131153</v>
      </c>
      <c r="R138" s="205">
        <f t="shared" si="68"/>
        <v>0.62489829129373475</v>
      </c>
      <c r="S138" s="205">
        <f t="shared" si="68"/>
        <v>0.6223662884927067</v>
      </c>
      <c r="T138" s="205">
        <f t="shared" si="68"/>
        <v>0.59859703819173815</v>
      </c>
      <c r="U138" s="205">
        <f t="shared" si="68"/>
        <v>0.59627329192546585</v>
      </c>
      <c r="V138" s="205">
        <f t="shared" si="68"/>
        <v>0.57657657657657657</v>
      </c>
      <c r="W138" s="205">
        <f t="shared" si="68"/>
        <v>0.57614403600900221</v>
      </c>
      <c r="X138" s="205">
        <f t="shared" si="68"/>
        <v>0.57442034405385189</v>
      </c>
      <c r="Y138" s="205">
        <f t="shared" si="68"/>
        <v>0.55251798561151078</v>
      </c>
      <c r="Z138" s="205">
        <f t="shared" si="68"/>
        <v>0.55053763440860215</v>
      </c>
      <c r="AA138" s="205">
        <f t="shared" si="68"/>
        <v>0.54817987152034264</v>
      </c>
      <c r="AB138" s="205">
        <f t="shared" si="68"/>
        <v>0.52965517241379312</v>
      </c>
      <c r="AC138" s="206">
        <f t="shared" si="68"/>
        <v>2.407523510971787</v>
      </c>
      <c r="AD138" s="107"/>
      <c r="AE138" s="68"/>
    </row>
    <row r="139" spans="1:31" ht="15.75" thickBot="1">
      <c r="A139" s="847"/>
      <c r="B139" s="757"/>
      <c r="C139" s="77">
        <v>1536</v>
      </c>
      <c r="D139" s="77">
        <v>250</v>
      </c>
      <c r="E139" s="77">
        <v>1608</v>
      </c>
      <c r="F139" s="77">
        <v>1660</v>
      </c>
      <c r="G139" s="77">
        <v>1710</v>
      </c>
      <c r="H139" s="77">
        <v>1720</v>
      </c>
      <c r="I139" s="77">
        <v>1788</v>
      </c>
      <c r="J139" s="77">
        <v>1904</v>
      </c>
      <c r="K139" s="77">
        <v>2000</v>
      </c>
      <c r="L139" s="77">
        <v>2064</v>
      </c>
      <c r="M139" s="77">
        <v>2186</v>
      </c>
      <c r="N139" s="77">
        <v>2268</v>
      </c>
      <c r="O139" s="77">
        <v>2306</v>
      </c>
      <c r="P139" s="77">
        <v>2358</v>
      </c>
      <c r="Q139" s="77">
        <v>2440</v>
      </c>
      <c r="R139" s="77">
        <v>2458</v>
      </c>
      <c r="S139" s="77">
        <v>2468</v>
      </c>
      <c r="T139" s="77">
        <v>2566</v>
      </c>
      <c r="U139" s="77">
        <v>2576</v>
      </c>
      <c r="V139" s="77">
        <v>2664</v>
      </c>
      <c r="W139" s="77">
        <v>2666</v>
      </c>
      <c r="X139" s="77">
        <v>2674</v>
      </c>
      <c r="Y139" s="77">
        <v>2780</v>
      </c>
      <c r="Z139" s="77">
        <v>2790</v>
      </c>
      <c r="AA139" s="77">
        <v>2802</v>
      </c>
      <c r="AB139" s="77">
        <v>2900</v>
      </c>
      <c r="AC139" s="104">
        <v>638</v>
      </c>
      <c r="AD139" s="107" t="s">
        <v>586</v>
      </c>
      <c r="AE139" s="68"/>
    </row>
    <row r="140" spans="1:31" ht="30.75" thickBot="1">
      <c r="A140" s="130" t="s">
        <v>185</v>
      </c>
      <c r="B140" s="76" t="s">
        <v>186</v>
      </c>
      <c r="C140" s="772" t="s">
        <v>653</v>
      </c>
      <c r="D140" s="773"/>
      <c r="E140" s="773"/>
      <c r="F140" s="773"/>
      <c r="G140" s="773"/>
      <c r="H140" s="773"/>
      <c r="I140" s="773"/>
      <c r="J140" s="773"/>
      <c r="K140" s="773"/>
      <c r="L140" s="773"/>
      <c r="M140" s="773"/>
      <c r="N140" s="773"/>
      <c r="O140" s="773"/>
      <c r="P140" s="773"/>
      <c r="Q140" s="773"/>
      <c r="R140" s="773"/>
      <c r="S140" s="773"/>
      <c r="T140" s="773"/>
      <c r="U140" s="773"/>
      <c r="V140" s="773"/>
      <c r="W140" s="773"/>
      <c r="X140" s="773"/>
      <c r="Y140" s="773"/>
      <c r="Z140" s="773"/>
      <c r="AA140" s="773"/>
      <c r="AB140" s="773"/>
      <c r="AC140" s="774"/>
      <c r="AD140" s="107"/>
      <c r="AE140" s="68">
        <v>183</v>
      </c>
    </row>
    <row r="141" spans="1:31" ht="15.75">
      <c r="A141" s="754" t="s">
        <v>188</v>
      </c>
      <c r="B141" s="848" t="s">
        <v>124</v>
      </c>
      <c r="C141" s="745" t="s">
        <v>654</v>
      </c>
      <c r="D141" s="746"/>
      <c r="E141" s="746"/>
      <c r="F141" s="746"/>
      <c r="G141" s="746"/>
      <c r="H141" s="746"/>
      <c r="I141" s="746"/>
      <c r="J141" s="746"/>
      <c r="K141" s="746"/>
      <c r="L141" s="746"/>
      <c r="M141" s="746"/>
      <c r="N141" s="746"/>
      <c r="O141" s="746"/>
      <c r="P141" s="746"/>
      <c r="Q141" s="746"/>
      <c r="R141" s="746"/>
      <c r="S141" s="746"/>
      <c r="T141" s="746"/>
      <c r="U141" s="746"/>
      <c r="V141" s="746"/>
      <c r="W141" s="746"/>
      <c r="X141" s="746"/>
      <c r="Y141" s="746"/>
      <c r="Z141" s="746"/>
      <c r="AA141" s="746"/>
      <c r="AB141" s="746"/>
      <c r="AC141" s="761"/>
      <c r="AD141" s="107"/>
      <c r="AE141" s="68">
        <v>200</v>
      </c>
    </row>
    <row r="142" spans="1:31" ht="15.75" thickBot="1">
      <c r="A142" s="755"/>
      <c r="B142" s="849"/>
      <c r="C142" s="742"/>
      <c r="D142" s="743"/>
      <c r="E142" s="743"/>
      <c r="F142" s="743"/>
      <c r="G142" s="743"/>
      <c r="H142" s="743"/>
      <c r="I142" s="743"/>
      <c r="J142" s="743"/>
      <c r="K142" s="743"/>
      <c r="L142" s="743"/>
      <c r="M142" s="743"/>
      <c r="N142" s="743"/>
      <c r="O142" s="743"/>
      <c r="P142" s="743"/>
      <c r="Q142" s="743"/>
      <c r="R142" s="743"/>
      <c r="S142" s="743"/>
      <c r="T142" s="743"/>
      <c r="U142" s="743"/>
      <c r="V142" s="743"/>
      <c r="W142" s="743"/>
      <c r="X142" s="743"/>
      <c r="Y142" s="743"/>
      <c r="Z142" s="743"/>
      <c r="AA142" s="743"/>
      <c r="AB142" s="743"/>
      <c r="AC142" s="744"/>
      <c r="AD142" s="107"/>
      <c r="AE142" s="68"/>
    </row>
    <row r="143" spans="1:31" ht="15.75">
      <c r="A143" s="754" t="s">
        <v>190</v>
      </c>
      <c r="B143" s="756" t="s">
        <v>191</v>
      </c>
      <c r="C143" s="78">
        <f>C147/$C$147</f>
        <v>1</v>
      </c>
      <c r="D143" s="78">
        <f t="shared" si="69" ref="D143:AC143">D147/$C$147</f>
        <v>1.0364583333333333</v>
      </c>
      <c r="E143" s="78">
        <f t="shared" si="69"/>
        <v>1.046875</v>
      </c>
      <c r="F143" s="78">
        <f t="shared" si="69"/>
        <v>1.0807291666666667</v>
      </c>
      <c r="G143" s="78">
        <f t="shared" si="69"/>
        <v>1.11328125</v>
      </c>
      <c r="H143" s="78">
        <f t="shared" si="69"/>
        <v>1.1197916666666667</v>
      </c>
      <c r="I143" s="78">
        <f t="shared" si="69"/>
        <v>1.1640625</v>
      </c>
      <c r="J143" s="78">
        <f t="shared" si="69"/>
        <v>1.2395833333333333</v>
      </c>
      <c r="K143" s="78">
        <f t="shared" si="69"/>
        <v>1.3020833333333333</v>
      </c>
      <c r="L143" s="78">
        <f t="shared" si="69"/>
        <v>1.34375</v>
      </c>
      <c r="M143" s="78">
        <f t="shared" si="69"/>
        <v>1.4231770833333333</v>
      </c>
      <c r="N143" s="78">
        <f t="shared" si="69"/>
        <v>1.4765625</v>
      </c>
      <c r="O143" s="78">
        <f t="shared" si="69"/>
        <v>1.5013020833333333</v>
      </c>
      <c r="P143" s="78">
        <f t="shared" si="69"/>
        <v>1.53515625</v>
      </c>
      <c r="Q143" s="78">
        <f t="shared" si="69"/>
        <v>1.5885416666666667</v>
      </c>
      <c r="R143" s="78">
        <f t="shared" si="69"/>
        <v>1.6002604166666667</v>
      </c>
      <c r="S143" s="78">
        <f t="shared" si="69"/>
        <v>1.6067708333333333</v>
      </c>
      <c r="T143" s="78">
        <f t="shared" si="69"/>
        <v>1.6705729166666667</v>
      </c>
      <c r="U143" s="78">
        <f t="shared" si="69"/>
        <v>1.6770833333333333</v>
      </c>
      <c r="V143" s="78">
        <f t="shared" si="69"/>
        <v>1.734375</v>
      </c>
      <c r="W143" s="78">
        <f t="shared" si="69"/>
        <v>1.7356770833333333</v>
      </c>
      <c r="X143" s="78">
        <f t="shared" si="69"/>
        <v>1.7408854166666667</v>
      </c>
      <c r="Y143" s="78">
        <f t="shared" si="69"/>
        <v>1.8098958333333333</v>
      </c>
      <c r="Z143" s="78">
        <f t="shared" si="69"/>
        <v>1.81640625</v>
      </c>
      <c r="AA143" s="78">
        <f t="shared" si="69"/>
        <v>1.82421875</v>
      </c>
      <c r="AB143" s="78">
        <f t="shared" si="69"/>
        <v>1.8880208333333333</v>
      </c>
      <c r="AC143" s="100">
        <f t="shared" si="69"/>
        <v>1.8880208333333333</v>
      </c>
      <c r="AD143" s="107" t="s">
        <v>395</v>
      </c>
      <c r="AE143" s="68">
        <v>200</v>
      </c>
    </row>
    <row r="144" spans="1:31" ht="15.75">
      <c r="A144" s="782"/>
      <c r="B144" s="638"/>
      <c r="C144" s="108">
        <f>C143*1.854</f>
        <v>1.8540000000000001</v>
      </c>
      <c r="D144" s="108">
        <f t="shared" si="70" ref="D144:AC144">D143*1.854</f>
        <v>1.92159375</v>
      </c>
      <c r="E144" s="108">
        <f t="shared" si="70"/>
        <v>1.9409062500000001</v>
      </c>
      <c r="F144" s="108">
        <f t="shared" si="70"/>
        <v>2.0036718750000002</v>
      </c>
      <c r="G144" s="108">
        <f t="shared" si="70"/>
        <v>2.0640234375</v>
      </c>
      <c r="H144" s="108">
        <f t="shared" si="70"/>
        <v>2.07609375</v>
      </c>
      <c r="I144" s="108">
        <f t="shared" si="70"/>
        <v>2.1581718750000003</v>
      </c>
      <c r="J144" s="108">
        <f t="shared" si="70"/>
        <v>2.2981875</v>
      </c>
      <c r="K144" s="108">
        <f t="shared" si="70"/>
        <v>2.4140625</v>
      </c>
      <c r="L144" s="108">
        <f t="shared" si="70"/>
        <v>2.4913125000000003</v>
      </c>
      <c r="M144" s="108">
        <f t="shared" si="70"/>
        <v>2.6385703125000002</v>
      </c>
      <c r="N144" s="108">
        <f t="shared" si="70"/>
        <v>2.737546875</v>
      </c>
      <c r="O144" s="108">
        <f t="shared" si="70"/>
        <v>2.7834140624999999</v>
      </c>
      <c r="P144" s="108">
        <f t="shared" si="70"/>
        <v>2.8461796875000003</v>
      </c>
      <c r="Q144" s="108">
        <f t="shared" si="70"/>
        <v>2.94515625</v>
      </c>
      <c r="R144" s="108">
        <f t="shared" si="70"/>
        <v>2.9668828125000002</v>
      </c>
      <c r="S144" s="108">
        <f t="shared" si="70"/>
        <v>2.9789531249999999</v>
      </c>
      <c r="T144" s="108">
        <f t="shared" si="70"/>
        <v>3.0972421875000005</v>
      </c>
      <c r="U144" s="108">
        <f t="shared" si="70"/>
        <v>3.1093125000000001</v>
      </c>
      <c r="V144" s="108">
        <f t="shared" si="70"/>
        <v>3.2155312500000002</v>
      </c>
      <c r="W144" s="108">
        <f t="shared" si="70"/>
        <v>3.2179453124999999</v>
      </c>
      <c r="X144" s="108">
        <f t="shared" si="70"/>
        <v>3.2276015625000003</v>
      </c>
      <c r="Y144" s="108">
        <f t="shared" si="70"/>
        <v>3.355546875</v>
      </c>
      <c r="Z144" s="108">
        <f t="shared" si="70"/>
        <v>3.3676171875</v>
      </c>
      <c r="AA144" s="108">
        <f t="shared" si="70"/>
        <v>3.3821015625000004</v>
      </c>
      <c r="AB144" s="108">
        <f t="shared" si="70"/>
        <v>3.500390625</v>
      </c>
      <c r="AC144" s="136">
        <f t="shared" si="70"/>
        <v>3.500390625</v>
      </c>
      <c r="AD144" s="107" t="s">
        <v>393</v>
      </c>
      <c r="AE144" s="68"/>
    </row>
    <row r="145" spans="1:31" ht="15.75">
      <c r="A145" s="782"/>
      <c r="B145" s="638"/>
      <c r="C145" s="75">
        <f>C144*$AE$143*2</f>
        <v>741.60</v>
      </c>
      <c r="D145" s="75">
        <f t="shared" si="71" ref="D145:AC145">D144*$AE$143*2</f>
        <v>768.6375</v>
      </c>
      <c r="E145" s="75">
        <f t="shared" si="71"/>
        <v>776.3625</v>
      </c>
      <c r="F145" s="75">
        <f t="shared" si="71"/>
        <v>801.46875000000011</v>
      </c>
      <c r="G145" s="75">
        <f t="shared" si="71"/>
        <v>825.609375</v>
      </c>
      <c r="H145" s="75">
        <f t="shared" si="71"/>
        <v>830.4375</v>
      </c>
      <c r="I145" s="75">
        <f t="shared" si="71"/>
        <v>863.26875000000007</v>
      </c>
      <c r="J145" s="75">
        <f t="shared" si="71"/>
        <v>919.275</v>
      </c>
      <c r="K145" s="75">
        <f t="shared" si="71"/>
        <v>965.625</v>
      </c>
      <c r="L145" s="75">
        <f t="shared" si="71"/>
        <v>996.52500000000009</v>
      </c>
      <c r="M145" s="75">
        <f t="shared" si="71"/>
        <v>1055.4281250000001</v>
      </c>
      <c r="N145" s="75">
        <f t="shared" si="71"/>
        <v>1095.01875</v>
      </c>
      <c r="O145" s="75">
        <f t="shared" si="71"/>
        <v>1113.3656249999999</v>
      </c>
      <c r="P145" s="75">
        <f t="shared" si="71"/>
        <v>1138.4718750000002</v>
      </c>
      <c r="Q145" s="75">
        <f t="shared" si="71"/>
        <v>1178.0625</v>
      </c>
      <c r="R145" s="75">
        <f t="shared" si="71"/>
        <v>1186.7531250000002</v>
      </c>
      <c r="S145" s="75">
        <f t="shared" si="71"/>
        <v>1191.58125</v>
      </c>
      <c r="T145" s="75">
        <f t="shared" si="71"/>
        <v>1238.8968750000001</v>
      </c>
      <c r="U145" s="75">
        <f t="shared" si="71"/>
        <v>1243.7250000000001</v>
      </c>
      <c r="V145" s="75">
        <f t="shared" si="71"/>
        <v>1286.2125000000001</v>
      </c>
      <c r="W145" s="75">
        <f t="shared" si="71"/>
        <v>1287.1781249999999</v>
      </c>
      <c r="X145" s="75">
        <f t="shared" si="71"/>
        <v>1291.0406250000001</v>
      </c>
      <c r="Y145" s="75">
        <f t="shared" si="71"/>
        <v>1342.21875</v>
      </c>
      <c r="Z145" s="75">
        <f t="shared" si="71"/>
        <v>1347.046875</v>
      </c>
      <c r="AA145" s="75">
        <f t="shared" si="71"/>
        <v>1352.840625</v>
      </c>
      <c r="AB145" s="75">
        <f t="shared" si="71"/>
        <v>1400.15625</v>
      </c>
      <c r="AC145" s="101">
        <f t="shared" si="71"/>
        <v>1400.15625</v>
      </c>
      <c r="AD145" s="107" t="s">
        <v>377</v>
      </c>
      <c r="AE145" s="68"/>
    </row>
    <row r="146" spans="1:31" ht="15.75">
      <c r="A146" s="782"/>
      <c r="B146" s="638"/>
      <c r="C146" s="108">
        <f>$AC$2/C144</f>
        <v>5.3937432578209279</v>
      </c>
      <c r="D146" s="108">
        <f t="shared" si="72" ref="D146:AC146">$AC$2/D144</f>
        <v>5.2040135954855185</v>
      </c>
      <c r="E146" s="108">
        <f t="shared" si="72"/>
        <v>5.1522323656796924</v>
      </c>
      <c r="F146" s="108">
        <f t="shared" si="72"/>
        <v>4.9908371349475571</v>
      </c>
      <c r="G146" s="108">
        <f t="shared" si="72"/>
        <v>4.844906224568974</v>
      </c>
      <c r="H146" s="108">
        <f>$AC$2/H144</f>
        <v>4.8167381651238053</v>
      </c>
      <c r="I146" s="108">
        <f t="shared" si="72"/>
        <v>4.6335512550407962</v>
      </c>
      <c r="J146" s="108">
        <f t="shared" si="72"/>
        <v>4.3512550651328494</v>
      </c>
      <c r="K146" s="108">
        <f t="shared" si="72"/>
        <v>4.1423948220064721</v>
      </c>
      <c r="L146" s="108">
        <f t="shared" si="72"/>
        <v>4.0139484709365041</v>
      </c>
      <c r="M146" s="108">
        <f t="shared" si="72"/>
        <v>3.7899312186701484</v>
      </c>
      <c r="N146" s="108">
        <f t="shared" si="72"/>
        <v>3.6529054867781943</v>
      </c>
      <c r="O146" s="108">
        <f t="shared" si="72"/>
        <v>3.5927101665277301</v>
      </c>
      <c r="P146" s="108">
        <f t="shared" si="72"/>
        <v>3.5134816132370417</v>
      </c>
      <c r="Q146" s="108">
        <f t="shared" si="72"/>
        <v>3.3954055918085837</v>
      </c>
      <c r="R146" s="108">
        <f t="shared" si="72"/>
        <v>3.3705409454893998</v>
      </c>
      <c r="S146" s="108">
        <f t="shared" si="72"/>
        <v>3.3568839724525712</v>
      </c>
      <c r="T146" s="108">
        <f t="shared" si="72"/>
        <v>3.2286787388982634</v>
      </c>
      <c r="U146" s="108">
        <f t="shared" si="72"/>
        <v>3.2161450481416711</v>
      </c>
      <c r="V146" s="108">
        <f t="shared" si="72"/>
        <v>3.1099060225273818</v>
      </c>
      <c r="W146" s="108">
        <f t="shared" si="72"/>
        <v>3.1075730097572936</v>
      </c>
      <c r="X146" s="108">
        <f t="shared" si="72"/>
        <v>3.0982758578956409</v>
      </c>
      <c r="Y146" s="108">
        <f t="shared" si="72"/>
        <v>2.9801401597168868</v>
      </c>
      <c r="Z146" s="108">
        <f t="shared" si="72"/>
        <v>2.9694586537680805</v>
      </c>
      <c r="AA146" s="108">
        <f t="shared" si="72"/>
        <v>2.9567414860859902</v>
      </c>
      <c r="AB146" s="108">
        <f t="shared" si="72"/>
        <v>2.8568240151768776</v>
      </c>
      <c r="AC146" s="136">
        <f t="shared" si="72"/>
        <v>2.8568240151768776</v>
      </c>
      <c r="AD146" s="107" t="s">
        <v>376</v>
      </c>
      <c r="AE146" s="68"/>
    </row>
    <row r="147" spans="1:31" ht="15.75" thickBot="1">
      <c r="A147" s="755"/>
      <c r="B147" s="757"/>
      <c r="C147" s="77">
        <v>1536</v>
      </c>
      <c r="D147" s="77">
        <v>1592</v>
      </c>
      <c r="E147" s="77">
        <v>1608</v>
      </c>
      <c r="F147" s="77">
        <v>1660</v>
      </c>
      <c r="G147" s="77">
        <v>1710</v>
      </c>
      <c r="H147" s="77">
        <v>1720</v>
      </c>
      <c r="I147" s="77">
        <v>1788</v>
      </c>
      <c r="J147" s="77">
        <v>1904</v>
      </c>
      <c r="K147" s="77">
        <v>2000</v>
      </c>
      <c r="L147" s="77">
        <v>2064</v>
      </c>
      <c r="M147" s="77">
        <v>2186</v>
      </c>
      <c r="N147" s="77">
        <v>2268</v>
      </c>
      <c r="O147" s="77">
        <v>2306</v>
      </c>
      <c r="P147" s="77">
        <v>2358</v>
      </c>
      <c r="Q147" s="77">
        <v>2440</v>
      </c>
      <c r="R147" s="77">
        <v>2458</v>
      </c>
      <c r="S147" s="77">
        <v>2468</v>
      </c>
      <c r="T147" s="77">
        <v>2566</v>
      </c>
      <c r="U147" s="77">
        <v>2576</v>
      </c>
      <c r="V147" s="77">
        <v>2664</v>
      </c>
      <c r="W147" s="77">
        <v>2666</v>
      </c>
      <c r="X147" s="77">
        <v>2674</v>
      </c>
      <c r="Y147" s="77">
        <v>2780</v>
      </c>
      <c r="Z147" s="77">
        <v>2790</v>
      </c>
      <c r="AA147" s="77">
        <v>2802</v>
      </c>
      <c r="AB147" s="77">
        <v>2900</v>
      </c>
      <c r="AC147" s="104">
        <v>2900</v>
      </c>
      <c r="AD147" s="107" t="s">
        <v>586</v>
      </c>
      <c r="AE147" s="68"/>
    </row>
    <row r="148" spans="1:31" ht="15.75">
      <c r="A148" s="754" t="s">
        <v>195</v>
      </c>
      <c r="B148" s="756" t="s">
        <v>26</v>
      </c>
      <c r="C148" s="89"/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  <c r="AB148" s="89"/>
      <c r="AC148" s="120"/>
      <c r="AD148" s="107"/>
      <c r="AE148" s="68">
        <v>200</v>
      </c>
    </row>
    <row r="149" spans="1:31" ht="15.75" thickBot="1">
      <c r="A149" s="755"/>
      <c r="B149" s="75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  <c r="AB149" s="77"/>
      <c r="AC149" s="104"/>
      <c r="AD149" s="107"/>
      <c r="AE149" s="68"/>
    </row>
    <row r="150" spans="1:31" ht="15.75">
      <c r="A150" s="754" t="s">
        <v>197</v>
      </c>
      <c r="B150" s="756" t="s">
        <v>655</v>
      </c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  <c r="AA150" s="89"/>
      <c r="AB150" s="89"/>
      <c r="AC150" s="120"/>
      <c r="AD150" s="107"/>
      <c r="AE150" s="68">
        <v>200</v>
      </c>
    </row>
    <row r="151" spans="1:31" ht="15.75" thickBot="1">
      <c r="A151" s="755"/>
      <c r="B151" s="75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  <c r="AB151" s="77"/>
      <c r="AC151" s="104"/>
      <c r="AD151" s="107"/>
      <c r="AE151" s="68"/>
    </row>
    <row r="152" spans="1:31" ht="15.75">
      <c r="A152" s="754" t="s">
        <v>656</v>
      </c>
      <c r="B152" s="756" t="s">
        <v>657</v>
      </c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  <c r="AA152" s="89"/>
      <c r="AB152" s="89"/>
      <c r="AC152" s="120"/>
      <c r="AD152" s="107"/>
      <c r="AE152" s="68">
        <v>200</v>
      </c>
    </row>
    <row r="153" spans="1:31" ht="15.75" thickBot="1">
      <c r="A153" s="755"/>
      <c r="B153" s="75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77"/>
      <c r="AC153" s="104"/>
      <c r="AD153" s="107"/>
      <c r="AE153" s="68"/>
    </row>
    <row r="154" spans="1:31" ht="15.75" thickBot="1">
      <c r="A154" s="323"/>
      <c r="B154" s="324" t="s">
        <v>658</v>
      </c>
      <c r="C154" s="323"/>
      <c r="D154" s="323"/>
      <c r="E154" s="323"/>
      <c r="F154" s="323"/>
      <c r="G154" s="323"/>
      <c r="H154" s="323"/>
      <c r="I154" s="323"/>
      <c r="J154" s="323"/>
      <c r="K154" s="323"/>
      <c r="L154" s="323"/>
      <c r="M154" s="323"/>
      <c r="N154" s="323"/>
      <c r="O154" s="323"/>
      <c r="P154" s="323"/>
      <c r="Q154" s="323"/>
      <c r="R154" s="323"/>
      <c r="S154" s="323"/>
      <c r="T154" s="323"/>
      <c r="U154" s="323"/>
      <c r="V154" s="323"/>
      <c r="W154" s="323"/>
      <c r="X154" s="323"/>
      <c r="Y154" s="323"/>
      <c r="Z154" s="323"/>
      <c r="AA154" s="323"/>
      <c r="AB154" s="323"/>
      <c r="AC154" s="323"/>
      <c r="AD154" s="107"/>
      <c r="AE154" s="68"/>
    </row>
    <row r="155" spans="1:31" ht="15.75">
      <c r="A155" s="754" t="s">
        <v>659</v>
      </c>
      <c r="B155" s="756" t="s">
        <v>660</v>
      </c>
      <c r="C155" s="89"/>
      <c r="D155" s="89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  <c r="AA155" s="89"/>
      <c r="AB155" s="89"/>
      <c r="AC155" s="120"/>
      <c r="AD155" s="107"/>
      <c r="AE155" s="68"/>
    </row>
    <row r="156" spans="1:31" ht="15.75">
      <c r="A156" s="782"/>
      <c r="B156" s="638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13"/>
      <c r="AD156" s="107"/>
      <c r="AE156" s="68"/>
    </row>
    <row r="157" spans="1:31" ht="15.75" thickBot="1">
      <c r="A157" s="755"/>
      <c r="B157" s="75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  <c r="AB157" s="77"/>
      <c r="AC157" s="104"/>
      <c r="AD157" s="107"/>
      <c r="AE157" s="68"/>
    </row>
    <row r="158" spans="1:31" ht="15.75">
      <c r="A158" s="784" t="s">
        <v>661</v>
      </c>
      <c r="B158" s="777" t="s">
        <v>201</v>
      </c>
      <c r="C158" s="274"/>
      <c r="D158" s="274"/>
      <c r="E158" s="274"/>
      <c r="F158" s="274"/>
      <c r="G158" s="274"/>
      <c r="H158" s="274"/>
      <c r="I158" s="274"/>
      <c r="J158" s="274"/>
      <c r="K158" s="274"/>
      <c r="L158" s="274"/>
      <c r="M158" s="274"/>
      <c r="N158" s="274"/>
      <c r="O158" s="274"/>
      <c r="P158" s="274"/>
      <c r="Q158" s="274"/>
      <c r="R158" s="274"/>
      <c r="S158" s="274"/>
      <c r="T158" s="274"/>
      <c r="U158" s="274"/>
      <c r="V158" s="274"/>
      <c r="W158" s="274"/>
      <c r="X158" s="274"/>
      <c r="Y158" s="274"/>
      <c r="Z158" s="274"/>
      <c r="AA158" s="274"/>
      <c r="AB158" s="274"/>
      <c r="AC158" s="325"/>
      <c r="AD158" s="107"/>
      <c r="AE158" s="68"/>
    </row>
    <row r="159" spans="1:31" ht="15.75">
      <c r="A159" s="785"/>
      <c r="B159" s="640"/>
      <c r="C159" s="274"/>
      <c r="D159" s="274"/>
      <c r="E159" s="274"/>
      <c r="F159" s="274"/>
      <c r="G159" s="274"/>
      <c r="H159" s="274"/>
      <c r="I159" s="274"/>
      <c r="J159" s="274"/>
      <c r="K159" s="274"/>
      <c r="L159" s="274"/>
      <c r="M159" s="274"/>
      <c r="N159" s="274"/>
      <c r="O159" s="274"/>
      <c r="P159" s="274"/>
      <c r="Q159" s="274"/>
      <c r="R159" s="274"/>
      <c r="S159" s="274"/>
      <c r="T159" s="274"/>
      <c r="U159" s="274"/>
      <c r="V159" s="274"/>
      <c r="W159" s="274"/>
      <c r="X159" s="274"/>
      <c r="Y159" s="274"/>
      <c r="Z159" s="274"/>
      <c r="AA159" s="274"/>
      <c r="AB159" s="274"/>
      <c r="AC159" s="325"/>
      <c r="AD159" s="107"/>
      <c r="AE159" s="68"/>
    </row>
    <row r="160" spans="1:31" ht="15.75" thickBot="1">
      <c r="A160" s="786"/>
      <c r="B160" s="778"/>
      <c r="C160" s="274"/>
      <c r="D160" s="274"/>
      <c r="E160" s="274"/>
      <c r="F160" s="274"/>
      <c r="G160" s="274"/>
      <c r="H160" s="274"/>
      <c r="I160" s="274"/>
      <c r="J160" s="274"/>
      <c r="K160" s="274"/>
      <c r="L160" s="274"/>
      <c r="M160" s="274"/>
      <c r="N160" s="274"/>
      <c r="O160" s="274"/>
      <c r="P160" s="274"/>
      <c r="Q160" s="274"/>
      <c r="R160" s="274"/>
      <c r="S160" s="274"/>
      <c r="T160" s="274"/>
      <c r="U160" s="274"/>
      <c r="V160" s="274"/>
      <c r="W160" s="274"/>
      <c r="X160" s="274"/>
      <c r="Y160" s="274"/>
      <c r="Z160" s="274"/>
      <c r="AA160" s="274"/>
      <c r="AB160" s="274"/>
      <c r="AC160" s="325"/>
      <c r="AD160" s="107"/>
      <c r="AE160" s="68"/>
    </row>
    <row r="161" spans="1:31" ht="15.75">
      <c r="A161" s="784" t="s">
        <v>662</v>
      </c>
      <c r="B161" s="777" t="s">
        <v>663</v>
      </c>
      <c r="C161" s="326">
        <f t="shared" si="73" ref="C161:J161">$K$165/C165</f>
        <v>1.3020833333333333</v>
      </c>
      <c r="D161" s="326">
        <f t="shared" si="73"/>
        <v>1.256281407035176</v>
      </c>
      <c r="E161" s="326">
        <f t="shared" si="73"/>
        <v>1.2437810945273631</v>
      </c>
      <c r="F161" s="326">
        <f t="shared" si="73"/>
        <v>1.2048192771084338</v>
      </c>
      <c r="G161" s="326">
        <f t="shared" si="73"/>
        <v>1.1695906432748537</v>
      </c>
      <c r="H161" s="326">
        <f t="shared" si="73"/>
        <v>1.1627906976744187</v>
      </c>
      <c r="I161" s="326">
        <f t="shared" si="73"/>
        <v>1.1185682326621924</v>
      </c>
      <c r="J161" s="326">
        <f t="shared" si="73"/>
        <v>1.0504201680672269</v>
      </c>
      <c r="K161" s="327">
        <f>$K$165/K165</f>
        <v>1</v>
      </c>
      <c r="L161" s="326">
        <f t="shared" si="74" ref="L161:AC161">$K$165/L165</f>
        <v>0.96899224806201545</v>
      </c>
      <c r="M161" s="326">
        <f t="shared" si="74"/>
        <v>0.91491308325709053</v>
      </c>
      <c r="N161" s="326">
        <f t="shared" si="74"/>
        <v>0.88183421516754845</v>
      </c>
      <c r="O161" s="326">
        <f t="shared" si="74"/>
        <v>0.86730268863833482</v>
      </c>
      <c r="P161" s="326">
        <f t="shared" si="74"/>
        <v>0.8481764206955047</v>
      </c>
      <c r="Q161" s="326">
        <f t="shared" si="74"/>
        <v>0.81967213114754101</v>
      </c>
      <c r="R161" s="326">
        <f t="shared" si="74"/>
        <v>0.8136696501220505</v>
      </c>
      <c r="S161" s="326">
        <f t="shared" si="74"/>
        <v>0.81037277147487841</v>
      </c>
      <c r="T161" s="326">
        <f t="shared" si="74"/>
        <v>0.77942322681215903</v>
      </c>
      <c r="U161" s="326">
        <f t="shared" si="74"/>
        <v>0.77639751552795033</v>
      </c>
      <c r="V161" s="326">
        <f t="shared" si="74"/>
        <v>0.75075075075075071</v>
      </c>
      <c r="W161" s="326">
        <f t="shared" si="74"/>
        <v>0.75018754688672173</v>
      </c>
      <c r="X161" s="326">
        <f t="shared" si="74"/>
        <v>0.74794315632011965</v>
      </c>
      <c r="Y161" s="326">
        <f t="shared" si="74"/>
        <v>0.71942446043165464</v>
      </c>
      <c r="Z161" s="326">
        <f t="shared" si="74"/>
        <v>0.71684587813620071</v>
      </c>
      <c r="AA161" s="326">
        <f t="shared" si="74"/>
        <v>0.7137758743754461</v>
      </c>
      <c r="AB161" s="326">
        <f t="shared" si="74"/>
        <v>0.68965517241379315</v>
      </c>
      <c r="AC161" s="326">
        <f t="shared" si="74"/>
        <v>0.88809946714031973</v>
      </c>
      <c r="AD161" s="107" t="s">
        <v>395</v>
      </c>
      <c r="AE161" s="68">
        <v>183</v>
      </c>
    </row>
    <row r="162" spans="1:31" ht="15.75">
      <c r="A162" s="785"/>
      <c r="B162" s="640"/>
      <c r="C162" s="165">
        <f>105/60</f>
        <v>1.75</v>
      </c>
      <c r="D162" s="165">
        <f>105/60</f>
        <v>1.75</v>
      </c>
      <c r="E162" s="165">
        <f>110/60</f>
        <v>1.8333333333333333</v>
      </c>
      <c r="F162" s="165">
        <f>110/60</f>
        <v>1.8333333333333333</v>
      </c>
      <c r="G162" s="165">
        <f>115/60</f>
        <v>1.9166666666666667</v>
      </c>
      <c r="H162" s="165">
        <f>115/60</f>
        <v>1.9166666666666667</v>
      </c>
      <c r="I162" s="165">
        <f>115/60</f>
        <v>1.9166666666666667</v>
      </c>
      <c r="J162" s="165">
        <f>180/60</f>
        <v>3</v>
      </c>
      <c r="K162" s="98">
        <f>180/60</f>
        <v>3</v>
      </c>
      <c r="L162" s="165">
        <f>180/60</f>
        <v>3</v>
      </c>
      <c r="M162" s="165">
        <f>125/60</f>
        <v>2.0833333333333335</v>
      </c>
      <c r="N162" s="165">
        <f>125/60</f>
        <v>2.0833333333333335</v>
      </c>
      <c r="O162" s="165">
        <f>130/60</f>
        <v>2.1666666666666665</v>
      </c>
      <c r="P162" s="165">
        <f>130/60</f>
        <v>2.1666666666666665</v>
      </c>
      <c r="Q162" s="165">
        <f>135/60</f>
        <v>2.25</v>
      </c>
      <c r="R162" s="165">
        <f>135/60</f>
        <v>2.25</v>
      </c>
      <c r="S162" s="165">
        <f>135/60</f>
        <v>2.25</v>
      </c>
      <c r="T162" s="165">
        <f>140/60</f>
        <v>2.3333333333333335</v>
      </c>
      <c r="U162" s="165">
        <f>140/60</f>
        <v>2.3333333333333335</v>
      </c>
      <c r="V162" s="165">
        <f>145/60</f>
        <v>2.4166666666666665</v>
      </c>
      <c r="W162" s="165">
        <f>145/60</f>
        <v>2.4166666666666665</v>
      </c>
      <c r="X162" s="165">
        <f>145/60</f>
        <v>2.4166666666666665</v>
      </c>
      <c r="Y162" s="165">
        <f>115/60</f>
        <v>1.9166666666666667</v>
      </c>
      <c r="Z162" s="165">
        <f>150/60</f>
        <v>2.50</v>
      </c>
      <c r="AA162" s="165">
        <f>150/60</f>
        <v>2.50</v>
      </c>
      <c r="AB162" s="165">
        <f>155/60</f>
        <v>2.5833333333333335</v>
      </c>
      <c r="AC162" s="165">
        <f>155/60</f>
        <v>2.5833333333333335</v>
      </c>
      <c r="AD162" s="107" t="s">
        <v>393</v>
      </c>
      <c r="AE162" s="68"/>
    </row>
    <row r="163" spans="1:31" ht="15.75">
      <c r="A163" s="785"/>
      <c r="B163" s="640"/>
      <c r="C163" s="75">
        <f t="shared" si="75" ref="C163:AC163">C162*$AE$161</f>
        <v>320.25</v>
      </c>
      <c r="D163" s="75">
        <f t="shared" si="75"/>
        <v>320.25</v>
      </c>
      <c r="E163" s="75">
        <f t="shared" si="75"/>
        <v>335.50</v>
      </c>
      <c r="F163" s="75">
        <f t="shared" si="75"/>
        <v>335.50</v>
      </c>
      <c r="G163" s="75">
        <f t="shared" si="75"/>
        <v>350.75</v>
      </c>
      <c r="H163" s="75">
        <f t="shared" si="75"/>
        <v>350.75</v>
      </c>
      <c r="I163" s="75">
        <f t="shared" si="75"/>
        <v>350.75</v>
      </c>
      <c r="J163" s="75">
        <f t="shared" si="75"/>
        <v>549</v>
      </c>
      <c r="K163" s="138">
        <f t="shared" si="75"/>
        <v>549</v>
      </c>
      <c r="L163" s="75">
        <f t="shared" si="75"/>
        <v>549</v>
      </c>
      <c r="M163" s="75">
        <f t="shared" si="75"/>
        <v>381.25</v>
      </c>
      <c r="N163" s="75">
        <f t="shared" si="75"/>
        <v>381.25</v>
      </c>
      <c r="O163" s="75">
        <f t="shared" si="75"/>
        <v>396.50</v>
      </c>
      <c r="P163" s="75">
        <f t="shared" si="75"/>
        <v>396.50</v>
      </c>
      <c r="Q163" s="75">
        <f t="shared" si="75"/>
        <v>411.75</v>
      </c>
      <c r="R163" s="75">
        <f t="shared" si="75"/>
        <v>411.75</v>
      </c>
      <c r="S163" s="75">
        <f t="shared" si="75"/>
        <v>411.75</v>
      </c>
      <c r="T163" s="75">
        <f t="shared" si="75"/>
        <v>427</v>
      </c>
      <c r="U163" s="75">
        <f t="shared" si="75"/>
        <v>427</v>
      </c>
      <c r="V163" s="75">
        <f t="shared" si="75"/>
        <v>442.25</v>
      </c>
      <c r="W163" s="75">
        <f t="shared" si="75"/>
        <v>442.25</v>
      </c>
      <c r="X163" s="75">
        <f t="shared" si="75"/>
        <v>442.25</v>
      </c>
      <c r="Y163" s="75">
        <f t="shared" si="75"/>
        <v>350.75</v>
      </c>
      <c r="Z163" s="75">
        <f t="shared" si="75"/>
        <v>457.50</v>
      </c>
      <c r="AA163" s="75">
        <f t="shared" si="75"/>
        <v>457.50</v>
      </c>
      <c r="AB163" s="75">
        <f t="shared" si="75"/>
        <v>472.75</v>
      </c>
      <c r="AC163" s="101">
        <f t="shared" si="75"/>
        <v>472.75</v>
      </c>
      <c r="AD163" s="107" t="s">
        <v>377</v>
      </c>
      <c r="AE163" s="68"/>
    </row>
    <row r="164" spans="1:31" ht="15.75">
      <c r="A164" s="785"/>
      <c r="B164" s="640"/>
      <c r="C164" s="308">
        <f t="shared" si="76" ref="C164:J164">C161*3.3</f>
        <v>4.2968749999999991</v>
      </c>
      <c r="D164" s="308">
        <f t="shared" si="76"/>
        <v>4.1457286432160805</v>
      </c>
      <c r="E164" s="308">
        <f t="shared" si="76"/>
        <v>4.1044776119402977</v>
      </c>
      <c r="F164" s="308">
        <f t="shared" si="76"/>
        <v>3.9759036144578315</v>
      </c>
      <c r="G164" s="308">
        <f t="shared" si="76"/>
        <v>3.8596491228070171</v>
      </c>
      <c r="H164" s="308">
        <f t="shared" si="76"/>
        <v>3.8372093023255816</v>
      </c>
      <c r="I164" s="308">
        <f t="shared" si="76"/>
        <v>3.6912751677852347</v>
      </c>
      <c r="J164" s="308">
        <f t="shared" si="76"/>
        <v>3.4663865546218489</v>
      </c>
      <c r="K164" s="99">
        <f>K161*3.3</f>
        <v>3.30</v>
      </c>
      <c r="L164" s="308">
        <f t="shared" si="77" ref="L164:AC164">L161*3.3</f>
        <v>3.1976744186046506</v>
      </c>
      <c r="M164" s="308">
        <f t="shared" si="77"/>
        <v>3.0192131747483986</v>
      </c>
      <c r="N164" s="308">
        <f t="shared" si="77"/>
        <v>2.9100529100529098</v>
      </c>
      <c r="O164" s="308">
        <f t="shared" si="77"/>
        <v>2.8620988725065049</v>
      </c>
      <c r="P164" s="308">
        <f t="shared" si="77"/>
        <v>2.7989821882951653</v>
      </c>
      <c r="Q164" s="308">
        <f t="shared" si="77"/>
        <v>2.7049180327868854</v>
      </c>
      <c r="R164" s="308">
        <f t="shared" si="77"/>
        <v>2.6851098454027666</v>
      </c>
      <c r="S164" s="308">
        <f t="shared" si="77"/>
        <v>2.6742301458670985</v>
      </c>
      <c r="T164" s="308">
        <f t="shared" si="77"/>
        <v>2.5720966484801249</v>
      </c>
      <c r="U164" s="308">
        <f t="shared" si="77"/>
        <v>2.5621118012422359</v>
      </c>
      <c r="V164" s="308">
        <f t="shared" si="77"/>
        <v>2.477477477477477</v>
      </c>
      <c r="W164" s="308">
        <f t="shared" si="77"/>
        <v>2.4756189047261814</v>
      </c>
      <c r="X164" s="308">
        <f t="shared" si="77"/>
        <v>2.4682124158563945</v>
      </c>
      <c r="Y164" s="308">
        <f t="shared" si="77"/>
        <v>2.3741007194244603</v>
      </c>
      <c r="Z164" s="308">
        <f t="shared" si="77"/>
        <v>2.365591397849462</v>
      </c>
      <c r="AA164" s="308">
        <f t="shared" si="77"/>
        <v>2.3554603854389722</v>
      </c>
      <c r="AB164" s="308">
        <f t="shared" si="77"/>
        <v>2.2758620689655173</v>
      </c>
      <c r="AC164" s="308">
        <f t="shared" si="77"/>
        <v>2.9307282415630551</v>
      </c>
      <c r="AD164" s="107" t="s">
        <v>376</v>
      </c>
      <c r="AE164" s="68"/>
    </row>
    <row r="165" spans="1:31" ht="15.75" thickBot="1">
      <c r="A165" s="786"/>
      <c r="B165" s="778"/>
      <c r="C165" s="189">
        <v>1536</v>
      </c>
      <c r="D165" s="189">
        <v>1592</v>
      </c>
      <c r="E165" s="189">
        <v>1608</v>
      </c>
      <c r="F165" s="189">
        <v>1660</v>
      </c>
      <c r="G165" s="189">
        <v>1710</v>
      </c>
      <c r="H165" s="189">
        <v>1720</v>
      </c>
      <c r="I165" s="189">
        <v>1788</v>
      </c>
      <c r="J165" s="189">
        <v>1904</v>
      </c>
      <c r="K165" s="319">
        <v>2000</v>
      </c>
      <c r="L165" s="189">
        <v>2064</v>
      </c>
      <c r="M165" s="189">
        <v>2186</v>
      </c>
      <c r="N165" s="189">
        <v>2268</v>
      </c>
      <c r="O165" s="189">
        <v>2306</v>
      </c>
      <c r="P165" s="189">
        <v>2358</v>
      </c>
      <c r="Q165" s="189">
        <v>2440</v>
      </c>
      <c r="R165" s="189">
        <v>2458</v>
      </c>
      <c r="S165" s="189">
        <v>2468</v>
      </c>
      <c r="T165" s="189">
        <v>2566</v>
      </c>
      <c r="U165" s="189">
        <v>2576</v>
      </c>
      <c r="V165" s="189">
        <v>2664</v>
      </c>
      <c r="W165" s="189">
        <v>2666</v>
      </c>
      <c r="X165" s="189">
        <v>2674</v>
      </c>
      <c r="Y165" s="189">
        <v>2780</v>
      </c>
      <c r="Z165" s="189">
        <v>2790</v>
      </c>
      <c r="AA165" s="189">
        <v>2802</v>
      </c>
      <c r="AB165" s="189">
        <v>2900</v>
      </c>
      <c r="AC165" s="190">
        <v>2252</v>
      </c>
      <c r="AD165" s="107" t="s">
        <v>664</v>
      </c>
      <c r="AE165" s="68"/>
    </row>
    <row r="166" spans="1:31" ht="30.75" thickBot="1">
      <c r="A166" s="130" t="s">
        <v>665</v>
      </c>
      <c r="B166" s="76" t="s">
        <v>509</v>
      </c>
      <c r="C166" s="198"/>
      <c r="D166" s="198"/>
      <c r="E166" s="198"/>
      <c r="F166" s="198"/>
      <c r="G166" s="198"/>
      <c r="H166" s="198"/>
      <c r="I166" s="198"/>
      <c r="J166" s="198"/>
      <c r="K166" s="198"/>
      <c r="L166" s="198"/>
      <c r="M166" s="198"/>
      <c r="N166" s="198"/>
      <c r="O166" s="198"/>
      <c r="P166" s="198"/>
      <c r="Q166" s="198"/>
      <c r="R166" s="198"/>
      <c r="S166" s="198"/>
      <c r="T166" s="198"/>
      <c r="U166" s="198"/>
      <c r="V166" s="198"/>
      <c r="W166" s="198"/>
      <c r="X166" s="198"/>
      <c r="Y166" s="198"/>
      <c r="Z166" s="198"/>
      <c r="AA166" s="198"/>
      <c r="AB166" s="198"/>
      <c r="AC166" s="328"/>
      <c r="AD166" s="107"/>
      <c r="AE166" s="68"/>
    </row>
    <row r="167" spans="1:31" ht="15.75" thickBot="1">
      <c r="A167" s="130" t="s">
        <v>666</v>
      </c>
      <c r="B167" s="76" t="s">
        <v>667</v>
      </c>
      <c r="C167" s="198"/>
      <c r="D167" s="198"/>
      <c r="E167" s="198"/>
      <c r="F167" s="198"/>
      <c r="G167" s="198"/>
      <c r="H167" s="198"/>
      <c r="I167" s="198"/>
      <c r="J167" s="198"/>
      <c r="K167" s="198"/>
      <c r="L167" s="198"/>
      <c r="M167" s="198"/>
      <c r="N167" s="198"/>
      <c r="O167" s="198"/>
      <c r="P167" s="198"/>
      <c r="Q167" s="198"/>
      <c r="R167" s="198"/>
      <c r="S167" s="198"/>
      <c r="T167" s="198"/>
      <c r="U167" s="198"/>
      <c r="V167" s="198"/>
      <c r="W167" s="198"/>
      <c r="X167" s="198"/>
      <c r="Y167" s="198"/>
      <c r="Z167" s="198"/>
      <c r="AA167" s="198"/>
      <c r="AB167" s="198"/>
      <c r="AC167" s="328"/>
      <c r="AD167" s="107"/>
      <c r="AE167" s="68"/>
    </row>
    <row r="168" spans="1:31" ht="15.75">
      <c r="A168" s="791" t="s">
        <v>205</v>
      </c>
      <c r="B168" s="777" t="s">
        <v>668</v>
      </c>
      <c r="C168" s="329">
        <f t="shared" si="78" ref="C168:W168">C172/$X$165</f>
        <v>0.57442034405385189</v>
      </c>
      <c r="D168" s="329">
        <f t="shared" si="78"/>
        <v>0.59536275243081527</v>
      </c>
      <c r="E168" s="329">
        <f t="shared" si="78"/>
        <v>0.60134629768137626</v>
      </c>
      <c r="F168" s="329">
        <f t="shared" si="78"/>
        <v>0.62079281974569933</v>
      </c>
      <c r="G168" s="329">
        <f t="shared" si="78"/>
        <v>0.6394913986537023</v>
      </c>
      <c r="H168" s="329">
        <f t="shared" si="78"/>
        <v>0.6432311144353029</v>
      </c>
      <c r="I168" s="329">
        <f t="shared" si="78"/>
        <v>0.66866118175018696</v>
      </c>
      <c r="J168" s="329">
        <f t="shared" si="78"/>
        <v>0.7120418848167539</v>
      </c>
      <c r="K168" s="329">
        <f t="shared" si="78"/>
        <v>0.74794315632011965</v>
      </c>
      <c r="L168" s="329">
        <f t="shared" si="78"/>
        <v>0.77187733732236352</v>
      </c>
      <c r="M168" s="329">
        <f t="shared" si="78"/>
        <v>0.81750186985789075</v>
      </c>
      <c r="N168" s="329">
        <f t="shared" si="78"/>
        <v>0.84816753926701571</v>
      </c>
      <c r="O168" s="329">
        <f t="shared" si="78"/>
        <v>0.86237845923709799</v>
      </c>
      <c r="P168" s="329">
        <f t="shared" si="78"/>
        <v>0.88182498130142106</v>
      </c>
      <c r="Q168" s="329">
        <f t="shared" si="78"/>
        <v>0.91249065071054603</v>
      </c>
      <c r="R168" s="329">
        <f t="shared" si="78"/>
        <v>0.91922213911742712</v>
      </c>
      <c r="S168" s="329">
        <f t="shared" si="78"/>
        <v>0.92296185489902771</v>
      </c>
      <c r="T168" s="329">
        <f t="shared" si="78"/>
        <v>0.95961106955871356</v>
      </c>
      <c r="U168" s="329">
        <f t="shared" si="78"/>
        <v>0.96335078534031415</v>
      </c>
      <c r="V168" s="329">
        <f t="shared" si="78"/>
        <v>0.99626028421839941</v>
      </c>
      <c r="W168" s="329">
        <f t="shared" si="78"/>
        <v>0.9970082273747195</v>
      </c>
      <c r="X168" s="327">
        <f>X172/$X$165</f>
        <v>1</v>
      </c>
      <c r="Y168" s="329">
        <f t="shared" si="79" ref="Y168:AC168">Y172/$X$165</f>
        <v>1.0396409872849663</v>
      </c>
      <c r="Z168" s="329">
        <f t="shared" si="79"/>
        <v>1.0433807030665669</v>
      </c>
      <c r="AA168" s="329">
        <f t="shared" si="79"/>
        <v>1.0478683620044877</v>
      </c>
      <c r="AB168" s="329">
        <f t="shared" si="79"/>
        <v>1.0845175766641735</v>
      </c>
      <c r="AC168" s="330">
        <f t="shared" si="79"/>
        <v>1.0845175766641735</v>
      </c>
      <c r="AD168" s="107" t="s">
        <v>395</v>
      </c>
      <c r="AE168" s="68">
        <v>200</v>
      </c>
    </row>
    <row r="169" spans="1:31" ht="15.75">
      <c r="A169" s="792"/>
      <c r="B169" s="640"/>
      <c r="C169" s="102">
        <f t="shared" si="80" ref="C169:W169">C168*$AC$2*2</f>
        <v>11.488406881077038</v>
      </c>
      <c r="D169" s="102">
        <f t="shared" si="80"/>
        <v>11.907255048616305</v>
      </c>
      <c r="E169" s="102">
        <f t="shared" si="80"/>
        <v>12.026925953627526</v>
      </c>
      <c r="F169" s="102">
        <f t="shared" si="80"/>
        <v>12.415856394913988</v>
      </c>
      <c r="G169" s="102">
        <f t="shared" si="80"/>
        <v>12.789827973074047</v>
      </c>
      <c r="H169" s="102">
        <f t="shared" si="80"/>
        <v>12.864622288706059</v>
      </c>
      <c r="I169" s="102">
        <f t="shared" si="80"/>
        <v>13.37322363500374</v>
      </c>
      <c r="J169" s="102">
        <f t="shared" si="80"/>
        <v>14.240837696335078</v>
      </c>
      <c r="K169" s="102">
        <f t="shared" si="80"/>
        <v>14.958863126402393</v>
      </c>
      <c r="L169" s="102">
        <f t="shared" si="80"/>
        <v>15.437546746447271</v>
      </c>
      <c r="M169" s="102">
        <f t="shared" si="80"/>
        <v>16.350037397157816</v>
      </c>
      <c r="N169" s="102">
        <f t="shared" si="80"/>
        <v>16.963350785340314</v>
      </c>
      <c r="O169" s="102">
        <f t="shared" si="80"/>
        <v>17.247569184741959</v>
      </c>
      <c r="P169" s="102">
        <f t="shared" si="80"/>
        <v>17.636499626028421</v>
      </c>
      <c r="Q169" s="102">
        <f t="shared" si="80"/>
        <v>18.249813014210922</v>
      </c>
      <c r="R169" s="102">
        <f t="shared" si="80"/>
        <v>18.384442782348543</v>
      </c>
      <c r="S169" s="102">
        <f t="shared" si="80"/>
        <v>18.459237097980555</v>
      </c>
      <c r="T169" s="102">
        <f t="shared" si="80"/>
        <v>19.192221391174272</v>
      </c>
      <c r="U169" s="102">
        <f t="shared" si="80"/>
        <v>19.267015706806284</v>
      </c>
      <c r="V169" s="102">
        <f t="shared" si="80"/>
        <v>19.925205684367988</v>
      </c>
      <c r="W169" s="102">
        <f t="shared" si="80"/>
        <v>19.94016454749439</v>
      </c>
      <c r="X169" s="331">
        <f>X168*$AC$2*2</f>
        <v>20</v>
      </c>
      <c r="Y169" s="102">
        <f t="shared" si="81" ref="Y169:AC169">Y168*$AC$2*2</f>
        <v>20.792819745699326</v>
      </c>
      <c r="Z169" s="102">
        <f t="shared" si="81"/>
        <v>20.867614061331338</v>
      </c>
      <c r="AA169" s="102">
        <f t="shared" si="81"/>
        <v>20.957367240089756</v>
      </c>
      <c r="AB169" s="102">
        <f t="shared" si="81"/>
        <v>21.690351533283469</v>
      </c>
      <c r="AC169" s="103">
        <f t="shared" si="81"/>
        <v>21.690351533283469</v>
      </c>
      <c r="AD169" s="107" t="s">
        <v>393</v>
      </c>
      <c r="AE169" s="68"/>
    </row>
    <row r="170" spans="1:31" ht="15.75">
      <c r="A170" s="792"/>
      <c r="B170" s="640"/>
      <c r="C170" s="75">
        <f t="shared" si="82" ref="C170:W170">C169*$AE$168</f>
        <v>2297.6813762154075</v>
      </c>
      <c r="D170" s="75">
        <f t="shared" si="82"/>
        <v>2381.451009723261</v>
      </c>
      <c r="E170" s="75">
        <f t="shared" si="82"/>
        <v>2405.3851907255053</v>
      </c>
      <c r="F170" s="75">
        <f t="shared" si="82"/>
        <v>2483.1712789827975</v>
      </c>
      <c r="G170" s="75">
        <f t="shared" si="82"/>
        <v>2557.9655946148096</v>
      </c>
      <c r="H170" s="75">
        <f t="shared" si="82"/>
        <v>2572.9244577412119</v>
      </c>
      <c r="I170" s="75">
        <f t="shared" si="82"/>
        <v>2674.6447270007479</v>
      </c>
      <c r="J170" s="75">
        <f t="shared" si="82"/>
        <v>2848.1675392670154</v>
      </c>
      <c r="K170" s="75">
        <f t="shared" si="82"/>
        <v>2991.7726252804787</v>
      </c>
      <c r="L170" s="75">
        <f t="shared" si="82"/>
        <v>3087.5093492894543</v>
      </c>
      <c r="M170" s="75">
        <f t="shared" si="82"/>
        <v>3270.0074794315633</v>
      </c>
      <c r="N170" s="75">
        <f t="shared" si="82"/>
        <v>3392.670157068063</v>
      </c>
      <c r="O170" s="75">
        <f t="shared" si="82"/>
        <v>3449.5138369483916</v>
      </c>
      <c r="P170" s="75">
        <f t="shared" si="82"/>
        <v>3527.2999252056843</v>
      </c>
      <c r="Q170" s="75">
        <f t="shared" si="82"/>
        <v>3649.9626028421844</v>
      </c>
      <c r="R170" s="75">
        <f t="shared" si="82"/>
        <v>3676.8885564697084</v>
      </c>
      <c r="S170" s="75">
        <f t="shared" si="82"/>
        <v>3691.8474195961112</v>
      </c>
      <c r="T170" s="75">
        <f t="shared" si="82"/>
        <v>3838.4442782348542</v>
      </c>
      <c r="U170" s="75">
        <f t="shared" si="82"/>
        <v>3853.4031413612565</v>
      </c>
      <c r="V170" s="75">
        <f t="shared" si="82"/>
        <v>3985.0411368735977</v>
      </c>
      <c r="W170" s="75">
        <f t="shared" si="82"/>
        <v>3988.0329094988783</v>
      </c>
      <c r="X170" s="138">
        <f>X169*$AE$168</f>
        <v>4000</v>
      </c>
      <c r="Y170" s="75">
        <f t="shared" si="83" ref="Y170:AC170">Y169*$AE$168</f>
        <v>4158.5639491398651</v>
      </c>
      <c r="Z170" s="75">
        <f t="shared" si="83"/>
        <v>4173.5228122662675</v>
      </c>
      <c r="AA170" s="75">
        <f t="shared" si="83"/>
        <v>4191.4734480179513</v>
      </c>
      <c r="AB170" s="75">
        <f t="shared" si="83"/>
        <v>4338.0703066566939</v>
      </c>
      <c r="AC170" s="101">
        <f t="shared" si="83"/>
        <v>4338.0703066566939</v>
      </c>
      <c r="AD170" s="107" t="s">
        <v>377</v>
      </c>
      <c r="AE170" s="68"/>
    </row>
    <row r="171" spans="1:31" ht="15.75">
      <c r="A171" s="792"/>
      <c r="B171" s="640"/>
      <c r="C171" s="308">
        <f t="shared" si="84" ref="C171:AC171">$AC$2/C169*2</f>
        <v>1.7408854166666667</v>
      </c>
      <c r="D171" s="308">
        <f t="shared" si="84"/>
        <v>1.6796482412060303</v>
      </c>
      <c r="E171" s="308">
        <f t="shared" si="84"/>
        <v>1.6629353233830844</v>
      </c>
      <c r="F171" s="308">
        <f t="shared" si="84"/>
        <v>1.6108433734939758</v>
      </c>
      <c r="G171" s="308">
        <f t="shared" si="84"/>
        <v>1.5637426900584794</v>
      </c>
      <c r="H171" s="308">
        <f t="shared" si="84"/>
        <v>1.5546511627906976</v>
      </c>
      <c r="I171" s="308">
        <f t="shared" si="84"/>
        <v>1.4955257270693512</v>
      </c>
      <c r="J171" s="308">
        <f t="shared" si="84"/>
        <v>1.4044117647058825</v>
      </c>
      <c r="K171" s="308">
        <f t="shared" si="84"/>
        <v>1.337</v>
      </c>
      <c r="L171" s="308">
        <f t="shared" si="84"/>
        <v>1.2955426356589146</v>
      </c>
      <c r="M171" s="308">
        <f t="shared" si="84"/>
        <v>1.2232387923147301</v>
      </c>
      <c r="N171" s="308">
        <f t="shared" si="84"/>
        <v>1.1790123456790125</v>
      </c>
      <c r="O171" s="308">
        <f t="shared" si="84"/>
        <v>1.1595836947094535</v>
      </c>
      <c r="P171" s="308">
        <f t="shared" si="84"/>
        <v>1.1340118744698897</v>
      </c>
      <c r="Q171" s="308">
        <f t="shared" si="84"/>
        <v>1.0959016393442622</v>
      </c>
      <c r="R171" s="308">
        <f t="shared" si="84"/>
        <v>1.0878763222131813</v>
      </c>
      <c r="S171" s="308">
        <f t="shared" si="84"/>
        <v>1.0834683954619124</v>
      </c>
      <c r="T171" s="308">
        <f t="shared" si="84"/>
        <v>1.0420888542478566</v>
      </c>
      <c r="U171" s="308">
        <f t="shared" si="84"/>
        <v>1.0380434782608696</v>
      </c>
      <c r="V171" s="308">
        <f t="shared" si="84"/>
        <v>1.0037537537537538</v>
      </c>
      <c r="W171" s="308">
        <f t="shared" si="84"/>
        <v>1.0030007501875469</v>
      </c>
      <c r="X171" s="99">
        <f>$AC$2/X169*2</f>
        <v>1</v>
      </c>
      <c r="Y171" s="308">
        <f t="shared" si="84"/>
        <v>0.96187050359712234</v>
      </c>
      <c r="Z171" s="308">
        <f t="shared" si="84"/>
        <v>0.95842293906810039</v>
      </c>
      <c r="AA171" s="308">
        <f t="shared" si="84"/>
        <v>0.95431834403997129</v>
      </c>
      <c r="AB171" s="308">
        <f t="shared" si="84"/>
        <v>0.92206896551724149</v>
      </c>
      <c r="AC171" s="309">
        <f t="shared" si="84"/>
        <v>0.92206896551724149</v>
      </c>
      <c r="AD171" s="107" t="s">
        <v>376</v>
      </c>
      <c r="AE171" s="68"/>
    </row>
    <row r="172" spans="1:31" ht="15.75" thickBot="1">
      <c r="A172" s="793"/>
      <c r="B172" s="778"/>
      <c r="C172" s="189">
        <v>1536</v>
      </c>
      <c r="D172" s="189">
        <v>1592</v>
      </c>
      <c r="E172" s="189">
        <v>1608</v>
      </c>
      <c r="F172" s="189">
        <v>1660</v>
      </c>
      <c r="G172" s="189">
        <v>1710</v>
      </c>
      <c r="H172" s="189">
        <v>1720</v>
      </c>
      <c r="I172" s="189">
        <v>1788</v>
      </c>
      <c r="J172" s="189">
        <v>1904</v>
      </c>
      <c r="K172" s="189">
        <v>2000</v>
      </c>
      <c r="L172" s="189">
        <v>2064</v>
      </c>
      <c r="M172" s="189">
        <v>2186</v>
      </c>
      <c r="N172" s="189">
        <v>2268</v>
      </c>
      <c r="O172" s="189">
        <v>2306</v>
      </c>
      <c r="P172" s="189">
        <v>2358</v>
      </c>
      <c r="Q172" s="189">
        <v>2440</v>
      </c>
      <c r="R172" s="189">
        <v>2458</v>
      </c>
      <c r="S172" s="189">
        <v>2468</v>
      </c>
      <c r="T172" s="189">
        <v>2566</v>
      </c>
      <c r="U172" s="189">
        <v>2576</v>
      </c>
      <c r="V172" s="189">
        <v>2664</v>
      </c>
      <c r="W172" s="189">
        <v>2666</v>
      </c>
      <c r="X172" s="319">
        <v>2674</v>
      </c>
      <c r="Y172" s="189">
        <v>2780</v>
      </c>
      <c r="Z172" s="189">
        <v>2790</v>
      </c>
      <c r="AA172" s="189">
        <v>2802</v>
      </c>
      <c r="AB172" s="189">
        <v>2900</v>
      </c>
      <c r="AC172" s="190">
        <v>2900</v>
      </c>
      <c r="AD172" s="107" t="s">
        <v>669</v>
      </c>
      <c r="AE172" s="68"/>
    </row>
    <row r="173" spans="1:33" ht="15.75">
      <c r="A173" s="788" t="s">
        <v>206</v>
      </c>
      <c r="B173" s="777" t="s">
        <v>670</v>
      </c>
      <c r="C173" s="305">
        <f t="shared" si="85" ref="C173:AB173">C177/$AC$177</f>
        <v>0.32009345794392524</v>
      </c>
      <c r="D173" s="305">
        <f t="shared" si="85"/>
        <v>0.33878504672897197</v>
      </c>
      <c r="E173" s="305">
        <f t="shared" si="85"/>
        <v>0.34579439252336447</v>
      </c>
      <c r="F173" s="305">
        <f t="shared" si="85"/>
        <v>0.3644859813084112</v>
      </c>
      <c r="G173" s="305">
        <f t="shared" si="85"/>
        <v>0.3785046728971963</v>
      </c>
      <c r="H173" s="305">
        <f t="shared" si="85"/>
        <v>0.3855140186915888</v>
      </c>
      <c r="I173" s="305">
        <f t="shared" si="85"/>
        <v>0.42757009345794394</v>
      </c>
      <c r="J173" s="305">
        <f t="shared" si="85"/>
        <v>0.47196261682242996</v>
      </c>
      <c r="K173" s="305">
        <f t="shared" si="85"/>
        <v>0.5070093457943925</v>
      </c>
      <c r="L173" s="305">
        <f t="shared" si="85"/>
        <v>0.55373831775700932</v>
      </c>
      <c r="M173" s="305">
        <f t="shared" si="85"/>
        <v>0.63785046728971972</v>
      </c>
      <c r="N173" s="305">
        <f t="shared" si="85"/>
        <v>0.67289719626168221</v>
      </c>
      <c r="O173" s="305">
        <f t="shared" si="85"/>
        <v>0.69626168224299068</v>
      </c>
      <c r="P173" s="305">
        <f t="shared" si="85"/>
        <v>0.72663551401869164</v>
      </c>
      <c r="Q173" s="305">
        <f t="shared" si="85"/>
        <v>0.76635514018691597</v>
      </c>
      <c r="R173" s="305">
        <f t="shared" si="85"/>
        <v>0.78271028037383183</v>
      </c>
      <c r="S173" s="305">
        <f t="shared" si="85"/>
        <v>0.7920560747663552</v>
      </c>
      <c r="T173" s="305">
        <f t="shared" si="85"/>
        <v>0.83411214953271029</v>
      </c>
      <c r="U173" s="305">
        <f t="shared" si="85"/>
        <v>0.84345794392523366</v>
      </c>
      <c r="V173" s="305">
        <f t="shared" si="85"/>
        <v>0.87383177570093462</v>
      </c>
      <c r="W173" s="305">
        <f t="shared" si="85"/>
        <v>0.87616822429906549</v>
      </c>
      <c r="X173" s="305">
        <f t="shared" si="85"/>
        <v>0.88317757009345799</v>
      </c>
      <c r="Y173" s="305">
        <f t="shared" si="85"/>
        <v>0.93457943925233655</v>
      </c>
      <c r="Z173" s="305">
        <f t="shared" si="85"/>
        <v>0.94392523364485992</v>
      </c>
      <c r="AA173" s="305">
        <f t="shared" si="85"/>
        <v>0.95560747663551393</v>
      </c>
      <c r="AB173" s="305">
        <f t="shared" si="85"/>
        <v>1</v>
      </c>
      <c r="AC173" s="332">
        <f>AC177/$AC$177</f>
        <v>1</v>
      </c>
      <c r="AD173" s="107" t="s">
        <v>395</v>
      </c>
      <c r="AE173" s="68">
        <v>176</v>
      </c>
      <c r="AF173" s="333">
        <f>AC177*AC2/AC174</f>
        <v>1.0974358974358975</v>
      </c>
      <c r="AG173" t="s">
        <v>671</v>
      </c>
    </row>
    <row r="174" spans="1:31" ht="15.75">
      <c r="A174" s="789"/>
      <c r="B174" s="640"/>
      <c r="C174" s="334">
        <f t="shared" si="86" ref="C174:AA174">C173*$AC$174</f>
        <v>2.4967289719626167</v>
      </c>
      <c r="D174" s="334">
        <f t="shared" si="86"/>
        <v>2.6425233644859811</v>
      </c>
      <c r="E174" s="334">
        <f t="shared" si="86"/>
        <v>2.6971962616822429</v>
      </c>
      <c r="F174" s="334">
        <f t="shared" si="86"/>
        <v>2.8429906542056074</v>
      </c>
      <c r="G174" s="334">
        <f t="shared" si="86"/>
        <v>2.9523364485981309</v>
      </c>
      <c r="H174" s="334">
        <f t="shared" si="86"/>
        <v>3.0070093457943927</v>
      </c>
      <c r="I174" s="334">
        <f t="shared" si="86"/>
        <v>3.3350467289719625</v>
      </c>
      <c r="J174" s="334">
        <f t="shared" si="86"/>
        <v>3.6813084112149537</v>
      </c>
      <c r="K174" s="334">
        <f t="shared" si="86"/>
        <v>3.9546728971962612</v>
      </c>
      <c r="L174" s="334">
        <f t="shared" si="86"/>
        <v>4.3191588785046724</v>
      </c>
      <c r="M174" s="334">
        <f t="shared" si="86"/>
        <v>4.9752336448598138</v>
      </c>
      <c r="N174" s="334">
        <f t="shared" si="86"/>
        <v>5.2485981308411214</v>
      </c>
      <c r="O174" s="334">
        <f t="shared" si="86"/>
        <v>5.4308411214953267</v>
      </c>
      <c r="P174" s="334">
        <f t="shared" si="86"/>
        <v>5.6677570093457943</v>
      </c>
      <c r="Q174" s="334">
        <f t="shared" si="86"/>
        <v>5.9775700934579445</v>
      </c>
      <c r="R174" s="334">
        <f t="shared" si="86"/>
        <v>6.1051401869158886</v>
      </c>
      <c r="S174" s="334">
        <f t="shared" si="86"/>
        <v>6.1780373831775703</v>
      </c>
      <c r="T174" s="334">
        <f t="shared" si="86"/>
        <v>6.5060747663551401</v>
      </c>
      <c r="U174" s="334">
        <f t="shared" si="86"/>
        <v>6.5789719626168219</v>
      </c>
      <c r="V174" s="334">
        <f t="shared" si="86"/>
        <v>6.8158878504672895</v>
      </c>
      <c r="W174" s="334">
        <f t="shared" si="86"/>
        <v>6.8341121495327108</v>
      </c>
      <c r="X174" s="334">
        <f t="shared" si="86"/>
        <v>6.8887850467289722</v>
      </c>
      <c r="Y174" s="334">
        <f t="shared" si="86"/>
        <v>7.2897196261682247</v>
      </c>
      <c r="Z174" s="334">
        <f t="shared" si="86"/>
        <v>7.3626168224299073</v>
      </c>
      <c r="AA174" s="334">
        <f t="shared" si="86"/>
        <v>7.4537383177570087</v>
      </c>
      <c r="AB174" s="334">
        <f>AB173*$AC$174</f>
        <v>7.80</v>
      </c>
      <c r="AC174" s="335">
        <v>7.80</v>
      </c>
      <c r="AD174" s="107" t="s">
        <v>393</v>
      </c>
      <c r="AE174" s="68"/>
    </row>
    <row r="175" spans="1:31" ht="15.75">
      <c r="A175" s="789"/>
      <c r="B175" s="640"/>
      <c r="C175" s="75">
        <f t="shared" si="87" ref="C175:AB175">C174*$AE$173</f>
        <v>439.42429906542054</v>
      </c>
      <c r="D175" s="75">
        <f t="shared" si="87"/>
        <v>465.0841121495327</v>
      </c>
      <c r="E175" s="75">
        <f t="shared" si="87"/>
        <v>474.70654205607474</v>
      </c>
      <c r="F175" s="75">
        <f t="shared" si="87"/>
        <v>500.3663551401869</v>
      </c>
      <c r="G175" s="75">
        <f t="shared" si="87"/>
        <v>519.61121495327109</v>
      </c>
      <c r="H175" s="75">
        <f t="shared" si="87"/>
        <v>529.23364485981313</v>
      </c>
      <c r="I175" s="75">
        <f t="shared" si="87"/>
        <v>586.96822429906535</v>
      </c>
      <c r="J175" s="75">
        <f t="shared" si="87"/>
        <v>647.91028037383182</v>
      </c>
      <c r="K175" s="75">
        <f t="shared" si="87"/>
        <v>696.02242990654202</v>
      </c>
      <c r="L175" s="75">
        <f t="shared" si="87"/>
        <v>760.17196261682238</v>
      </c>
      <c r="M175" s="75">
        <f t="shared" si="87"/>
        <v>875.64112149532718</v>
      </c>
      <c r="N175" s="75">
        <f t="shared" si="87"/>
        <v>923.75327102803737</v>
      </c>
      <c r="O175" s="75">
        <f t="shared" si="87"/>
        <v>955.8280373831775</v>
      </c>
      <c r="P175" s="75">
        <f t="shared" si="87"/>
        <v>997.52523364485978</v>
      </c>
      <c r="Q175" s="75">
        <f t="shared" si="87"/>
        <v>1052.0523364485982</v>
      </c>
      <c r="R175" s="75">
        <f t="shared" si="87"/>
        <v>1074.5046728971963</v>
      </c>
      <c r="S175" s="75">
        <f t="shared" si="87"/>
        <v>1087.3345794392524</v>
      </c>
      <c r="T175" s="75">
        <f t="shared" si="87"/>
        <v>1145.0691588785046</v>
      </c>
      <c r="U175" s="75">
        <f t="shared" si="87"/>
        <v>1157.8990654205606</v>
      </c>
      <c r="V175" s="75">
        <f t="shared" si="87"/>
        <v>1199.596261682243</v>
      </c>
      <c r="W175" s="75">
        <f t="shared" si="87"/>
        <v>1202.8037383177571</v>
      </c>
      <c r="X175" s="163">
        <f t="shared" si="87"/>
        <v>1212.4261682242991</v>
      </c>
      <c r="Y175" s="75">
        <f t="shared" si="87"/>
        <v>1282.9906542056076</v>
      </c>
      <c r="Z175" s="75">
        <f t="shared" si="87"/>
        <v>1295.8205607476636</v>
      </c>
      <c r="AA175" s="75">
        <f t="shared" si="87"/>
        <v>1311.8579439252335</v>
      </c>
      <c r="AB175" s="75">
        <f t="shared" si="87"/>
        <v>1372.80</v>
      </c>
      <c r="AC175" s="336">
        <f>AC174*$AE$173</f>
        <v>1372.80</v>
      </c>
      <c r="AD175" s="107" t="s">
        <v>377</v>
      </c>
      <c r="AE175" s="68"/>
    </row>
    <row r="176" spans="1:31" ht="15.75">
      <c r="A176" s="789"/>
      <c r="B176" s="640"/>
      <c r="C176" s="308">
        <f t="shared" si="88" ref="C176:AC176">$AC$2/C174</f>
        <v>4.0052405015908672</v>
      </c>
      <c r="D176" s="308">
        <f t="shared" si="88"/>
        <v>3.7842617152961981</v>
      </c>
      <c r="E176" s="308">
        <f t="shared" si="88"/>
        <v>3.7075537075537075</v>
      </c>
      <c r="F176" s="308">
        <f t="shared" si="88"/>
        <v>3.5174227481919793</v>
      </c>
      <c r="G176" s="308">
        <f t="shared" si="88"/>
        <v>3.3871478315922761</v>
      </c>
      <c r="H176" s="308">
        <f t="shared" si="88"/>
        <v>3.3255633255633255</v>
      </c>
      <c r="I176" s="308">
        <f t="shared" si="88"/>
        <v>2.9984587361636543</v>
      </c>
      <c r="J176" s="308">
        <f t="shared" si="88"/>
        <v>2.7164254887027162</v>
      </c>
      <c r="K176" s="308">
        <f t="shared" si="88"/>
        <v>2.5286541415573676</v>
      </c>
      <c r="L176" s="308">
        <f t="shared" si="88"/>
        <v>2.3152656064048474</v>
      </c>
      <c r="M176" s="308">
        <f t="shared" si="88"/>
        <v>2.009955856109702</v>
      </c>
      <c r="N176" s="308">
        <f t="shared" si="88"/>
        <v>1.9052706552706553</v>
      </c>
      <c r="O176" s="308">
        <f t="shared" si="88"/>
        <v>1.8413353983823784</v>
      </c>
      <c r="P176" s="308">
        <f t="shared" si="88"/>
        <v>1.7643663945914749</v>
      </c>
      <c r="Q176" s="308">
        <f t="shared" si="88"/>
        <v>1.6729205753595995</v>
      </c>
      <c r="R176" s="308">
        <f t="shared" si="88"/>
        <v>1.6379640260237274</v>
      </c>
      <c r="S176" s="308">
        <f t="shared" si="88"/>
        <v>1.6186370168671054</v>
      </c>
      <c r="T176" s="308">
        <f t="shared" si="88"/>
        <v>1.5370250664368312</v>
      </c>
      <c r="U176" s="308">
        <f t="shared" si="88"/>
        <v>1.5199943177782513</v>
      </c>
      <c r="V176" s="308">
        <f t="shared" si="88"/>
        <v>1.4671602906897026</v>
      </c>
      <c r="W176" s="308">
        <f t="shared" si="88"/>
        <v>1.4632478632478632</v>
      </c>
      <c r="X176" s="308">
        <f>$AC$2/X174</f>
        <v>1.4516347849681182</v>
      </c>
      <c r="Y176" s="308">
        <f t="shared" si="88"/>
        <v>1.3717948717948718</v>
      </c>
      <c r="Z176" s="308">
        <f t="shared" si="88"/>
        <v>1.3582127443513581</v>
      </c>
      <c r="AA176" s="308">
        <f t="shared" si="88"/>
        <v>1.3416086765720019</v>
      </c>
      <c r="AB176" s="308">
        <f t="shared" si="88"/>
        <v>1.2820512820512822</v>
      </c>
      <c r="AC176" s="337">
        <f t="shared" si="88"/>
        <v>1.2820512820512822</v>
      </c>
      <c r="AD176" s="107" t="s">
        <v>376</v>
      </c>
      <c r="AE176" s="68"/>
    </row>
    <row r="177" spans="1:31" ht="15.75">
      <c r="A177" s="789"/>
      <c r="B177" s="640"/>
      <c r="C177" s="308">
        <f>0.137*2</f>
        <v>0.27400000000000002</v>
      </c>
      <c r="D177" s="308">
        <f>0.145*2</f>
        <v>0.28999999999999998</v>
      </c>
      <c r="E177" s="308">
        <f>0.148*2</f>
        <v>0.29599999999999999</v>
      </c>
      <c r="F177" s="308">
        <f>0.156*2</f>
        <v>0.312</v>
      </c>
      <c r="G177" s="308">
        <f>0.162*2</f>
        <v>0.32400000000000001</v>
      </c>
      <c r="H177" s="308">
        <f>0.165*2</f>
        <v>0.33</v>
      </c>
      <c r="I177" s="308">
        <f>0.183*2</f>
        <v>0.36599999999999999</v>
      </c>
      <c r="J177" s="308">
        <f>0.202*2</f>
        <v>0.40400000000000003</v>
      </c>
      <c r="K177" s="308">
        <f>0.217*2</f>
        <v>0.434</v>
      </c>
      <c r="L177" s="308">
        <f>0.237*2</f>
        <v>0.47399999999999998</v>
      </c>
      <c r="M177" s="308">
        <f>0.273*2</f>
        <v>0.54600000000000004</v>
      </c>
      <c r="N177" s="308">
        <f>0.288*2</f>
        <v>0.57599999999999996</v>
      </c>
      <c r="O177" s="308">
        <f>0.298*2</f>
        <v>0.59599999999999997</v>
      </c>
      <c r="P177" s="308">
        <f>0.311*2</f>
        <v>0.622</v>
      </c>
      <c r="Q177" s="308">
        <f>0.328*2</f>
        <v>0.65600000000000003</v>
      </c>
      <c r="R177" s="308">
        <f>0.335*2</f>
        <v>0.67</v>
      </c>
      <c r="S177" s="308">
        <f>0.339*2</f>
        <v>0.67800000000000005</v>
      </c>
      <c r="T177" s="308">
        <f>0.357*2</f>
        <v>0.71399999999999997</v>
      </c>
      <c r="U177" s="308">
        <f>0.361*2</f>
        <v>0.72199999999999998</v>
      </c>
      <c r="V177" s="308">
        <f>0.374*2</f>
        <v>0.748</v>
      </c>
      <c r="W177" s="308">
        <f>0.375*2</f>
        <v>0.75</v>
      </c>
      <c r="X177" s="308">
        <f>0.378*2</f>
        <v>0.75600000000000001</v>
      </c>
      <c r="Y177" s="308">
        <f>0.4*2</f>
        <v>0.80</v>
      </c>
      <c r="Z177" s="308">
        <f>0.404*2</f>
        <v>0.80800000000000005</v>
      </c>
      <c r="AA177" s="308">
        <f>0.409*2</f>
        <v>0.81799999999999995</v>
      </c>
      <c r="AB177" s="308">
        <f>0.428*2</f>
        <v>0.85599999999999998</v>
      </c>
      <c r="AC177" s="337">
        <f>0.428*2</f>
        <v>0.85599999999999998</v>
      </c>
      <c r="AD177" s="107" t="s">
        <v>672</v>
      </c>
      <c r="AE177" s="68"/>
    </row>
    <row r="178" spans="1:31" ht="15.75" thickBot="1">
      <c r="A178" s="790"/>
      <c r="B178" s="778"/>
      <c r="C178" s="189">
        <v>1536</v>
      </c>
      <c r="D178" s="189">
        <v>1592</v>
      </c>
      <c r="E178" s="189">
        <v>1608</v>
      </c>
      <c r="F178" s="189">
        <v>1660</v>
      </c>
      <c r="G178" s="189">
        <v>1710</v>
      </c>
      <c r="H178" s="189">
        <v>1720</v>
      </c>
      <c r="I178" s="189">
        <v>1788</v>
      </c>
      <c r="J178" s="189">
        <v>1904</v>
      </c>
      <c r="K178" s="189">
        <v>2000</v>
      </c>
      <c r="L178" s="189">
        <v>2064</v>
      </c>
      <c r="M178" s="189">
        <v>2186</v>
      </c>
      <c r="N178" s="189">
        <v>2268</v>
      </c>
      <c r="O178" s="189">
        <v>2306</v>
      </c>
      <c r="P178" s="189">
        <v>2358</v>
      </c>
      <c r="Q178" s="189">
        <v>2440</v>
      </c>
      <c r="R178" s="189">
        <v>2458</v>
      </c>
      <c r="S178" s="189">
        <v>2468</v>
      </c>
      <c r="T178" s="189">
        <v>2566</v>
      </c>
      <c r="U178" s="189">
        <v>2576</v>
      </c>
      <c r="V178" s="189">
        <v>2664</v>
      </c>
      <c r="W178" s="189">
        <v>2666</v>
      </c>
      <c r="X178" s="338">
        <v>2674</v>
      </c>
      <c r="Y178" s="189">
        <v>2780</v>
      </c>
      <c r="Z178" s="189">
        <v>2790</v>
      </c>
      <c r="AA178" s="189">
        <v>2802</v>
      </c>
      <c r="AB178" s="189">
        <v>2900</v>
      </c>
      <c r="AC178" s="190">
        <v>2900</v>
      </c>
      <c r="AD178" s="107" t="s">
        <v>669</v>
      </c>
      <c r="AE178" s="68"/>
    </row>
    <row r="179" spans="1:31" ht="15.75" customHeight="1" thickBot="1">
      <c r="A179" s="280" t="s">
        <v>673</v>
      </c>
      <c r="B179" s="213" t="s">
        <v>674</v>
      </c>
      <c r="C179" s="745" t="s">
        <v>675</v>
      </c>
      <c r="D179" s="746"/>
      <c r="E179" s="746"/>
      <c r="F179" s="746"/>
      <c r="G179" s="746"/>
      <c r="H179" s="746"/>
      <c r="I179" s="746"/>
      <c r="J179" s="746"/>
      <c r="K179" s="746"/>
      <c r="L179" s="746"/>
      <c r="M179" s="746"/>
      <c r="N179" s="746"/>
      <c r="O179" s="746"/>
      <c r="P179" s="746"/>
      <c r="Q179" s="746"/>
      <c r="R179" s="746"/>
      <c r="S179" s="746"/>
      <c r="T179" s="746"/>
      <c r="U179" s="746"/>
      <c r="V179" s="746"/>
      <c r="W179" s="746"/>
      <c r="X179" s="746"/>
      <c r="Y179" s="746"/>
      <c r="Z179" s="746"/>
      <c r="AA179" s="746"/>
      <c r="AB179" s="746"/>
      <c r="AC179" s="761"/>
      <c r="AD179" s="107"/>
      <c r="AE179" s="68">
        <v>138</v>
      </c>
    </row>
    <row r="180" spans="1:31" ht="15.75">
      <c r="A180" s="791" t="s">
        <v>207</v>
      </c>
      <c r="B180" s="777" t="s">
        <v>676</v>
      </c>
      <c r="C180" s="89">
        <f t="shared" si="89" ref="C180:AC180">$M$182/C182</f>
        <v>1.4231770833333333</v>
      </c>
      <c r="D180" s="89">
        <f t="shared" si="89"/>
        <v>1.3731155778894473</v>
      </c>
      <c r="E180" s="89">
        <f t="shared" si="89"/>
        <v>1.3594527363184079</v>
      </c>
      <c r="F180" s="89">
        <f t="shared" si="89"/>
        <v>1.316867469879518</v>
      </c>
      <c r="G180" s="89">
        <f t="shared" si="89"/>
        <v>1.2783625730994153</v>
      </c>
      <c r="H180" s="89">
        <f t="shared" si="89"/>
        <v>1.2709302325581395</v>
      </c>
      <c r="I180" s="89">
        <f t="shared" si="89"/>
        <v>1.2225950782997763</v>
      </c>
      <c r="J180" s="89">
        <f t="shared" si="89"/>
        <v>1.1481092436974789</v>
      </c>
      <c r="K180" s="89">
        <f t="shared" si="89"/>
        <v>1.093</v>
      </c>
      <c r="L180" s="89">
        <f t="shared" si="89"/>
        <v>1.0591085271317831</v>
      </c>
      <c r="M180" s="89">
        <f>$M$182/M182</f>
        <v>1</v>
      </c>
      <c r="N180" s="89">
        <f t="shared" si="89"/>
        <v>0.96384479717813054</v>
      </c>
      <c r="O180" s="89">
        <f t="shared" si="89"/>
        <v>0.94796183868169992</v>
      </c>
      <c r="P180" s="89">
        <f t="shared" si="89"/>
        <v>0.92705682782018661</v>
      </c>
      <c r="Q180" s="89">
        <f t="shared" si="89"/>
        <v>0.89590163934426226</v>
      </c>
      <c r="R180" s="89">
        <f t="shared" si="89"/>
        <v>0.88934092758340111</v>
      </c>
      <c r="S180" s="89">
        <f t="shared" si="89"/>
        <v>0.88573743922204218</v>
      </c>
      <c r="T180" s="89">
        <f t="shared" si="89"/>
        <v>0.85190958690568974</v>
      </c>
      <c r="U180" s="89">
        <f t="shared" si="89"/>
        <v>0.84860248447204967</v>
      </c>
      <c r="V180" s="89">
        <f t="shared" si="89"/>
        <v>0.82057057057057059</v>
      </c>
      <c r="W180" s="89">
        <f t="shared" si="89"/>
        <v>0.81995498874718675</v>
      </c>
      <c r="X180" s="89">
        <f t="shared" si="89"/>
        <v>0.81750186985789075</v>
      </c>
      <c r="Y180" s="89">
        <f t="shared" si="89"/>
        <v>0.78633093525179854</v>
      </c>
      <c r="Z180" s="89">
        <f t="shared" si="89"/>
        <v>0.78351254480286736</v>
      </c>
      <c r="AA180" s="89">
        <f t="shared" si="89"/>
        <v>0.78015703069236264</v>
      </c>
      <c r="AB180" s="89">
        <f t="shared" si="89"/>
        <v>0.75379310344827588</v>
      </c>
      <c r="AC180" s="89">
        <f t="shared" si="89"/>
        <v>0.75379310344827588</v>
      </c>
      <c r="AD180" s="107"/>
      <c r="AE180" s="68">
        <v>200</v>
      </c>
    </row>
    <row r="181" spans="1:31" ht="15.75">
      <c r="A181" s="792"/>
      <c r="B181" s="640"/>
      <c r="C181" s="102">
        <f t="shared" si="90" ref="C181:L181">C180*10</f>
        <v>14.231770833333332</v>
      </c>
      <c r="D181" s="102">
        <f t="shared" si="90"/>
        <v>13.731155778894472</v>
      </c>
      <c r="E181" s="102">
        <f t="shared" si="90"/>
        <v>13.59452736318408</v>
      </c>
      <c r="F181" s="102">
        <f t="shared" si="90"/>
        <v>13.168674698795179</v>
      </c>
      <c r="G181" s="102">
        <f t="shared" si="90"/>
        <v>12.783625730994153</v>
      </c>
      <c r="H181" s="102">
        <f t="shared" si="90"/>
        <v>12.709302325581396</v>
      </c>
      <c r="I181" s="102">
        <f t="shared" si="90"/>
        <v>12.225950782997764</v>
      </c>
      <c r="J181" s="102">
        <f t="shared" si="90"/>
        <v>11.481092436974789</v>
      </c>
      <c r="K181" s="102">
        <f t="shared" si="90"/>
        <v>10.93</v>
      </c>
      <c r="L181" s="102">
        <f t="shared" si="90"/>
        <v>10.59108527131783</v>
      </c>
      <c r="M181" s="102">
        <f>M180*10</f>
        <v>10</v>
      </c>
      <c r="N181" s="102">
        <f t="shared" si="91" ref="N181:AC181">N180*10</f>
        <v>9.6384479717813054</v>
      </c>
      <c r="O181" s="102">
        <f t="shared" si="91"/>
        <v>9.4796183868169983</v>
      </c>
      <c r="P181" s="102">
        <f t="shared" si="91"/>
        <v>9.2705682782018659</v>
      </c>
      <c r="Q181" s="102">
        <f t="shared" si="91"/>
        <v>8.9590163934426226</v>
      </c>
      <c r="R181" s="102">
        <f t="shared" si="91"/>
        <v>8.8934092758340118</v>
      </c>
      <c r="S181" s="102">
        <f t="shared" si="91"/>
        <v>8.8573743922204216</v>
      </c>
      <c r="T181" s="102">
        <f t="shared" si="91"/>
        <v>8.5190958690568976</v>
      </c>
      <c r="U181" s="102">
        <f t="shared" si="91"/>
        <v>8.4860248447204967</v>
      </c>
      <c r="V181" s="102">
        <f t="shared" si="91"/>
        <v>8.2057057057057055</v>
      </c>
      <c r="W181" s="102">
        <f t="shared" si="91"/>
        <v>8.1995498874718677</v>
      </c>
      <c r="X181" s="102">
        <f t="shared" si="91"/>
        <v>8.1750186985789082</v>
      </c>
      <c r="Y181" s="102">
        <f t="shared" si="91"/>
        <v>7.8633093525179856</v>
      </c>
      <c r="Z181" s="102">
        <f t="shared" si="91"/>
        <v>7.8351254480286734</v>
      </c>
      <c r="AA181" s="102">
        <f t="shared" si="91"/>
        <v>7.801570306923626</v>
      </c>
      <c r="AB181" s="102">
        <f t="shared" si="91"/>
        <v>7.5379310344827584</v>
      </c>
      <c r="AC181" s="102">
        <f t="shared" si="91"/>
        <v>7.5379310344827584</v>
      </c>
      <c r="AD181" s="107"/>
      <c r="AE181" s="68"/>
    </row>
    <row r="182" spans="1:31" ht="15.75" thickBot="1">
      <c r="A182" s="793"/>
      <c r="B182" s="778"/>
      <c r="C182" s="189">
        <v>1536</v>
      </c>
      <c r="D182" s="189">
        <v>1592</v>
      </c>
      <c r="E182" s="189">
        <v>1608</v>
      </c>
      <c r="F182" s="189">
        <v>1660</v>
      </c>
      <c r="G182" s="189">
        <v>1710</v>
      </c>
      <c r="H182" s="189">
        <v>1720</v>
      </c>
      <c r="I182" s="189">
        <v>1788</v>
      </c>
      <c r="J182" s="189">
        <v>1904</v>
      </c>
      <c r="K182" s="189">
        <v>2000</v>
      </c>
      <c r="L182" s="189">
        <v>2064</v>
      </c>
      <c r="M182" s="189">
        <v>2186</v>
      </c>
      <c r="N182" s="189">
        <v>2268</v>
      </c>
      <c r="O182" s="189">
        <v>2306</v>
      </c>
      <c r="P182" s="189">
        <v>2358</v>
      </c>
      <c r="Q182" s="189">
        <v>2440</v>
      </c>
      <c r="R182" s="189">
        <v>2458</v>
      </c>
      <c r="S182" s="189">
        <v>2468</v>
      </c>
      <c r="T182" s="189">
        <v>2566</v>
      </c>
      <c r="U182" s="189">
        <v>2576</v>
      </c>
      <c r="V182" s="189">
        <v>2664</v>
      </c>
      <c r="W182" s="189">
        <v>2666</v>
      </c>
      <c r="X182" s="338">
        <v>2674</v>
      </c>
      <c r="Y182" s="189">
        <v>2780</v>
      </c>
      <c r="Z182" s="189">
        <v>2790</v>
      </c>
      <c r="AA182" s="189">
        <v>2802</v>
      </c>
      <c r="AB182" s="189">
        <v>2900</v>
      </c>
      <c r="AC182" s="190">
        <v>2900</v>
      </c>
      <c r="AD182" s="107" t="s">
        <v>669</v>
      </c>
      <c r="AE182" s="68"/>
    </row>
    <row r="183" spans="1:31" ht="15">
      <c r="A183" s="791" t="s">
        <v>208</v>
      </c>
      <c r="B183" s="777" t="s">
        <v>270</v>
      </c>
      <c r="C183" s="89"/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  <c r="AA183" s="89"/>
      <c r="AB183" s="89"/>
      <c r="AC183" s="120"/>
      <c r="AD183" s="107"/>
      <c r="AE183" s="68">
        <v>200</v>
      </c>
    </row>
    <row r="184" spans="1:31" ht="15.75" thickBot="1">
      <c r="A184" s="793"/>
      <c r="B184" s="778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104"/>
      <c r="AD184" s="107"/>
      <c r="AE184" s="68"/>
    </row>
    <row r="185" spans="1:31" ht="15.75" thickBot="1">
      <c r="A185" s="323"/>
      <c r="B185" s="324" t="s">
        <v>135</v>
      </c>
      <c r="C185" s="323"/>
      <c r="D185" s="323"/>
      <c r="E185" s="323"/>
      <c r="F185" s="323"/>
      <c r="G185" s="323"/>
      <c r="H185" s="323"/>
      <c r="I185" s="323"/>
      <c r="J185" s="323"/>
      <c r="K185" s="323"/>
      <c r="L185" s="323"/>
      <c r="M185" s="323"/>
      <c r="N185" s="323"/>
      <c r="O185" s="323"/>
      <c r="P185" s="323"/>
      <c r="Q185" s="323"/>
      <c r="R185" s="323"/>
      <c r="S185" s="323"/>
      <c r="T185" s="323"/>
      <c r="U185" s="323"/>
      <c r="V185" s="323"/>
      <c r="W185" s="323"/>
      <c r="X185" s="323"/>
      <c r="Y185" s="323"/>
      <c r="Z185" s="323"/>
      <c r="AA185" s="323"/>
      <c r="AB185" s="323"/>
      <c r="AC185" s="323"/>
      <c r="AD185" s="107"/>
      <c r="AE185" s="68"/>
    </row>
    <row r="186" spans="1:31" ht="15.75">
      <c r="A186" s="791" t="s">
        <v>677</v>
      </c>
      <c r="B186" s="777" t="s">
        <v>678</v>
      </c>
      <c r="C186" s="339">
        <f t="shared" si="92" ref="C186:AB186">C190/$AC$195</f>
        <v>0.52965517241379312</v>
      </c>
      <c r="D186" s="339">
        <f t="shared" si="92"/>
        <v>0.54896551724137932</v>
      </c>
      <c r="E186" s="339">
        <f t="shared" si="92"/>
        <v>0.55448275862068963</v>
      </c>
      <c r="F186" s="339">
        <f t="shared" si="92"/>
        <v>0.57241379310344831</v>
      </c>
      <c r="G186" s="339">
        <f t="shared" si="92"/>
        <v>0.58965517241379306</v>
      </c>
      <c r="H186" s="339">
        <f t="shared" si="92"/>
        <v>0.59310344827586203</v>
      </c>
      <c r="I186" s="339">
        <f t="shared" si="92"/>
        <v>0.61655172413793102</v>
      </c>
      <c r="J186" s="339">
        <f t="shared" si="92"/>
        <v>0.65655172413793106</v>
      </c>
      <c r="K186" s="339">
        <f t="shared" si="92"/>
        <v>0.68965517241379315</v>
      </c>
      <c r="L186" s="339">
        <f t="shared" si="92"/>
        <v>0.71172413793103451</v>
      </c>
      <c r="M186" s="339">
        <f t="shared" si="92"/>
        <v>0.75379310344827588</v>
      </c>
      <c r="N186" s="339">
        <f t="shared" si="92"/>
        <v>0.78206896551724137</v>
      </c>
      <c r="O186" s="339">
        <f t="shared" si="92"/>
        <v>0.79517241379310344</v>
      </c>
      <c r="P186" s="339">
        <f t="shared" si="92"/>
        <v>0.81310344827586212</v>
      </c>
      <c r="Q186" s="339">
        <f t="shared" si="92"/>
        <v>0.8413793103448276</v>
      </c>
      <c r="R186" s="339">
        <f t="shared" si="92"/>
        <v>0.84758620689655173</v>
      </c>
      <c r="S186" s="339">
        <f t="shared" si="92"/>
        <v>0.8510344827586207</v>
      </c>
      <c r="T186" s="339">
        <f t="shared" si="92"/>
        <v>0.8848275862068965</v>
      </c>
      <c r="U186" s="339">
        <f t="shared" si="92"/>
        <v>0.88827586206896547</v>
      </c>
      <c r="V186" s="339">
        <f t="shared" si="92"/>
        <v>0.91862068965517241</v>
      </c>
      <c r="W186" s="339">
        <f t="shared" si="92"/>
        <v>0.91931034482758622</v>
      </c>
      <c r="X186" s="339">
        <f t="shared" si="92"/>
        <v>0.92206896551724138</v>
      </c>
      <c r="Y186" s="339">
        <f t="shared" si="92"/>
        <v>0.95862068965517244</v>
      </c>
      <c r="Z186" s="339">
        <f t="shared" si="92"/>
        <v>0.96206896551724141</v>
      </c>
      <c r="AA186" s="339">
        <f t="shared" si="92"/>
        <v>0.96620689655172409</v>
      </c>
      <c r="AB186" s="339">
        <f t="shared" si="92"/>
        <v>1</v>
      </c>
      <c r="AC186" s="340">
        <f>AC190/$AC$195</f>
        <v>1</v>
      </c>
      <c r="AD186" s="107" t="s">
        <v>395</v>
      </c>
      <c r="AE186" s="68">
        <v>200</v>
      </c>
    </row>
    <row r="187" spans="1:31" ht="15.75">
      <c r="A187" s="792"/>
      <c r="B187" s="850"/>
      <c r="C187" s="165">
        <f t="shared" si="93" ref="C187:AB187">(3.5*60/60*2)*C186</f>
        <v>3.7075862068965519</v>
      </c>
      <c r="D187" s="165">
        <f t="shared" si="93"/>
        <v>3.8427586206896551</v>
      </c>
      <c r="E187" s="165">
        <f t="shared" si="93"/>
        <v>3.8813793103448275</v>
      </c>
      <c r="F187" s="165">
        <f t="shared" si="93"/>
        <v>4.0068965517241377</v>
      </c>
      <c r="G187" s="165">
        <f t="shared" si="93"/>
        <v>4.1275862068965514</v>
      </c>
      <c r="H187" s="165">
        <f t="shared" si="93"/>
        <v>4.1517241379310343</v>
      </c>
      <c r="I187" s="165">
        <f t="shared" si="93"/>
        <v>4.3158620689655169</v>
      </c>
      <c r="J187" s="165">
        <f t="shared" si="93"/>
        <v>4.5958620689655172</v>
      </c>
      <c r="K187" s="165">
        <f t="shared" si="93"/>
        <v>4.8275862068965516</v>
      </c>
      <c r="L187" s="165">
        <f t="shared" si="93"/>
        <v>4.9820689655172412</v>
      </c>
      <c r="M187" s="165">
        <f t="shared" si="93"/>
        <v>5.2765517241379314</v>
      </c>
      <c r="N187" s="165">
        <f t="shared" si="93"/>
        <v>5.4744827586206899</v>
      </c>
      <c r="O187" s="165">
        <f t="shared" si="93"/>
        <v>5.5662068965517237</v>
      </c>
      <c r="P187" s="165">
        <f t="shared" si="93"/>
        <v>5.6917241379310344</v>
      </c>
      <c r="Q187" s="165">
        <f t="shared" si="93"/>
        <v>5.8896551724137929</v>
      </c>
      <c r="R187" s="165">
        <f t="shared" si="93"/>
        <v>5.9331034482758618</v>
      </c>
      <c r="S187" s="165">
        <f t="shared" si="93"/>
        <v>5.9572413793103447</v>
      </c>
      <c r="T187" s="165">
        <f t="shared" si="93"/>
        <v>6.1937931034482752</v>
      </c>
      <c r="U187" s="165">
        <f t="shared" si="93"/>
        <v>6.2179310344827581</v>
      </c>
      <c r="V187" s="165">
        <f t="shared" si="93"/>
        <v>6.4303448275862065</v>
      </c>
      <c r="W187" s="165">
        <f t="shared" si="93"/>
        <v>6.4351724137931035</v>
      </c>
      <c r="X187" s="165">
        <f t="shared" si="93"/>
        <v>6.4544827586206894</v>
      </c>
      <c r="Y187" s="165">
        <f t="shared" si="93"/>
        <v>6.7103448275862068</v>
      </c>
      <c r="Z187" s="165">
        <f t="shared" si="93"/>
        <v>6.7344827586206897</v>
      </c>
      <c r="AA187" s="165">
        <f t="shared" si="93"/>
        <v>6.7634482758620686</v>
      </c>
      <c r="AB187" s="165">
        <f t="shared" si="93"/>
        <v>7</v>
      </c>
      <c r="AC187" s="341">
        <f>(3.5*60/60*2)*AC186</f>
        <v>7</v>
      </c>
      <c r="AD187" s="107" t="s">
        <v>393</v>
      </c>
      <c r="AE187" s="68"/>
    </row>
    <row r="188" spans="1:31" ht="15.75">
      <c r="A188" s="792"/>
      <c r="B188" s="640"/>
      <c r="C188" s="80">
        <f t="shared" si="94" ref="C188:AB188">C187*$AE$191</f>
        <v>741.51724137931035</v>
      </c>
      <c r="D188" s="80">
        <f t="shared" si="94"/>
        <v>768.55172413793105</v>
      </c>
      <c r="E188" s="80">
        <f t="shared" si="94"/>
        <v>776.27586206896547</v>
      </c>
      <c r="F188" s="80">
        <f t="shared" si="94"/>
        <v>801.37931034482756</v>
      </c>
      <c r="G188" s="80">
        <f t="shared" si="94"/>
        <v>825.51724137931024</v>
      </c>
      <c r="H188" s="80">
        <f t="shared" si="94"/>
        <v>830.34482758620686</v>
      </c>
      <c r="I188" s="80">
        <f t="shared" si="94"/>
        <v>863.17241379310337</v>
      </c>
      <c r="J188" s="80">
        <f t="shared" si="94"/>
        <v>919.17241379310349</v>
      </c>
      <c r="K188" s="80">
        <f t="shared" si="94"/>
        <v>965.51724137931035</v>
      </c>
      <c r="L188" s="80">
        <f t="shared" si="94"/>
        <v>996.41379310344826</v>
      </c>
      <c r="M188" s="80">
        <f t="shared" si="94"/>
        <v>1055.3103448275863</v>
      </c>
      <c r="N188" s="80">
        <f t="shared" si="94"/>
        <v>1094.8965517241379</v>
      </c>
      <c r="O188" s="80">
        <f t="shared" si="94"/>
        <v>1113.2413793103447</v>
      </c>
      <c r="P188" s="80">
        <f t="shared" si="94"/>
        <v>1138.344827586207</v>
      </c>
      <c r="Q188" s="80">
        <f t="shared" si="94"/>
        <v>1177.9310344827586</v>
      </c>
      <c r="R188" s="80">
        <f t="shared" si="94"/>
        <v>1186.6206896551723</v>
      </c>
      <c r="S188" s="80">
        <f t="shared" si="94"/>
        <v>1191.4482758620688</v>
      </c>
      <c r="T188" s="80">
        <f t="shared" si="94"/>
        <v>1238.7586206896551</v>
      </c>
      <c r="U188" s="80">
        <f t="shared" si="94"/>
        <v>1243.5862068965516</v>
      </c>
      <c r="V188" s="80">
        <f t="shared" si="94"/>
        <v>1286.0689655172414</v>
      </c>
      <c r="W188" s="80">
        <f t="shared" si="94"/>
        <v>1287.0344827586207</v>
      </c>
      <c r="X188" s="80">
        <f t="shared" si="94"/>
        <v>1290.8965517241379</v>
      </c>
      <c r="Y188" s="80">
        <f t="shared" si="94"/>
        <v>1342.0689655172414</v>
      </c>
      <c r="Z188" s="80">
        <f t="shared" si="94"/>
        <v>1346.8965517241379</v>
      </c>
      <c r="AA188" s="80">
        <f t="shared" si="94"/>
        <v>1352.6896551724137</v>
      </c>
      <c r="AB188" s="80">
        <f t="shared" si="94"/>
        <v>1400</v>
      </c>
      <c r="AC188" s="342">
        <f>AC187*$AE$191</f>
        <v>1400</v>
      </c>
      <c r="AD188" s="107" t="s">
        <v>378</v>
      </c>
      <c r="AE188" s="68"/>
    </row>
    <row r="189" spans="1:31" ht="15.75">
      <c r="A189" s="792"/>
      <c r="B189" s="640"/>
      <c r="C189" s="109">
        <f t="shared" si="95" ref="C189:AB189">$AC$2/C187*2</f>
        <v>5.3943452380952381</v>
      </c>
      <c r="D189" s="109">
        <f t="shared" si="95"/>
        <v>5.2045944005743001</v>
      </c>
      <c r="E189" s="109">
        <f t="shared" si="95"/>
        <v>5.1528073916133614</v>
      </c>
      <c r="F189" s="109">
        <f t="shared" si="95"/>
        <v>4.9913941480206541</v>
      </c>
      <c r="G189" s="109">
        <f t="shared" si="95"/>
        <v>4.8454469507101088</v>
      </c>
      <c r="H189" s="109">
        <f t="shared" si="95"/>
        <v>4.8172757475083055</v>
      </c>
      <c r="I189" s="109">
        <f t="shared" si="95"/>
        <v>4.6340683924576549</v>
      </c>
      <c r="J189" s="109">
        <f t="shared" si="95"/>
        <v>4.3517406962785117</v>
      </c>
      <c r="K189" s="109">
        <f t="shared" si="95"/>
        <v>4.1428571428571432</v>
      </c>
      <c r="L189" s="109">
        <f t="shared" si="95"/>
        <v>4.0143964562569217</v>
      </c>
      <c r="M189" s="109">
        <f t="shared" si="95"/>
        <v>3.7903542020650893</v>
      </c>
      <c r="N189" s="109">
        <f t="shared" si="95"/>
        <v>3.6533131771227008</v>
      </c>
      <c r="O189" s="109">
        <f t="shared" si="95"/>
        <v>3.59311113864453</v>
      </c>
      <c r="P189" s="109">
        <f t="shared" si="95"/>
        <v>3.5138737428813767</v>
      </c>
      <c r="Q189" s="109">
        <f t="shared" si="95"/>
        <v>3.3957845433255271</v>
      </c>
      <c r="R189" s="109">
        <f t="shared" si="95"/>
        <v>3.3709171219342093</v>
      </c>
      <c r="S189" s="109">
        <f t="shared" si="95"/>
        <v>3.3572586246816392</v>
      </c>
      <c r="T189" s="109">
        <f t="shared" si="95"/>
        <v>3.2290390825075161</v>
      </c>
      <c r="U189" s="109">
        <f t="shared" si="95"/>
        <v>3.2165039929015089</v>
      </c>
      <c r="V189" s="109">
        <f t="shared" si="95"/>
        <v>3.1102531102531104</v>
      </c>
      <c r="W189" s="109">
        <f t="shared" si="95"/>
        <v>3.1079198371021328</v>
      </c>
      <c r="X189" s="109">
        <f t="shared" si="95"/>
        <v>3.0986216476119246</v>
      </c>
      <c r="Y189" s="109">
        <f t="shared" si="95"/>
        <v>2.9804727646454268</v>
      </c>
      <c r="Z189" s="109">
        <f t="shared" si="95"/>
        <v>2.96979006656426</v>
      </c>
      <c r="AA189" s="109">
        <f t="shared" si="95"/>
        <v>2.9570714795554198</v>
      </c>
      <c r="AB189" s="109">
        <f t="shared" si="95"/>
        <v>2.8571428571428572</v>
      </c>
      <c r="AC189" s="341">
        <f>$AC$2/AC187*2</f>
        <v>2.8571428571428572</v>
      </c>
      <c r="AD189" s="107" t="s">
        <v>376</v>
      </c>
      <c r="AE189" s="68"/>
    </row>
    <row r="190" spans="1:31" ht="15.75" thickBot="1">
      <c r="A190" s="793"/>
      <c r="B190" s="778"/>
      <c r="C190" s="77">
        <v>1536</v>
      </c>
      <c r="D190" s="77">
        <v>1592</v>
      </c>
      <c r="E190" s="77">
        <v>1608</v>
      </c>
      <c r="F190" s="77">
        <v>1660</v>
      </c>
      <c r="G190" s="77">
        <v>1710</v>
      </c>
      <c r="H190" s="77">
        <v>1720</v>
      </c>
      <c r="I190" s="77">
        <v>1788</v>
      </c>
      <c r="J190" s="77">
        <v>1904</v>
      </c>
      <c r="K190" s="77">
        <v>2000</v>
      </c>
      <c r="L190" s="77">
        <v>2064</v>
      </c>
      <c r="M190" s="77">
        <v>2186</v>
      </c>
      <c r="N190" s="77">
        <v>2268</v>
      </c>
      <c r="O190" s="77">
        <v>2306</v>
      </c>
      <c r="P190" s="77">
        <v>2358</v>
      </c>
      <c r="Q190" s="77">
        <v>2440</v>
      </c>
      <c r="R190" s="77">
        <v>2458</v>
      </c>
      <c r="S190" s="77">
        <v>2468</v>
      </c>
      <c r="T190" s="77">
        <v>2566</v>
      </c>
      <c r="U190" s="77">
        <v>2576</v>
      </c>
      <c r="V190" s="77">
        <v>2664</v>
      </c>
      <c r="W190" s="77">
        <v>2666</v>
      </c>
      <c r="X190" s="77">
        <v>2674</v>
      </c>
      <c r="Y190" s="77">
        <v>2780</v>
      </c>
      <c r="Z190" s="77">
        <v>2790</v>
      </c>
      <c r="AA190" s="77">
        <v>2802</v>
      </c>
      <c r="AB190" s="77">
        <v>2900</v>
      </c>
      <c r="AC190" s="128">
        <v>2900</v>
      </c>
      <c r="AD190" s="107" t="s">
        <v>586</v>
      </c>
      <c r="AE190" s="68"/>
    </row>
    <row r="191" spans="1:31" ht="15" customHeight="1">
      <c r="A191" s="791" t="s">
        <v>679</v>
      </c>
      <c r="B191" s="777" t="s">
        <v>680</v>
      </c>
      <c r="C191" s="89">
        <f t="shared" si="96" ref="C191:AB191">C195/$AC$195</f>
        <v>0.52965517241379312</v>
      </c>
      <c r="D191" s="89">
        <f t="shared" si="96"/>
        <v>0.54896551724137932</v>
      </c>
      <c r="E191" s="89">
        <f t="shared" si="96"/>
        <v>0.55448275862068963</v>
      </c>
      <c r="F191" s="89">
        <f t="shared" si="96"/>
        <v>0.57241379310344831</v>
      </c>
      <c r="G191" s="89">
        <f t="shared" si="96"/>
        <v>0.58965517241379306</v>
      </c>
      <c r="H191" s="89">
        <f t="shared" si="96"/>
        <v>0.59310344827586203</v>
      </c>
      <c r="I191" s="89">
        <f t="shared" si="96"/>
        <v>0.61655172413793102</v>
      </c>
      <c r="J191" s="89">
        <f t="shared" si="96"/>
        <v>0.65655172413793106</v>
      </c>
      <c r="K191" s="89">
        <f t="shared" si="96"/>
        <v>0.68965517241379315</v>
      </c>
      <c r="L191" s="89">
        <f t="shared" si="96"/>
        <v>0.71172413793103451</v>
      </c>
      <c r="M191" s="89">
        <f t="shared" si="96"/>
        <v>0.75379310344827588</v>
      </c>
      <c r="N191" s="89">
        <f t="shared" si="96"/>
        <v>0.78206896551724137</v>
      </c>
      <c r="O191" s="89">
        <f t="shared" si="96"/>
        <v>0.79517241379310344</v>
      </c>
      <c r="P191" s="89">
        <f t="shared" si="96"/>
        <v>0.81310344827586212</v>
      </c>
      <c r="Q191" s="89">
        <f t="shared" si="96"/>
        <v>0.8413793103448276</v>
      </c>
      <c r="R191" s="89">
        <f t="shared" si="96"/>
        <v>0.84758620689655173</v>
      </c>
      <c r="S191" s="89">
        <f t="shared" si="96"/>
        <v>0.8510344827586207</v>
      </c>
      <c r="T191" s="89">
        <f t="shared" si="96"/>
        <v>0.8848275862068965</v>
      </c>
      <c r="U191" s="89">
        <f t="shared" si="96"/>
        <v>0.88827586206896547</v>
      </c>
      <c r="V191" s="89">
        <f t="shared" si="96"/>
        <v>0.91862068965517241</v>
      </c>
      <c r="W191" s="89">
        <f t="shared" si="96"/>
        <v>0.91931034482758622</v>
      </c>
      <c r="X191" s="89">
        <f t="shared" si="96"/>
        <v>0.92206896551724138</v>
      </c>
      <c r="Y191" s="89">
        <f t="shared" si="96"/>
        <v>0.95862068965517244</v>
      </c>
      <c r="Z191" s="89">
        <f t="shared" si="96"/>
        <v>0.96206896551724141</v>
      </c>
      <c r="AA191" s="89">
        <f t="shared" si="96"/>
        <v>0.96620689655172409</v>
      </c>
      <c r="AB191" s="89">
        <f t="shared" si="96"/>
        <v>1</v>
      </c>
      <c r="AC191" s="343">
        <f>AC195/$AC$195</f>
        <v>1</v>
      </c>
      <c r="AD191" s="107" t="s">
        <v>395</v>
      </c>
      <c r="AE191" s="68">
        <v>200</v>
      </c>
    </row>
    <row r="192" spans="1:31" ht="15" customHeight="1">
      <c r="A192" s="792"/>
      <c r="B192" s="640"/>
      <c r="C192" s="109">
        <f t="shared" si="97" ref="C192:AB192">(5*60/60*2)*C191</f>
        <v>5.296551724137931</v>
      </c>
      <c r="D192" s="109">
        <f t="shared" si="97"/>
        <v>5.4896551724137934</v>
      </c>
      <c r="E192" s="109">
        <f t="shared" si="97"/>
        <v>5.5448275862068961</v>
      </c>
      <c r="F192" s="109">
        <f t="shared" si="97"/>
        <v>5.7241379310344831</v>
      </c>
      <c r="G192" s="109">
        <f t="shared" si="97"/>
        <v>5.8965517241379306</v>
      </c>
      <c r="H192" s="109">
        <f t="shared" si="97"/>
        <v>5.9310344827586201</v>
      </c>
      <c r="I192" s="109">
        <f t="shared" si="97"/>
        <v>6.1655172413793107</v>
      </c>
      <c r="J192" s="109">
        <f t="shared" si="97"/>
        <v>6.565517241379311</v>
      </c>
      <c r="K192" s="109">
        <f t="shared" si="97"/>
        <v>6.8965517241379315</v>
      </c>
      <c r="L192" s="109">
        <f t="shared" si="97"/>
        <v>7.1172413793103448</v>
      </c>
      <c r="M192" s="109">
        <f t="shared" si="97"/>
        <v>7.5379310344827584</v>
      </c>
      <c r="N192" s="109">
        <f t="shared" si="97"/>
        <v>7.8206896551724139</v>
      </c>
      <c r="O192" s="109">
        <f t="shared" si="97"/>
        <v>7.9517241379310342</v>
      </c>
      <c r="P192" s="109">
        <f t="shared" si="97"/>
        <v>8.1310344827586221</v>
      </c>
      <c r="Q192" s="109">
        <f t="shared" si="97"/>
        <v>8.4137931034482758</v>
      </c>
      <c r="R192" s="109">
        <f t="shared" si="97"/>
        <v>8.4758620689655171</v>
      </c>
      <c r="S192" s="109">
        <f t="shared" si="97"/>
        <v>8.5103448275862075</v>
      </c>
      <c r="T192" s="109">
        <f t="shared" si="97"/>
        <v>8.8482758620689648</v>
      </c>
      <c r="U192" s="109">
        <f t="shared" si="97"/>
        <v>8.8827586206896552</v>
      </c>
      <c r="V192" s="109">
        <f t="shared" si="97"/>
        <v>9.1862068965517238</v>
      </c>
      <c r="W192" s="109">
        <f t="shared" si="97"/>
        <v>9.1931034482758616</v>
      </c>
      <c r="X192" s="109">
        <f t="shared" si="97"/>
        <v>9.2206896551724142</v>
      </c>
      <c r="Y192" s="109">
        <f t="shared" si="97"/>
        <v>9.5862068965517242</v>
      </c>
      <c r="Z192" s="109">
        <f t="shared" si="97"/>
        <v>9.6206896551724146</v>
      </c>
      <c r="AA192" s="109">
        <f t="shared" si="97"/>
        <v>9.6620689655172409</v>
      </c>
      <c r="AB192" s="109">
        <f t="shared" si="97"/>
        <v>10</v>
      </c>
      <c r="AC192" s="341">
        <f>(5*60/60*2)*AC191</f>
        <v>10</v>
      </c>
      <c r="AD192" s="107" t="s">
        <v>393</v>
      </c>
      <c r="AE192" s="68"/>
    </row>
    <row r="193" spans="1:31" ht="15" customHeight="1">
      <c r="A193" s="792"/>
      <c r="B193" s="640"/>
      <c r="C193" s="75">
        <f t="shared" si="98" ref="C193:AB193">C192*$AE$191</f>
        <v>1059.3103448275863</v>
      </c>
      <c r="D193" s="75">
        <f t="shared" si="98"/>
        <v>1097.9310344827586</v>
      </c>
      <c r="E193" s="75">
        <f t="shared" si="98"/>
        <v>1108.9655172413793</v>
      </c>
      <c r="F193" s="75">
        <f t="shared" si="98"/>
        <v>1144.8275862068965</v>
      </c>
      <c r="G193" s="75">
        <f t="shared" si="98"/>
        <v>1179.3103448275861</v>
      </c>
      <c r="H193" s="75">
        <f t="shared" si="98"/>
        <v>1186.206896551724</v>
      </c>
      <c r="I193" s="75">
        <f t="shared" si="98"/>
        <v>1233.1034482758621</v>
      </c>
      <c r="J193" s="75">
        <f t="shared" si="98"/>
        <v>1313.1034482758623</v>
      </c>
      <c r="K193" s="75">
        <f t="shared" si="98"/>
        <v>1379.3103448275863</v>
      </c>
      <c r="L193" s="75">
        <f t="shared" si="98"/>
        <v>1423.4482758620691</v>
      </c>
      <c r="M193" s="75">
        <f t="shared" si="98"/>
        <v>1507.5862068965516</v>
      </c>
      <c r="N193" s="75">
        <f t="shared" si="98"/>
        <v>1564.1379310344828</v>
      </c>
      <c r="O193" s="75">
        <f t="shared" si="98"/>
        <v>1590.3448275862067</v>
      </c>
      <c r="P193" s="75">
        <f t="shared" si="98"/>
        <v>1626.2068965517244</v>
      </c>
      <c r="Q193" s="75">
        <f t="shared" si="98"/>
        <v>1682.7586206896551</v>
      </c>
      <c r="R193" s="75">
        <f t="shared" si="98"/>
        <v>1695.1724137931035</v>
      </c>
      <c r="S193" s="75">
        <f t="shared" si="98"/>
        <v>1702.0689655172414</v>
      </c>
      <c r="T193" s="75">
        <f t="shared" si="98"/>
        <v>1769.655172413793</v>
      </c>
      <c r="U193" s="75">
        <f t="shared" si="98"/>
        <v>1776.5517241379309</v>
      </c>
      <c r="V193" s="75">
        <f t="shared" si="98"/>
        <v>1837.2413793103447</v>
      </c>
      <c r="W193" s="75">
        <f t="shared" si="98"/>
        <v>1838.6206896551723</v>
      </c>
      <c r="X193" s="75">
        <f t="shared" si="98"/>
        <v>1844.1379310344828</v>
      </c>
      <c r="Y193" s="75">
        <f t="shared" si="98"/>
        <v>1917.2413793103449</v>
      </c>
      <c r="Z193" s="75">
        <f t="shared" si="98"/>
        <v>1924.137931034483</v>
      </c>
      <c r="AA193" s="75">
        <f t="shared" si="98"/>
        <v>1932.4137931034481</v>
      </c>
      <c r="AB193" s="75">
        <f t="shared" si="98"/>
        <v>2000</v>
      </c>
      <c r="AC193" s="336">
        <f>AC192*$AE$191</f>
        <v>2000</v>
      </c>
      <c r="AD193" s="107" t="s">
        <v>378</v>
      </c>
      <c r="AE193" s="68"/>
    </row>
    <row r="194" spans="1:31" ht="15" customHeight="1">
      <c r="A194" s="792"/>
      <c r="B194" s="640"/>
      <c r="C194" s="109">
        <f t="shared" si="99" ref="C194:AB194">$AC$2/C192*2</f>
        <v>3.7760416666666665</v>
      </c>
      <c r="D194" s="109">
        <f t="shared" si="99"/>
        <v>3.6432160804020097</v>
      </c>
      <c r="E194" s="109">
        <f t="shared" si="99"/>
        <v>3.6069651741293534</v>
      </c>
      <c r="F194" s="109">
        <f t="shared" si="99"/>
        <v>3.4939759036144578</v>
      </c>
      <c r="G194" s="109">
        <f t="shared" si="99"/>
        <v>3.3918128654970761</v>
      </c>
      <c r="H194" s="109">
        <f t="shared" si="99"/>
        <v>3.3720930232558142</v>
      </c>
      <c r="I194" s="109">
        <f t="shared" si="99"/>
        <v>3.2438478747203576</v>
      </c>
      <c r="J194" s="109">
        <f t="shared" si="99"/>
        <v>3.0462184873949578</v>
      </c>
      <c r="K194" s="109">
        <f t="shared" si="99"/>
        <v>2.90</v>
      </c>
      <c r="L194" s="109">
        <f t="shared" si="99"/>
        <v>2.8100775193798451</v>
      </c>
      <c r="M194" s="109">
        <f t="shared" si="99"/>
        <v>2.6532479414455628</v>
      </c>
      <c r="N194" s="109">
        <f t="shared" si="99"/>
        <v>2.5573192239858908</v>
      </c>
      <c r="O194" s="109">
        <f t="shared" si="99"/>
        <v>2.5151777970511708</v>
      </c>
      <c r="P194" s="109">
        <f t="shared" si="99"/>
        <v>2.4597116200169631</v>
      </c>
      <c r="Q194" s="109">
        <f t="shared" si="99"/>
        <v>2.377049180327869</v>
      </c>
      <c r="R194" s="109">
        <f t="shared" si="99"/>
        <v>2.3596419853539463</v>
      </c>
      <c r="S194" s="109">
        <f t="shared" si="99"/>
        <v>2.3500810372771475</v>
      </c>
      <c r="T194" s="109">
        <f t="shared" si="99"/>
        <v>2.2603273577552612</v>
      </c>
      <c r="U194" s="109">
        <f t="shared" si="99"/>
        <v>2.2515527950310559</v>
      </c>
      <c r="V194" s="109">
        <f t="shared" si="99"/>
        <v>2.1771771771771773</v>
      </c>
      <c r="W194" s="109">
        <f t="shared" si="99"/>
        <v>2.1755438859714928</v>
      </c>
      <c r="X194" s="109">
        <f t="shared" si="99"/>
        <v>2.169035153328347</v>
      </c>
      <c r="Y194" s="109">
        <f t="shared" si="99"/>
        <v>2.0863309352517985</v>
      </c>
      <c r="Z194" s="109">
        <f t="shared" si="99"/>
        <v>2.0788530465949817</v>
      </c>
      <c r="AA194" s="109">
        <f t="shared" si="99"/>
        <v>2.0699500356887937</v>
      </c>
      <c r="AB194" s="109">
        <f t="shared" si="99"/>
        <v>2</v>
      </c>
      <c r="AC194" s="341">
        <f>$AC$2/AC192*2</f>
        <v>2</v>
      </c>
      <c r="AD194" s="107" t="s">
        <v>376</v>
      </c>
      <c r="AE194" s="68"/>
    </row>
    <row r="195" spans="1:31" ht="15.75" thickBot="1">
      <c r="A195" s="793"/>
      <c r="B195" s="778"/>
      <c r="C195" s="77">
        <v>1536</v>
      </c>
      <c r="D195" s="77">
        <v>1592</v>
      </c>
      <c r="E195" s="77">
        <v>1608</v>
      </c>
      <c r="F195" s="77">
        <v>1660</v>
      </c>
      <c r="G195" s="77">
        <v>1710</v>
      </c>
      <c r="H195" s="77">
        <v>1720</v>
      </c>
      <c r="I195" s="77">
        <v>1788</v>
      </c>
      <c r="J195" s="77">
        <v>1904</v>
      </c>
      <c r="K195" s="77">
        <v>2000</v>
      </c>
      <c r="L195" s="77">
        <v>2064</v>
      </c>
      <c r="M195" s="77">
        <v>2186</v>
      </c>
      <c r="N195" s="77">
        <v>2268</v>
      </c>
      <c r="O195" s="77">
        <v>2306</v>
      </c>
      <c r="P195" s="77">
        <v>2358</v>
      </c>
      <c r="Q195" s="77">
        <v>2440</v>
      </c>
      <c r="R195" s="77">
        <v>2458</v>
      </c>
      <c r="S195" s="77">
        <v>2468</v>
      </c>
      <c r="T195" s="77">
        <v>2566</v>
      </c>
      <c r="U195" s="77">
        <v>2576</v>
      </c>
      <c r="V195" s="77">
        <v>2664</v>
      </c>
      <c r="W195" s="77">
        <v>2666</v>
      </c>
      <c r="X195" s="77">
        <v>2674</v>
      </c>
      <c r="Y195" s="77">
        <v>2780</v>
      </c>
      <c r="Z195" s="77">
        <v>2790</v>
      </c>
      <c r="AA195" s="77">
        <v>2802</v>
      </c>
      <c r="AB195" s="77">
        <v>2900</v>
      </c>
      <c r="AC195" s="128">
        <v>2900</v>
      </c>
      <c r="AD195" s="107" t="s">
        <v>586</v>
      </c>
      <c r="AE195" s="68"/>
    </row>
    <row r="196" spans="1:31" ht="15.75" thickBot="1">
      <c r="A196" s="302" t="s">
        <v>681</v>
      </c>
      <c r="B196" s="76" t="s">
        <v>682</v>
      </c>
      <c r="C196" s="745" t="s">
        <v>683</v>
      </c>
      <c r="D196" s="746"/>
      <c r="E196" s="746"/>
      <c r="F196" s="746"/>
      <c r="G196" s="746"/>
      <c r="H196" s="746"/>
      <c r="I196" s="746"/>
      <c r="J196" s="746"/>
      <c r="K196" s="746"/>
      <c r="L196" s="746"/>
      <c r="M196" s="746"/>
      <c r="N196" s="746"/>
      <c r="O196" s="746"/>
      <c r="P196" s="746"/>
      <c r="Q196" s="746"/>
      <c r="R196" s="746"/>
      <c r="S196" s="746"/>
      <c r="T196" s="746"/>
      <c r="U196" s="746"/>
      <c r="V196" s="746"/>
      <c r="W196" s="746"/>
      <c r="X196" s="747"/>
      <c r="Y196" s="198"/>
      <c r="Z196" s="198"/>
      <c r="AA196" s="198"/>
      <c r="AB196" s="198"/>
      <c r="AC196" s="344"/>
      <c r="AD196" s="107"/>
      <c r="AE196" s="68">
        <v>183</v>
      </c>
    </row>
    <row r="197" spans="1:31" ht="30.75" thickBot="1">
      <c r="A197" s="258" t="s">
        <v>684</v>
      </c>
      <c r="B197" s="91" t="s">
        <v>685</v>
      </c>
      <c r="C197" s="742"/>
      <c r="D197" s="743"/>
      <c r="E197" s="743"/>
      <c r="F197" s="743"/>
      <c r="G197" s="743"/>
      <c r="H197" s="743"/>
      <c r="I197" s="743"/>
      <c r="J197" s="743"/>
      <c r="K197" s="743"/>
      <c r="L197" s="743"/>
      <c r="M197" s="743"/>
      <c r="N197" s="743"/>
      <c r="O197" s="743"/>
      <c r="P197" s="743"/>
      <c r="Q197" s="743"/>
      <c r="R197" s="743"/>
      <c r="S197" s="743"/>
      <c r="T197" s="743"/>
      <c r="U197" s="743"/>
      <c r="V197" s="743"/>
      <c r="W197" s="743"/>
      <c r="X197" s="833"/>
      <c r="Y197" s="198"/>
      <c r="Z197" s="198"/>
      <c r="AA197" s="198"/>
      <c r="AB197" s="198"/>
      <c r="AC197" s="344"/>
      <c r="AD197" s="107"/>
      <c r="AE197" s="68">
        <v>200</v>
      </c>
    </row>
    <row r="198" spans="1:31" ht="15" customHeight="1">
      <c r="A198" s="765" t="s">
        <v>686</v>
      </c>
      <c r="B198" s="756" t="s">
        <v>687</v>
      </c>
      <c r="C198" s="89"/>
      <c r="D198" s="89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  <c r="AA198" s="89"/>
      <c r="AB198" s="89"/>
      <c r="AC198" s="120"/>
      <c r="AD198" s="107"/>
      <c r="AE198" s="68"/>
    </row>
    <row r="199" spans="1:31" ht="15.75">
      <c r="A199" s="766"/>
      <c r="B199" s="638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13"/>
      <c r="AD199" s="107"/>
      <c r="AE199" s="68"/>
    </row>
    <row r="200" spans="1:31" ht="15.75" thickBot="1">
      <c r="A200" s="767"/>
      <c r="B200" s="75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104"/>
      <c r="AD200" s="107"/>
      <c r="AE200" s="68"/>
    </row>
    <row r="201" spans="1:31" ht="15.75">
      <c r="A201" s="765" t="s">
        <v>688</v>
      </c>
      <c r="B201" s="756" t="s">
        <v>689</v>
      </c>
      <c r="C201" s="89"/>
      <c r="D201" s="89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  <c r="AA201" s="89"/>
      <c r="AB201" s="89"/>
      <c r="AC201" s="120"/>
      <c r="AD201" s="107"/>
      <c r="AE201" s="68"/>
    </row>
    <row r="202" spans="1:31" ht="15.75">
      <c r="A202" s="766"/>
      <c r="B202" s="638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13"/>
      <c r="AD202" s="107"/>
      <c r="AE202" s="68"/>
    </row>
    <row r="203" spans="1:31" ht="15.75" thickBot="1">
      <c r="A203" s="767"/>
      <c r="B203" s="75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104"/>
      <c r="AD203" s="107"/>
      <c r="AE203" s="68"/>
    </row>
    <row r="204" spans="1:31" ht="15.75">
      <c r="A204" s="647" t="s">
        <v>690</v>
      </c>
      <c r="B204" s="641" t="s">
        <v>691</v>
      </c>
      <c r="C204" s="748" t="s">
        <v>692</v>
      </c>
      <c r="D204" s="749"/>
      <c r="E204" s="749"/>
      <c r="F204" s="749"/>
      <c r="G204" s="749"/>
      <c r="H204" s="749"/>
      <c r="I204" s="749"/>
      <c r="J204" s="749"/>
      <c r="K204" s="749"/>
      <c r="L204" s="749"/>
      <c r="M204" s="749"/>
      <c r="N204" s="749"/>
      <c r="O204" s="749"/>
      <c r="P204" s="749"/>
      <c r="Q204" s="749"/>
      <c r="R204" s="749"/>
      <c r="S204" s="749"/>
      <c r="T204" s="749"/>
      <c r="U204" s="749"/>
      <c r="V204" s="749"/>
      <c r="W204" s="749"/>
      <c r="X204" s="749"/>
      <c r="Y204" s="749"/>
      <c r="Z204" s="749"/>
      <c r="AA204" s="749"/>
      <c r="AB204" s="749"/>
      <c r="AC204" s="750"/>
      <c r="AD204" s="107"/>
      <c r="AE204" s="68"/>
    </row>
    <row r="205" spans="1:31" ht="15.75">
      <c r="A205" s="637"/>
      <c r="B205" s="638"/>
      <c r="C205" s="748"/>
      <c r="D205" s="749"/>
      <c r="E205" s="749"/>
      <c r="F205" s="749"/>
      <c r="G205" s="749"/>
      <c r="H205" s="749"/>
      <c r="I205" s="749"/>
      <c r="J205" s="749"/>
      <c r="K205" s="749"/>
      <c r="L205" s="749"/>
      <c r="M205" s="749"/>
      <c r="N205" s="749"/>
      <c r="O205" s="749"/>
      <c r="P205" s="749"/>
      <c r="Q205" s="749"/>
      <c r="R205" s="749"/>
      <c r="S205" s="749"/>
      <c r="T205" s="749"/>
      <c r="U205" s="749"/>
      <c r="V205" s="749"/>
      <c r="W205" s="749"/>
      <c r="X205" s="749"/>
      <c r="Y205" s="749"/>
      <c r="Z205" s="749"/>
      <c r="AA205" s="749"/>
      <c r="AB205" s="749"/>
      <c r="AC205" s="750"/>
      <c r="AD205" s="107"/>
      <c r="AE205" s="68"/>
    </row>
    <row r="206" spans="1:31" ht="15.75">
      <c r="A206" s="645"/>
      <c r="B206" s="639"/>
      <c r="C206" s="748"/>
      <c r="D206" s="749"/>
      <c r="E206" s="749"/>
      <c r="F206" s="749"/>
      <c r="G206" s="749"/>
      <c r="H206" s="749"/>
      <c r="I206" s="749"/>
      <c r="J206" s="749"/>
      <c r="K206" s="749"/>
      <c r="L206" s="749"/>
      <c r="M206" s="749"/>
      <c r="N206" s="749"/>
      <c r="O206" s="749"/>
      <c r="P206" s="749"/>
      <c r="Q206" s="749"/>
      <c r="R206" s="749"/>
      <c r="S206" s="749"/>
      <c r="T206" s="749"/>
      <c r="U206" s="749"/>
      <c r="V206" s="749"/>
      <c r="W206" s="749"/>
      <c r="X206" s="749"/>
      <c r="Y206" s="749"/>
      <c r="Z206" s="749"/>
      <c r="AA206" s="749"/>
      <c r="AB206" s="749"/>
      <c r="AC206" s="750"/>
      <c r="AD206" s="107"/>
      <c r="AE206" s="68"/>
    </row>
    <row r="207" spans="1:31" ht="15.75">
      <c r="A207" s="345" t="s">
        <v>693</v>
      </c>
      <c r="B207" s="283" t="s">
        <v>694</v>
      </c>
      <c r="C207" s="748" t="s">
        <v>695</v>
      </c>
      <c r="D207" s="749"/>
      <c r="E207" s="749"/>
      <c r="F207" s="749"/>
      <c r="G207" s="749"/>
      <c r="H207" s="749"/>
      <c r="I207" s="749"/>
      <c r="J207" s="749"/>
      <c r="K207" s="749"/>
      <c r="L207" s="749"/>
      <c r="M207" s="749"/>
      <c r="N207" s="749"/>
      <c r="O207" s="749"/>
      <c r="P207" s="749"/>
      <c r="Q207" s="749"/>
      <c r="R207" s="749"/>
      <c r="S207" s="749"/>
      <c r="T207" s="749"/>
      <c r="U207" s="749"/>
      <c r="V207" s="749"/>
      <c r="W207" s="749"/>
      <c r="X207" s="749"/>
      <c r="Y207" s="749"/>
      <c r="Z207" s="749"/>
      <c r="AA207" s="749"/>
      <c r="AB207" s="749"/>
      <c r="AC207" s="749"/>
      <c r="AD207" s="107"/>
      <c r="AE207" s="68"/>
    </row>
    <row r="208" spans="1:31" ht="15.75" thickBot="1">
      <c r="A208" s="345" t="s">
        <v>696</v>
      </c>
      <c r="B208" s="283" t="s">
        <v>697</v>
      </c>
      <c r="C208" s="748" t="s">
        <v>698</v>
      </c>
      <c r="D208" s="749"/>
      <c r="E208" s="749"/>
      <c r="F208" s="749"/>
      <c r="G208" s="749"/>
      <c r="H208" s="749"/>
      <c r="I208" s="749"/>
      <c r="J208" s="749"/>
      <c r="K208" s="749"/>
      <c r="L208" s="749"/>
      <c r="M208" s="749"/>
      <c r="N208" s="749"/>
      <c r="O208" s="749"/>
      <c r="P208" s="749"/>
      <c r="Q208" s="749"/>
      <c r="R208" s="749"/>
      <c r="S208" s="749"/>
      <c r="T208" s="749"/>
      <c r="U208" s="749"/>
      <c r="V208" s="749"/>
      <c r="W208" s="749"/>
      <c r="X208" s="749"/>
      <c r="Y208" s="749"/>
      <c r="Z208" s="749"/>
      <c r="AA208" s="749"/>
      <c r="AB208" s="749"/>
      <c r="AC208" s="749"/>
      <c r="AD208" s="107"/>
      <c r="AE208" s="68"/>
    </row>
    <row r="209" spans="1:31" ht="15.75" thickBot="1">
      <c r="A209" s="176" t="s">
        <v>136</v>
      </c>
      <c r="B209" s="76" t="s">
        <v>137</v>
      </c>
      <c r="C209" s="198"/>
      <c r="D209" s="198"/>
      <c r="E209" s="198"/>
      <c r="F209" s="198"/>
      <c r="G209" s="198"/>
      <c r="H209" s="198"/>
      <c r="I209" s="198"/>
      <c r="J209" s="198"/>
      <c r="K209" s="198"/>
      <c r="L209" s="198"/>
      <c r="M209" s="198"/>
      <c r="N209" s="198"/>
      <c r="O209" s="198"/>
      <c r="P209" s="198"/>
      <c r="Q209" s="198"/>
      <c r="R209" s="198"/>
      <c r="S209" s="198"/>
      <c r="T209" s="198"/>
      <c r="U209" s="198"/>
      <c r="V209" s="198"/>
      <c r="W209" s="198"/>
      <c r="X209" s="198"/>
      <c r="Y209" s="198"/>
      <c r="Z209" s="198"/>
      <c r="AA209" s="198"/>
      <c r="AB209" s="198"/>
      <c r="AC209" s="328"/>
      <c r="AD209" s="107"/>
      <c r="AE209" s="68"/>
    </row>
    <row r="210" spans="1:31" ht="15.75" thickBot="1">
      <c r="A210" s="346" t="s">
        <v>699</v>
      </c>
      <c r="B210" s="347" t="s">
        <v>700</v>
      </c>
      <c r="C210" s="198"/>
      <c r="D210" s="198"/>
      <c r="E210" s="198"/>
      <c r="F210" s="198"/>
      <c r="G210" s="198"/>
      <c r="H210" s="198"/>
      <c r="I210" s="198"/>
      <c r="J210" s="198"/>
      <c r="K210" s="198"/>
      <c r="L210" s="198"/>
      <c r="M210" s="198"/>
      <c r="N210" s="198"/>
      <c r="O210" s="198"/>
      <c r="P210" s="198"/>
      <c r="Q210" s="198"/>
      <c r="R210" s="198"/>
      <c r="S210" s="198"/>
      <c r="T210" s="198"/>
      <c r="U210" s="198"/>
      <c r="V210" s="198"/>
      <c r="W210" s="198"/>
      <c r="X210" s="198"/>
      <c r="Y210" s="198"/>
      <c r="Z210" s="198"/>
      <c r="AA210" s="198"/>
      <c r="AB210" s="198"/>
      <c r="AC210" s="328"/>
      <c r="AD210" s="107"/>
      <c r="AE210" s="68"/>
    </row>
    <row r="211" spans="1:31" ht="15.75" thickBot="1">
      <c r="A211" s="176" t="s">
        <v>346</v>
      </c>
      <c r="B211" s="76" t="s">
        <v>347</v>
      </c>
      <c r="C211" s="198"/>
      <c r="D211" s="198"/>
      <c r="E211" s="198"/>
      <c r="F211" s="198"/>
      <c r="G211" s="198"/>
      <c r="H211" s="198"/>
      <c r="I211" s="198"/>
      <c r="J211" s="198"/>
      <c r="K211" s="198"/>
      <c r="L211" s="198"/>
      <c r="M211" s="198"/>
      <c r="N211" s="198"/>
      <c r="O211" s="198"/>
      <c r="P211" s="198"/>
      <c r="Q211" s="198"/>
      <c r="R211" s="198"/>
      <c r="S211" s="198"/>
      <c r="T211" s="198"/>
      <c r="U211" s="198"/>
      <c r="V211" s="198"/>
      <c r="W211" s="198"/>
      <c r="X211" s="198"/>
      <c r="Y211" s="198"/>
      <c r="Z211" s="198"/>
      <c r="AA211" s="198"/>
      <c r="AB211" s="198"/>
      <c r="AC211" s="328"/>
      <c r="AD211" s="107"/>
      <c r="AE211" s="68"/>
    </row>
    <row r="212" spans="1:31" ht="15.75" thickBot="1">
      <c r="A212" s="176" t="s">
        <v>344</v>
      </c>
      <c r="B212" s="76" t="s">
        <v>345</v>
      </c>
      <c r="C212" s="198"/>
      <c r="D212" s="198"/>
      <c r="E212" s="198"/>
      <c r="F212" s="198"/>
      <c r="G212" s="198"/>
      <c r="H212" s="198"/>
      <c r="I212" s="198"/>
      <c r="J212" s="198"/>
      <c r="K212" s="198"/>
      <c r="L212" s="198"/>
      <c r="M212" s="198"/>
      <c r="N212" s="198"/>
      <c r="O212" s="198"/>
      <c r="P212" s="198"/>
      <c r="Q212" s="198"/>
      <c r="R212" s="198"/>
      <c r="S212" s="198"/>
      <c r="T212" s="198"/>
      <c r="U212" s="198"/>
      <c r="V212" s="198"/>
      <c r="W212" s="198"/>
      <c r="X212" s="198"/>
      <c r="Y212" s="198"/>
      <c r="Z212" s="198"/>
      <c r="AA212" s="198"/>
      <c r="AB212" s="198"/>
      <c r="AC212" s="328"/>
      <c r="AD212" s="107"/>
      <c r="AE212" s="68"/>
    </row>
    <row r="213" spans="1:31" ht="15.75" thickBot="1">
      <c r="A213" s="279" t="s">
        <v>701</v>
      </c>
      <c r="B213" s="275" t="s">
        <v>702</v>
      </c>
      <c r="C213" s="348"/>
      <c r="D213" s="349"/>
      <c r="E213" s="349"/>
      <c r="F213" s="349"/>
      <c r="G213" s="349"/>
      <c r="H213" s="349"/>
      <c r="I213" s="349"/>
      <c r="J213" s="349"/>
      <c r="K213" s="349"/>
      <c r="L213" s="773" t="s">
        <v>703</v>
      </c>
      <c r="M213" s="773"/>
      <c r="N213" s="773"/>
      <c r="O213" s="773"/>
      <c r="P213" s="773"/>
      <c r="Q213" s="773"/>
      <c r="R213" s="773"/>
      <c r="S213" s="773"/>
      <c r="T213" s="773"/>
      <c r="U213" s="773"/>
      <c r="V213" s="773"/>
      <c r="W213" s="773"/>
      <c r="X213" s="773"/>
      <c r="Y213" s="773"/>
      <c r="Z213" s="773"/>
      <c r="AA213" s="773"/>
      <c r="AB213" s="773"/>
      <c r="AC213" s="774"/>
      <c r="AD213" s="107"/>
      <c r="AE213" s="68">
        <v>138</v>
      </c>
    </row>
    <row r="214" spans="1:32" ht="15.75">
      <c r="A214" s="765" t="s">
        <v>704</v>
      </c>
      <c r="B214" s="756" t="s">
        <v>705</v>
      </c>
      <c r="C214" s="89"/>
      <c r="D214" s="89"/>
      <c r="E214" s="89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  <c r="AA214" s="89"/>
      <c r="AB214" s="89"/>
      <c r="AC214" s="120"/>
      <c r="AD214" s="107"/>
      <c r="AE214" s="68"/>
      <c r="AF214" s="273" t="s">
        <v>706</v>
      </c>
    </row>
    <row r="215" spans="1:32" ht="15.75">
      <c r="A215" s="766"/>
      <c r="B215" s="638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13"/>
      <c r="AD215" s="107"/>
      <c r="AE215" s="68"/>
      <c r="AF215" s="273" t="s">
        <v>707</v>
      </c>
    </row>
    <row r="216" spans="1:32" ht="15.75">
      <c r="A216" s="766"/>
      <c r="B216" s="638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13"/>
      <c r="AD216" s="107"/>
      <c r="AE216" s="68"/>
      <c r="AF216" s="350" t="s">
        <v>708</v>
      </c>
    </row>
    <row r="217" spans="1:32" ht="15.75">
      <c r="A217" s="766"/>
      <c r="B217" s="638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13"/>
      <c r="AD217" s="107"/>
      <c r="AE217" s="68"/>
      <c r="AF217" s="273" t="s">
        <v>709</v>
      </c>
    </row>
    <row r="218" spans="1:32" ht="15.75" thickBot="1">
      <c r="A218" s="767"/>
      <c r="B218" s="75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104"/>
      <c r="AD218" s="107"/>
      <c r="AE218" s="68"/>
      <c r="AF218" s="273" t="s">
        <v>710</v>
      </c>
    </row>
    <row r="219" spans="1:31" ht="30.75" thickBot="1">
      <c r="A219" s="346" t="s">
        <v>711</v>
      </c>
      <c r="B219" s="76" t="s">
        <v>712</v>
      </c>
      <c r="C219" s="198"/>
      <c r="D219" s="198"/>
      <c r="E219" s="198"/>
      <c r="F219" s="198"/>
      <c r="G219" s="198"/>
      <c r="H219" s="198"/>
      <c r="I219" s="198"/>
      <c r="J219" s="198"/>
      <c r="K219" s="198"/>
      <c r="L219" s="198"/>
      <c r="M219" s="198"/>
      <c r="N219" s="198"/>
      <c r="O219" s="198"/>
      <c r="P219" s="198"/>
      <c r="Q219" s="198"/>
      <c r="R219" s="198"/>
      <c r="S219" s="198"/>
      <c r="T219" s="198"/>
      <c r="U219" s="198"/>
      <c r="V219" s="198"/>
      <c r="W219" s="198"/>
      <c r="X219" s="198"/>
      <c r="Y219" s="198"/>
      <c r="Z219" s="198"/>
      <c r="AA219" s="198"/>
      <c r="AB219" s="198"/>
      <c r="AC219" s="328"/>
      <c r="AD219" s="107"/>
      <c r="AE219" s="68"/>
    </row>
    <row r="220" spans="1:31" ht="15.75">
      <c r="A220" s="854" t="s">
        <v>713</v>
      </c>
      <c r="B220" s="756" t="s">
        <v>714</v>
      </c>
      <c r="C220" s="89"/>
      <c r="D220" s="89"/>
      <c r="E220" s="89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  <c r="AA220" s="89"/>
      <c r="AB220" s="89"/>
      <c r="AC220" s="120"/>
      <c r="AD220" s="107"/>
      <c r="AE220" s="68"/>
    </row>
    <row r="221" spans="1:31" ht="15.75" thickBot="1">
      <c r="A221" s="855"/>
      <c r="B221" s="75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104"/>
      <c r="AD221" s="107"/>
      <c r="AE221" s="68"/>
    </row>
    <row r="222" spans="1:31" ht="15.75" thickBot="1">
      <c r="A222" s="323"/>
      <c r="B222" s="324" t="s">
        <v>133</v>
      </c>
      <c r="C222" s="323"/>
      <c r="D222" s="323"/>
      <c r="E222" s="323"/>
      <c r="F222" s="323"/>
      <c r="G222" s="323"/>
      <c r="H222" s="323"/>
      <c r="I222" s="323"/>
      <c r="J222" s="323"/>
      <c r="K222" s="323"/>
      <c r="L222" s="323"/>
      <c r="M222" s="323"/>
      <c r="N222" s="323"/>
      <c r="O222" s="323"/>
      <c r="P222" s="323"/>
      <c r="Q222" s="323"/>
      <c r="R222" s="323"/>
      <c r="S222" s="323"/>
      <c r="T222" s="323"/>
      <c r="U222" s="323"/>
      <c r="V222" s="323"/>
      <c r="W222" s="323"/>
      <c r="X222" s="323"/>
      <c r="Y222" s="323"/>
      <c r="Z222" s="323"/>
      <c r="AA222" s="323"/>
      <c r="AB222" s="323"/>
      <c r="AC222" s="323"/>
      <c r="AD222" s="107"/>
      <c r="AE222" s="68"/>
    </row>
    <row r="223" spans="1:31" ht="15.75">
      <c r="A223" s="791" t="s">
        <v>221</v>
      </c>
      <c r="B223" s="777" t="s">
        <v>715</v>
      </c>
      <c r="C223" s="79">
        <f>$AC$2/C225*3</f>
        <v>4.6153846153846159</v>
      </c>
      <c r="D223" s="79">
        <f t="shared" si="100" ref="D223:AC223">$AC$2/D225*3</f>
        <v>5</v>
      </c>
      <c r="E223" s="79">
        <f t="shared" si="100"/>
        <v>5</v>
      </c>
      <c r="F223" s="79">
        <f t="shared" si="100"/>
        <v>5.4545454545454541</v>
      </c>
      <c r="G223" s="79">
        <f t="shared" si="100"/>
        <v>6</v>
      </c>
      <c r="H223" s="79">
        <f t="shared" si="100"/>
        <v>6</v>
      </c>
      <c r="I223" s="79">
        <f t="shared" si="100"/>
        <v>6</v>
      </c>
      <c r="J223" s="79">
        <f t="shared" si="100"/>
        <v>6.666666666666667</v>
      </c>
      <c r="K223" s="79">
        <f t="shared" si="100"/>
        <v>7.50</v>
      </c>
      <c r="L223" s="79">
        <f t="shared" si="100"/>
        <v>7.50</v>
      </c>
      <c r="M223" s="79">
        <f t="shared" si="100"/>
        <v>7.50</v>
      </c>
      <c r="N223" s="79">
        <f t="shared" si="100"/>
        <v>8.5714285714285712</v>
      </c>
      <c r="O223" s="79">
        <f t="shared" si="100"/>
        <v>8.5714285714285712</v>
      </c>
      <c r="P223" s="79">
        <f t="shared" si="100"/>
        <v>8.5714285714285712</v>
      </c>
      <c r="Q223" s="79">
        <f t="shared" si="100"/>
        <v>8.5714285714285712</v>
      </c>
      <c r="R223" s="79">
        <f t="shared" si="100"/>
        <v>8.5714285714285712</v>
      </c>
      <c r="S223" s="79">
        <f t="shared" si="100"/>
        <v>8.5714285714285712</v>
      </c>
      <c r="T223" s="79">
        <f t="shared" si="100"/>
        <v>10</v>
      </c>
      <c r="U223" s="79">
        <f t="shared" si="100"/>
        <v>10</v>
      </c>
      <c r="V223" s="79">
        <f t="shared" si="100"/>
        <v>10</v>
      </c>
      <c r="W223" s="79">
        <f t="shared" si="100"/>
        <v>10</v>
      </c>
      <c r="X223" s="79">
        <f t="shared" si="100"/>
        <v>10</v>
      </c>
      <c r="Y223" s="79">
        <f t="shared" si="100"/>
        <v>12</v>
      </c>
      <c r="Z223" s="79">
        <f t="shared" si="100"/>
        <v>12</v>
      </c>
      <c r="AA223" s="79">
        <f t="shared" si="100"/>
        <v>12</v>
      </c>
      <c r="AB223" s="79">
        <f t="shared" si="100"/>
        <v>15</v>
      </c>
      <c r="AC223" s="122">
        <f t="shared" si="100"/>
        <v>15</v>
      </c>
      <c r="AD223" s="107" t="s">
        <v>393</v>
      </c>
      <c r="AE223" s="68">
        <v>200</v>
      </c>
    </row>
    <row r="224" spans="1:31" ht="15.75">
      <c r="A224" s="792"/>
      <c r="B224" s="640"/>
      <c r="C224" s="80">
        <f>C223*$AE$223</f>
        <v>923.07692307692321</v>
      </c>
      <c r="D224" s="80">
        <f t="shared" si="101" ref="D224:AC224">D223*$AE$223</f>
        <v>1000</v>
      </c>
      <c r="E224" s="80">
        <f t="shared" si="101"/>
        <v>1000</v>
      </c>
      <c r="F224" s="80">
        <f t="shared" si="101"/>
        <v>1090.9090909090908</v>
      </c>
      <c r="G224" s="80">
        <f t="shared" si="101"/>
        <v>1200</v>
      </c>
      <c r="H224" s="80">
        <f t="shared" si="101"/>
        <v>1200</v>
      </c>
      <c r="I224" s="80">
        <f t="shared" si="101"/>
        <v>1200</v>
      </c>
      <c r="J224" s="80">
        <f t="shared" si="101"/>
        <v>1333.3333333333335</v>
      </c>
      <c r="K224" s="80">
        <f t="shared" si="101"/>
        <v>1500</v>
      </c>
      <c r="L224" s="80">
        <f t="shared" si="101"/>
        <v>1500</v>
      </c>
      <c r="M224" s="80">
        <f t="shared" si="101"/>
        <v>1500</v>
      </c>
      <c r="N224" s="80">
        <f t="shared" si="101"/>
        <v>1714.2857142857142</v>
      </c>
      <c r="O224" s="80">
        <f t="shared" si="101"/>
        <v>1714.2857142857142</v>
      </c>
      <c r="P224" s="80">
        <f t="shared" si="101"/>
        <v>1714.2857142857142</v>
      </c>
      <c r="Q224" s="80">
        <f t="shared" si="101"/>
        <v>1714.2857142857142</v>
      </c>
      <c r="R224" s="80">
        <f t="shared" si="101"/>
        <v>1714.2857142857142</v>
      </c>
      <c r="S224" s="80">
        <f t="shared" si="101"/>
        <v>1714.2857142857142</v>
      </c>
      <c r="T224" s="80">
        <f t="shared" si="101"/>
        <v>2000</v>
      </c>
      <c r="U224" s="80">
        <f t="shared" si="101"/>
        <v>2000</v>
      </c>
      <c r="V224" s="80">
        <f t="shared" si="101"/>
        <v>2000</v>
      </c>
      <c r="W224" s="80">
        <f t="shared" si="101"/>
        <v>2000</v>
      </c>
      <c r="X224" s="80">
        <f t="shared" si="101"/>
        <v>2000</v>
      </c>
      <c r="Y224" s="80">
        <f t="shared" si="101"/>
        <v>2400</v>
      </c>
      <c r="Z224" s="80">
        <f t="shared" si="101"/>
        <v>2400</v>
      </c>
      <c r="AA224" s="80">
        <f t="shared" si="101"/>
        <v>2400</v>
      </c>
      <c r="AB224" s="80">
        <f t="shared" si="101"/>
        <v>3000</v>
      </c>
      <c r="AC224" s="197">
        <f t="shared" si="101"/>
        <v>3000</v>
      </c>
      <c r="AD224" s="107"/>
      <c r="AE224" s="68"/>
    </row>
    <row r="225" spans="1:31" ht="15.75">
      <c r="A225" s="792"/>
      <c r="B225" s="640"/>
      <c r="C225" s="13">
        <v>6.50</v>
      </c>
      <c r="D225" s="13">
        <v>6</v>
      </c>
      <c r="E225" s="13">
        <v>6</v>
      </c>
      <c r="F225" s="13">
        <v>5.50</v>
      </c>
      <c r="G225" s="13">
        <v>5</v>
      </c>
      <c r="H225" s="13">
        <v>5</v>
      </c>
      <c r="I225" s="13">
        <v>5</v>
      </c>
      <c r="J225" s="13">
        <v>4.50</v>
      </c>
      <c r="K225" s="13">
        <v>4</v>
      </c>
      <c r="L225" s="13">
        <v>4</v>
      </c>
      <c r="M225" s="13">
        <v>4</v>
      </c>
      <c r="N225" s="13">
        <v>3.50</v>
      </c>
      <c r="O225" s="13">
        <v>3.50</v>
      </c>
      <c r="P225" s="13">
        <v>3.50</v>
      </c>
      <c r="Q225" s="13">
        <v>3.50</v>
      </c>
      <c r="R225" s="13">
        <v>3.50</v>
      </c>
      <c r="S225" s="13">
        <v>3.50</v>
      </c>
      <c r="T225" s="13">
        <v>3</v>
      </c>
      <c r="U225" s="29">
        <v>3</v>
      </c>
      <c r="V225" s="13">
        <v>3</v>
      </c>
      <c r="W225" s="13">
        <v>3</v>
      </c>
      <c r="X225" s="13">
        <v>3</v>
      </c>
      <c r="Y225" s="13">
        <v>2.50</v>
      </c>
      <c r="Z225" s="13">
        <v>2.50</v>
      </c>
      <c r="AA225" s="13">
        <v>2.50</v>
      </c>
      <c r="AB225" s="13">
        <v>2</v>
      </c>
      <c r="AC225" s="113">
        <v>2</v>
      </c>
      <c r="AD225" s="107" t="s">
        <v>376</v>
      </c>
      <c r="AE225" s="68"/>
    </row>
    <row r="226" spans="1:31" ht="15.75" thickBot="1">
      <c r="A226" s="793"/>
      <c r="B226" s="778"/>
      <c r="C226" s="77">
        <v>670</v>
      </c>
      <c r="D226" s="77">
        <v>720</v>
      </c>
      <c r="E226" s="77">
        <v>720</v>
      </c>
      <c r="F226" s="77">
        <v>770</v>
      </c>
      <c r="G226" s="71">
        <v>820</v>
      </c>
      <c r="H226" s="77">
        <v>820</v>
      </c>
      <c r="I226" s="77">
        <v>820</v>
      </c>
      <c r="J226" s="77">
        <v>920</v>
      </c>
      <c r="K226" s="77">
        <v>1000</v>
      </c>
      <c r="L226" s="77">
        <v>1000</v>
      </c>
      <c r="M226" s="77">
        <v>1020</v>
      </c>
      <c r="N226" s="77">
        <v>1100</v>
      </c>
      <c r="O226" s="77">
        <v>1120</v>
      </c>
      <c r="P226" s="77">
        <v>1150</v>
      </c>
      <c r="Q226" s="77">
        <v>1220</v>
      </c>
      <c r="R226" s="77">
        <v>1220</v>
      </c>
      <c r="S226" s="77">
        <v>1220</v>
      </c>
      <c r="T226" s="77">
        <v>1320</v>
      </c>
      <c r="U226" s="77">
        <v>1320</v>
      </c>
      <c r="V226" s="77">
        <v>1420</v>
      </c>
      <c r="W226" s="77">
        <v>1420</v>
      </c>
      <c r="X226" s="77">
        <v>1420</v>
      </c>
      <c r="Y226" s="77">
        <v>1520</v>
      </c>
      <c r="Z226" s="77">
        <v>1520</v>
      </c>
      <c r="AA226" s="77">
        <v>1520</v>
      </c>
      <c r="AB226" s="77">
        <v>1620</v>
      </c>
      <c r="AC226" s="104">
        <v>1620</v>
      </c>
      <c r="AD226" s="107" t="s">
        <v>603</v>
      </c>
      <c r="AE226" s="68"/>
    </row>
    <row r="227" spans="1:31" ht="30.75" thickBot="1">
      <c r="A227" s="176" t="s">
        <v>716</v>
      </c>
      <c r="B227" s="191" t="s">
        <v>717</v>
      </c>
      <c r="C227" s="772" t="s">
        <v>718</v>
      </c>
      <c r="D227" s="773"/>
      <c r="E227" s="773"/>
      <c r="F227" s="773"/>
      <c r="G227" s="773"/>
      <c r="H227" s="773"/>
      <c r="I227" s="773"/>
      <c r="J227" s="773"/>
      <c r="K227" s="773"/>
      <c r="L227" s="773"/>
      <c r="M227" s="773"/>
      <c r="N227" s="773"/>
      <c r="O227" s="773"/>
      <c r="P227" s="773"/>
      <c r="Q227" s="773"/>
      <c r="R227" s="773"/>
      <c r="S227" s="773"/>
      <c r="T227" s="773"/>
      <c r="U227" s="773"/>
      <c r="V227" s="773"/>
      <c r="W227" s="773"/>
      <c r="X227" s="773"/>
      <c r="Y227" s="773"/>
      <c r="Z227" s="773"/>
      <c r="AA227" s="773"/>
      <c r="AB227" s="773"/>
      <c r="AC227" s="774"/>
      <c r="AD227" s="107"/>
      <c r="AE227" s="68"/>
    </row>
    <row r="228" spans="1:31" ht="15.75">
      <c r="A228" s="851" t="s">
        <v>225</v>
      </c>
      <c r="B228" s="834" t="s">
        <v>719</v>
      </c>
      <c r="C228" s="89"/>
      <c r="D228" s="89"/>
      <c r="E228" s="89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  <c r="AA228" s="89"/>
      <c r="AB228" s="89"/>
      <c r="AC228" s="120"/>
      <c r="AD228" s="107"/>
      <c r="AE228" s="68"/>
    </row>
    <row r="229" spans="1:31" ht="15.75" thickBot="1">
      <c r="A229" s="852"/>
      <c r="B229" s="853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104"/>
      <c r="AD229" s="107"/>
      <c r="AE229" s="68"/>
    </row>
    <row r="230" spans="1:31" ht="15.75" thickBot="1">
      <c r="A230" s="351" t="s">
        <v>228</v>
      </c>
      <c r="B230" s="191" t="s">
        <v>720</v>
      </c>
      <c r="C230" s="198"/>
      <c r="D230" s="198"/>
      <c r="E230" s="198"/>
      <c r="F230" s="198"/>
      <c r="G230" s="198"/>
      <c r="H230" s="198"/>
      <c r="I230" s="198"/>
      <c r="J230" s="198"/>
      <c r="K230" s="198"/>
      <c r="L230" s="198"/>
      <c r="M230" s="198"/>
      <c r="N230" s="198"/>
      <c r="O230" s="198"/>
      <c r="P230" s="198"/>
      <c r="Q230" s="198"/>
      <c r="R230" s="198"/>
      <c r="S230" s="198"/>
      <c r="T230" s="198"/>
      <c r="U230" s="198"/>
      <c r="V230" s="198"/>
      <c r="W230" s="198"/>
      <c r="X230" s="198"/>
      <c r="Y230" s="198"/>
      <c r="Z230" s="198"/>
      <c r="AA230" s="198"/>
      <c r="AB230" s="198"/>
      <c r="AC230" s="328"/>
      <c r="AD230" s="107"/>
      <c r="AE230" s="68"/>
    </row>
    <row r="231" spans="1:31" ht="15.75" thickBot="1">
      <c r="A231" s="351" t="s">
        <v>721</v>
      </c>
      <c r="B231" s="352" t="s">
        <v>722</v>
      </c>
      <c r="C231" s="198"/>
      <c r="D231" s="198"/>
      <c r="E231" s="198"/>
      <c r="F231" s="198"/>
      <c r="G231" s="198"/>
      <c r="H231" s="198"/>
      <c r="I231" s="198"/>
      <c r="J231" s="198"/>
      <c r="K231" s="198"/>
      <c r="L231" s="198"/>
      <c r="M231" s="198"/>
      <c r="N231" s="198"/>
      <c r="O231" s="198"/>
      <c r="P231" s="198"/>
      <c r="Q231" s="198"/>
      <c r="R231" s="198"/>
      <c r="S231" s="198"/>
      <c r="T231" s="198"/>
      <c r="U231" s="198"/>
      <c r="V231" s="198"/>
      <c r="W231" s="198"/>
      <c r="X231" s="198"/>
      <c r="Y231" s="198"/>
      <c r="Z231" s="198"/>
      <c r="AA231" s="198"/>
      <c r="AB231" s="198"/>
      <c r="AC231" s="328"/>
      <c r="AD231" s="107"/>
      <c r="AE231" s="68"/>
    </row>
    <row r="232" spans="1:31" ht="30.75" thickBot="1">
      <c r="A232" s="176" t="s">
        <v>232</v>
      </c>
      <c r="B232" s="192" t="s">
        <v>723</v>
      </c>
      <c r="C232" s="198"/>
      <c r="D232" s="198"/>
      <c r="E232" s="198"/>
      <c r="F232" s="198"/>
      <c r="G232" s="198"/>
      <c r="H232" s="198"/>
      <c r="I232" s="198"/>
      <c r="J232" s="198"/>
      <c r="K232" s="198"/>
      <c r="L232" s="198"/>
      <c r="M232" s="198"/>
      <c r="N232" s="198"/>
      <c r="O232" s="198"/>
      <c r="P232" s="198"/>
      <c r="Q232" s="198"/>
      <c r="R232" s="198"/>
      <c r="S232" s="198"/>
      <c r="T232" s="198"/>
      <c r="U232" s="198"/>
      <c r="V232" s="198"/>
      <c r="W232" s="198"/>
      <c r="X232" s="198"/>
      <c r="Y232" s="198"/>
      <c r="Z232" s="198"/>
      <c r="AA232" s="198"/>
      <c r="AB232" s="198"/>
      <c r="AC232" s="328"/>
      <c r="AD232" s="107"/>
      <c r="AE232" s="68"/>
    </row>
    <row r="233" spans="1:31" ht="15.75" thickBot="1">
      <c r="A233" s="176" t="s">
        <v>233</v>
      </c>
      <c r="B233" s="353" t="s">
        <v>66</v>
      </c>
      <c r="C233" s="198"/>
      <c r="D233" s="198"/>
      <c r="E233" s="198"/>
      <c r="F233" s="198"/>
      <c r="G233" s="198"/>
      <c r="H233" s="198"/>
      <c r="I233" s="198"/>
      <c r="J233" s="198"/>
      <c r="K233" s="198"/>
      <c r="L233" s="198"/>
      <c r="M233" s="198"/>
      <c r="N233" s="198"/>
      <c r="O233" s="198"/>
      <c r="P233" s="198"/>
      <c r="Q233" s="198"/>
      <c r="R233" s="198"/>
      <c r="S233" s="198"/>
      <c r="T233" s="198"/>
      <c r="U233" s="198"/>
      <c r="V233" s="198"/>
      <c r="W233" s="198"/>
      <c r="X233" s="198"/>
      <c r="Y233" s="198"/>
      <c r="Z233" s="198"/>
      <c r="AA233" s="198"/>
      <c r="AB233" s="198"/>
      <c r="AC233" s="328"/>
      <c r="AD233" s="107"/>
      <c r="AE233" s="68"/>
    </row>
    <row r="234" spans="1:31" ht="15" customHeight="1">
      <c r="A234" s="765" t="s">
        <v>724</v>
      </c>
      <c r="B234" s="756" t="s">
        <v>725</v>
      </c>
      <c r="C234" s="89"/>
      <c r="D234" s="89"/>
      <c r="E234" s="89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  <c r="AA234" s="89"/>
      <c r="AB234" s="89"/>
      <c r="AC234" s="120"/>
      <c r="AD234" s="107"/>
      <c r="AE234" s="68"/>
    </row>
    <row r="235" spans="1:31" ht="15.75" thickBot="1">
      <c r="A235" s="767"/>
      <c r="B235" s="75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104"/>
      <c r="AD235" s="107"/>
      <c r="AE235" s="68"/>
    </row>
    <row r="236" spans="1:31" ht="15.75" thickBot="1">
      <c r="A236" s="176" t="s">
        <v>237</v>
      </c>
      <c r="B236" s="76" t="s">
        <v>71</v>
      </c>
      <c r="C236" s="198"/>
      <c r="D236" s="198"/>
      <c r="E236" s="198"/>
      <c r="F236" s="198"/>
      <c r="G236" s="198"/>
      <c r="H236" s="198"/>
      <c r="I236" s="198"/>
      <c r="J236" s="198"/>
      <c r="K236" s="198"/>
      <c r="L236" s="198"/>
      <c r="M236" s="198"/>
      <c r="N236" s="198"/>
      <c r="O236" s="198"/>
      <c r="P236" s="198"/>
      <c r="Q236" s="198"/>
      <c r="R236" s="198"/>
      <c r="S236" s="198"/>
      <c r="T236" s="198"/>
      <c r="U236" s="198"/>
      <c r="V236" s="198"/>
      <c r="W236" s="198"/>
      <c r="X236" s="198"/>
      <c r="Y236" s="198"/>
      <c r="Z236" s="198"/>
      <c r="AA236" s="198"/>
      <c r="AB236" s="198"/>
      <c r="AC236" s="328"/>
      <c r="AD236" s="107"/>
      <c r="AE236" s="68"/>
    </row>
    <row r="237" spans="1:31" ht="30.75" thickBot="1">
      <c r="A237" s="176" t="s">
        <v>239</v>
      </c>
      <c r="B237" s="76" t="s">
        <v>726</v>
      </c>
      <c r="C237" s="198"/>
      <c r="D237" s="198"/>
      <c r="E237" s="198"/>
      <c r="F237" s="198"/>
      <c r="G237" s="198"/>
      <c r="H237" s="198"/>
      <c r="I237" s="198"/>
      <c r="J237" s="198"/>
      <c r="K237" s="198"/>
      <c r="L237" s="198"/>
      <c r="M237" s="198"/>
      <c r="N237" s="198"/>
      <c r="O237" s="198"/>
      <c r="P237" s="198"/>
      <c r="Q237" s="198"/>
      <c r="R237" s="198"/>
      <c r="S237" s="198"/>
      <c r="T237" s="198"/>
      <c r="U237" s="198"/>
      <c r="V237" s="198"/>
      <c r="W237" s="198"/>
      <c r="X237" s="198"/>
      <c r="Y237" s="198"/>
      <c r="Z237" s="198"/>
      <c r="AA237" s="198"/>
      <c r="AB237" s="198"/>
      <c r="AC237" s="328"/>
      <c r="AD237" s="107"/>
      <c r="AE237" s="68"/>
    </row>
    <row r="238" spans="1:31" ht="30.75" thickBot="1">
      <c r="A238" s="354" t="s">
        <v>241</v>
      </c>
      <c r="B238" s="355" t="s">
        <v>727</v>
      </c>
      <c r="C238" s="198"/>
      <c r="D238" s="198"/>
      <c r="E238" s="198"/>
      <c r="F238" s="198"/>
      <c r="G238" s="198"/>
      <c r="H238" s="198"/>
      <c r="I238" s="198"/>
      <c r="J238" s="198"/>
      <c r="K238" s="198"/>
      <c r="L238" s="198"/>
      <c r="M238" s="198"/>
      <c r="N238" s="198"/>
      <c r="O238" s="198"/>
      <c r="P238" s="198"/>
      <c r="Q238" s="198"/>
      <c r="R238" s="198"/>
      <c r="S238" s="198"/>
      <c r="T238" s="198"/>
      <c r="U238" s="198"/>
      <c r="V238" s="198"/>
      <c r="W238" s="198"/>
      <c r="X238" s="198"/>
      <c r="Y238" s="198"/>
      <c r="Z238" s="198"/>
      <c r="AA238" s="198"/>
      <c r="AB238" s="198"/>
      <c r="AC238" s="328"/>
      <c r="AD238" s="107"/>
      <c r="AE238" s="68"/>
    </row>
    <row r="239" spans="1:31" ht="30.75" thickBot="1">
      <c r="A239" s="130" t="s">
        <v>243</v>
      </c>
      <c r="B239" s="355" t="s">
        <v>410</v>
      </c>
      <c r="C239" s="198"/>
      <c r="D239" s="198"/>
      <c r="E239" s="198"/>
      <c r="F239" s="198"/>
      <c r="G239" s="198"/>
      <c r="H239" s="198"/>
      <c r="I239" s="198"/>
      <c r="J239" s="198"/>
      <c r="K239" s="198"/>
      <c r="L239" s="198"/>
      <c r="M239" s="198"/>
      <c r="N239" s="198"/>
      <c r="O239" s="198"/>
      <c r="P239" s="198"/>
      <c r="Q239" s="198"/>
      <c r="R239" s="198"/>
      <c r="S239" s="198"/>
      <c r="T239" s="198"/>
      <c r="U239" s="198"/>
      <c r="V239" s="198"/>
      <c r="W239" s="198"/>
      <c r="X239" s="198"/>
      <c r="Y239" s="198"/>
      <c r="Z239" s="198"/>
      <c r="AA239" s="198"/>
      <c r="AB239" s="198"/>
      <c r="AC239" s="328"/>
      <c r="AD239" s="107"/>
      <c r="AE239" s="68"/>
    </row>
    <row r="240" spans="1:31" ht="15.75" thickBot="1">
      <c r="A240" s="130" t="s">
        <v>237</v>
      </c>
      <c r="B240" s="76" t="s">
        <v>71</v>
      </c>
      <c r="C240" s="198"/>
      <c r="D240" s="198"/>
      <c r="E240" s="198"/>
      <c r="F240" s="198"/>
      <c r="G240" s="198"/>
      <c r="H240" s="198"/>
      <c r="I240" s="198"/>
      <c r="J240" s="198"/>
      <c r="K240" s="198"/>
      <c r="L240" s="198"/>
      <c r="M240" s="198"/>
      <c r="N240" s="198"/>
      <c r="O240" s="198"/>
      <c r="P240" s="198"/>
      <c r="Q240" s="198"/>
      <c r="R240" s="198"/>
      <c r="S240" s="198"/>
      <c r="T240" s="198"/>
      <c r="U240" s="198"/>
      <c r="V240" s="198"/>
      <c r="W240" s="198"/>
      <c r="X240" s="198"/>
      <c r="Y240" s="198"/>
      <c r="Z240" s="198"/>
      <c r="AA240" s="198"/>
      <c r="AB240" s="198"/>
      <c r="AC240" s="328"/>
      <c r="AD240" s="107"/>
      <c r="AE240" s="68"/>
    </row>
    <row r="241" spans="1:31" ht="35.25" customHeight="1" thickBot="1">
      <c r="A241" s="130" t="s">
        <v>269</v>
      </c>
      <c r="B241" s="76" t="s">
        <v>728</v>
      </c>
      <c r="C241" s="198"/>
      <c r="D241" s="198"/>
      <c r="E241" s="198"/>
      <c r="F241" s="198"/>
      <c r="G241" s="198"/>
      <c r="H241" s="198"/>
      <c r="I241" s="198"/>
      <c r="J241" s="198"/>
      <c r="K241" s="198"/>
      <c r="L241" s="198"/>
      <c r="M241" s="198"/>
      <c r="N241" s="198"/>
      <c r="O241" s="198"/>
      <c r="P241" s="198"/>
      <c r="Q241" s="198"/>
      <c r="R241" s="198"/>
      <c r="S241" s="198"/>
      <c r="T241" s="198"/>
      <c r="U241" s="198"/>
      <c r="V241" s="198"/>
      <c r="W241" s="198"/>
      <c r="X241" s="198"/>
      <c r="Y241" s="198"/>
      <c r="Z241" s="198"/>
      <c r="AA241" s="198"/>
      <c r="AB241" s="198"/>
      <c r="AC241" s="328"/>
      <c r="AD241" s="107"/>
      <c r="AE241" s="68"/>
    </row>
    <row r="242" spans="1:31" ht="30.75" thickBot="1">
      <c r="A242" s="130" t="s">
        <v>729</v>
      </c>
      <c r="B242" s="76" t="s">
        <v>730</v>
      </c>
      <c r="C242" s="198"/>
      <c r="D242" s="198"/>
      <c r="E242" s="198"/>
      <c r="F242" s="198"/>
      <c r="G242" s="198"/>
      <c r="H242" s="198"/>
      <c r="I242" s="198"/>
      <c r="J242" s="198"/>
      <c r="K242" s="198"/>
      <c r="L242" s="198"/>
      <c r="M242" s="198"/>
      <c r="N242" s="198"/>
      <c r="O242" s="198"/>
      <c r="P242" s="198"/>
      <c r="Q242" s="198"/>
      <c r="R242" s="198"/>
      <c r="S242" s="198"/>
      <c r="T242" s="198"/>
      <c r="U242" s="198"/>
      <c r="V242" s="198"/>
      <c r="W242" s="198"/>
      <c r="X242" s="198"/>
      <c r="Y242" s="198"/>
      <c r="Z242" s="198"/>
      <c r="AA242" s="198"/>
      <c r="AB242" s="198"/>
      <c r="AC242" s="328"/>
      <c r="AD242" s="107"/>
      <c r="AE242" s="68"/>
    </row>
    <row r="243" spans="1:31" ht="15.75">
      <c r="A243" s="754" t="s">
        <v>731</v>
      </c>
      <c r="B243" s="756" t="s">
        <v>732</v>
      </c>
      <c r="C243" s="89"/>
      <c r="D243" s="89"/>
      <c r="E243" s="89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  <c r="AB243" s="89"/>
      <c r="AC243" s="120"/>
      <c r="AD243" s="107"/>
      <c r="AE243" s="68"/>
    </row>
    <row r="244" spans="1:31" ht="15.75">
      <c r="A244" s="782"/>
      <c r="B244" s="638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13"/>
      <c r="AD244" s="107"/>
      <c r="AE244" s="68"/>
    </row>
    <row r="245" spans="1:31" ht="15.75" thickBot="1">
      <c r="A245" s="755"/>
      <c r="B245" s="75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  <c r="AA245" s="77"/>
      <c r="AB245" s="77"/>
      <c r="AC245" s="104"/>
      <c r="AD245" s="107"/>
      <c r="AE245" s="68"/>
    </row>
    <row r="246" spans="1:31" ht="15.75">
      <c r="A246" s="779" t="s">
        <v>733</v>
      </c>
      <c r="B246" s="777" t="s">
        <v>734</v>
      </c>
      <c r="C246" s="329">
        <f t="shared" si="102" ref="C246:AC246">$M$249/C249</f>
        <v>1.4832451499118167</v>
      </c>
      <c r="D246" s="329">
        <f t="shared" si="102"/>
        <v>1.4134453781512606</v>
      </c>
      <c r="E246" s="329">
        <f t="shared" si="102"/>
        <v>1.3946932006633499</v>
      </c>
      <c r="F246" s="329">
        <f t="shared" si="102"/>
        <v>1.3370429252782194</v>
      </c>
      <c r="G246" s="329">
        <f t="shared" si="102"/>
        <v>1.2859327217125383</v>
      </c>
      <c r="H246" s="329">
        <f t="shared" si="102"/>
        <v>1.2761760242792108</v>
      </c>
      <c r="I246" s="329">
        <f t="shared" si="102"/>
        <v>1.2742424242424242</v>
      </c>
      <c r="J246" s="329">
        <f t="shared" si="102"/>
        <v>1.1811797752808988</v>
      </c>
      <c r="K246" s="329">
        <f t="shared" si="102"/>
        <v>1.1168658698539176</v>
      </c>
      <c r="L246" s="329">
        <f t="shared" si="102"/>
        <v>1.0699745547073791</v>
      </c>
      <c r="M246" s="327">
        <f>$M$249/M249</f>
        <v>1</v>
      </c>
      <c r="N246" s="329">
        <f t="shared" si="102"/>
        <v>0.95351473922902497</v>
      </c>
      <c r="O246" s="329">
        <f t="shared" si="102"/>
        <v>0.93444444444444441</v>
      </c>
      <c r="P246" s="329">
        <f t="shared" si="102"/>
        <v>0.9121475054229935</v>
      </c>
      <c r="Q246" s="329">
        <f t="shared" si="102"/>
        <v>0.87787056367432148</v>
      </c>
      <c r="R246" s="329">
        <f t="shared" si="102"/>
        <v>0.87240663900414939</v>
      </c>
      <c r="S246" s="329">
        <f t="shared" si="102"/>
        <v>0.86790505675954588</v>
      </c>
      <c r="T246" s="329">
        <f t="shared" si="102"/>
        <v>0.82612966601178783</v>
      </c>
      <c r="U246" s="329">
        <f t="shared" si="102"/>
        <v>0.82289628180039143</v>
      </c>
      <c r="V246" s="329">
        <f t="shared" si="102"/>
        <v>0.78893058161350849</v>
      </c>
      <c r="W246" s="329">
        <f t="shared" si="102"/>
        <v>0.78893058161350849</v>
      </c>
      <c r="X246" s="329">
        <f t="shared" si="102"/>
        <v>0.78598130841121494</v>
      </c>
      <c r="Y246" s="329">
        <f t="shared" si="102"/>
        <v>0.7502230151650312</v>
      </c>
      <c r="Z246" s="329">
        <f t="shared" si="102"/>
        <v>0.74755555555555553</v>
      </c>
      <c r="AA246" s="329">
        <f t="shared" si="102"/>
        <v>0.74424778761061949</v>
      </c>
      <c r="AB246" s="329">
        <f t="shared" si="102"/>
        <v>0.71331636980491941</v>
      </c>
      <c r="AC246" s="329">
        <f t="shared" si="102"/>
        <v>0.71331636980491941</v>
      </c>
      <c r="AD246" s="107" t="s">
        <v>395</v>
      </c>
      <c r="AE246" s="68"/>
    </row>
    <row r="247" spans="1:31" ht="15.75">
      <c r="A247" s="780"/>
      <c r="B247" s="640"/>
      <c r="C247" s="109">
        <f t="shared" si="103" ref="C247:L247">C246*3.5</f>
        <v>5.1913580246913584</v>
      </c>
      <c r="D247" s="109">
        <f t="shared" si="103"/>
        <v>4.947058823529412</v>
      </c>
      <c r="E247" s="109">
        <f t="shared" si="103"/>
        <v>4.881426202321725</v>
      </c>
      <c r="F247" s="109">
        <f t="shared" si="103"/>
        <v>4.6796502384737684</v>
      </c>
      <c r="G247" s="109">
        <f t="shared" si="103"/>
        <v>4.5007645259938842</v>
      </c>
      <c r="H247" s="109">
        <f t="shared" si="103"/>
        <v>4.4666160849772378</v>
      </c>
      <c r="I247" s="109">
        <f t="shared" si="103"/>
        <v>4.459848484848485</v>
      </c>
      <c r="J247" s="109">
        <f t="shared" si="103"/>
        <v>4.1341292134831455</v>
      </c>
      <c r="K247" s="109">
        <f t="shared" si="103"/>
        <v>3.9090305444887115</v>
      </c>
      <c r="L247" s="109">
        <f t="shared" si="103"/>
        <v>3.744910941475827</v>
      </c>
      <c r="M247" s="98">
        <f>M246*3.5</f>
        <v>3.50</v>
      </c>
      <c r="N247" s="109">
        <f t="shared" si="104" ref="N247:AC247">N246*3.5</f>
        <v>3.3373015873015874</v>
      </c>
      <c r="O247" s="109">
        <f t="shared" si="104"/>
        <v>3.2705555555555552</v>
      </c>
      <c r="P247" s="109">
        <f t="shared" si="104"/>
        <v>3.1925162689804774</v>
      </c>
      <c r="Q247" s="109">
        <f t="shared" si="104"/>
        <v>3.0725469728601253</v>
      </c>
      <c r="R247" s="109">
        <f t="shared" si="104"/>
        <v>3.0534232365145231</v>
      </c>
      <c r="S247" s="109">
        <f t="shared" si="104"/>
        <v>3.0376676986584106</v>
      </c>
      <c r="T247" s="109">
        <f t="shared" si="104"/>
        <v>2.8914538310412574</v>
      </c>
      <c r="U247" s="109">
        <f t="shared" si="104"/>
        <v>2.8801369863013702</v>
      </c>
      <c r="V247" s="109">
        <f t="shared" si="104"/>
        <v>2.7612570356472799</v>
      </c>
      <c r="W247" s="109">
        <f t="shared" si="104"/>
        <v>2.7612570356472799</v>
      </c>
      <c r="X247" s="109">
        <f t="shared" si="104"/>
        <v>2.7509345794392521</v>
      </c>
      <c r="Y247" s="109">
        <f t="shared" si="104"/>
        <v>2.6257805530776093</v>
      </c>
      <c r="Z247" s="109">
        <f t="shared" si="104"/>
        <v>2.6164444444444444</v>
      </c>
      <c r="AA247" s="109">
        <f t="shared" si="104"/>
        <v>2.604867256637168</v>
      </c>
      <c r="AB247" s="109">
        <f t="shared" si="104"/>
        <v>2.4966072943172177</v>
      </c>
      <c r="AC247" s="109">
        <f t="shared" si="104"/>
        <v>2.4966072943172177</v>
      </c>
      <c r="AD247" s="107" t="s">
        <v>376</v>
      </c>
      <c r="AE247" s="68"/>
    </row>
    <row r="248" spans="1:31" ht="15.75">
      <c r="A248" s="780"/>
      <c r="B248" s="640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13"/>
      <c r="AD248" s="107"/>
      <c r="AE248" s="68"/>
    </row>
    <row r="249" spans="1:31" ht="15.75" thickBot="1">
      <c r="A249" s="781"/>
      <c r="B249" s="778"/>
      <c r="C249" s="77">
        <v>1134</v>
      </c>
      <c r="D249" s="77">
        <v>1190</v>
      </c>
      <c r="E249" s="77">
        <v>1206</v>
      </c>
      <c r="F249" s="77">
        <v>1258</v>
      </c>
      <c r="G249" s="77">
        <v>1308</v>
      </c>
      <c r="H249" s="77">
        <v>1318</v>
      </c>
      <c r="I249" s="77">
        <v>1320</v>
      </c>
      <c r="J249" s="77">
        <v>1424</v>
      </c>
      <c r="K249" s="77">
        <v>1506</v>
      </c>
      <c r="L249" s="77">
        <v>1572</v>
      </c>
      <c r="M249" s="77">
        <v>1682</v>
      </c>
      <c r="N249" s="77">
        <v>1764</v>
      </c>
      <c r="O249" s="77">
        <v>1800</v>
      </c>
      <c r="P249" s="77">
        <v>1844</v>
      </c>
      <c r="Q249" s="77">
        <v>1916</v>
      </c>
      <c r="R249" s="77">
        <v>1928</v>
      </c>
      <c r="S249" s="77">
        <v>1938</v>
      </c>
      <c r="T249" s="77">
        <v>2036</v>
      </c>
      <c r="U249" s="77">
        <v>2044</v>
      </c>
      <c r="V249" s="77">
        <v>2132</v>
      </c>
      <c r="W249" s="77">
        <v>2132</v>
      </c>
      <c r="X249" s="77">
        <v>2140</v>
      </c>
      <c r="Y249" s="77">
        <v>2242</v>
      </c>
      <c r="Z249" s="77">
        <v>2250</v>
      </c>
      <c r="AA249" s="77">
        <v>2260</v>
      </c>
      <c r="AB249" s="77">
        <v>2358</v>
      </c>
      <c r="AC249" s="104">
        <v>2358</v>
      </c>
      <c r="AD249" s="107" t="s">
        <v>735</v>
      </c>
      <c r="AE249" s="68"/>
    </row>
    <row r="250" spans="1:31" ht="15" customHeight="1">
      <c r="A250" s="765" t="s">
        <v>245</v>
      </c>
      <c r="B250" s="756" t="s">
        <v>736</v>
      </c>
      <c r="C250" s="356">
        <f t="shared" si="105" ref="C250:AC250">C254/$X$254</f>
        <v>0.52990654205607479</v>
      </c>
      <c r="D250" s="356">
        <f t="shared" si="105"/>
        <v>0.55607476635514019</v>
      </c>
      <c r="E250" s="356">
        <f t="shared" si="105"/>
        <v>0.56355140186915886</v>
      </c>
      <c r="F250" s="356">
        <f t="shared" si="105"/>
        <v>0.58785046728971968</v>
      </c>
      <c r="G250" s="356">
        <f t="shared" si="105"/>
        <v>0.61121495327102804</v>
      </c>
      <c r="H250" s="356">
        <f t="shared" si="105"/>
        <v>0.61588785046728967</v>
      </c>
      <c r="I250" s="356">
        <f t="shared" si="105"/>
        <v>0.61682242990654201</v>
      </c>
      <c r="J250" s="356">
        <f t="shared" si="105"/>
        <v>0.66542056074766354</v>
      </c>
      <c r="K250" s="356">
        <f t="shared" si="105"/>
        <v>0.70373831775700935</v>
      </c>
      <c r="L250" s="356">
        <f t="shared" si="105"/>
        <v>0.73457943925233649</v>
      </c>
      <c r="M250" s="356">
        <f t="shared" si="105"/>
        <v>0.78598130841121494</v>
      </c>
      <c r="N250" s="356">
        <f t="shared" si="105"/>
        <v>0.82429906542056075</v>
      </c>
      <c r="O250" s="356">
        <f t="shared" si="105"/>
        <v>0.84112149532710279</v>
      </c>
      <c r="P250" s="356">
        <f t="shared" si="105"/>
        <v>0.86168224299065421</v>
      </c>
      <c r="Q250" s="356">
        <f t="shared" si="105"/>
        <v>0.89532710280373828</v>
      </c>
      <c r="R250" s="356">
        <f t="shared" si="105"/>
        <v>0.90093457943925237</v>
      </c>
      <c r="S250" s="356">
        <f t="shared" si="105"/>
        <v>0.905607476635514</v>
      </c>
      <c r="T250" s="356">
        <f t="shared" si="105"/>
        <v>0.95140186915887848</v>
      </c>
      <c r="U250" s="356">
        <f t="shared" si="105"/>
        <v>0.95514018691588787</v>
      </c>
      <c r="V250" s="356">
        <f t="shared" si="105"/>
        <v>0.99626168224299061</v>
      </c>
      <c r="W250" s="356">
        <f t="shared" si="105"/>
        <v>0.99626168224299061</v>
      </c>
      <c r="X250" s="357">
        <f>X254/$X$254</f>
        <v>1</v>
      </c>
      <c r="Y250" s="356">
        <f t="shared" si="105"/>
        <v>1.0476635514018691</v>
      </c>
      <c r="Z250" s="356">
        <f t="shared" si="105"/>
        <v>1.0514018691588785</v>
      </c>
      <c r="AA250" s="356">
        <f t="shared" si="105"/>
        <v>1.0560747663551402</v>
      </c>
      <c r="AB250" s="356">
        <f t="shared" si="105"/>
        <v>1.1018691588785046</v>
      </c>
      <c r="AC250" s="100">
        <f t="shared" si="105"/>
        <v>1.1018691588785046</v>
      </c>
      <c r="AD250" s="107" t="s">
        <v>395</v>
      </c>
      <c r="AE250" s="68">
        <v>200</v>
      </c>
    </row>
    <row r="251" spans="1:31" ht="15" customHeight="1">
      <c r="A251" s="794"/>
      <c r="B251" s="641"/>
      <c r="C251" s="358">
        <f t="shared" si="106" ref="C251:W251">3.5*2*C250</f>
        <v>3.7093457943925237</v>
      </c>
      <c r="D251" s="358">
        <f t="shared" si="106"/>
        <v>3.8925233644859816</v>
      </c>
      <c r="E251" s="358">
        <f t="shared" si="106"/>
        <v>3.9448598130841122</v>
      </c>
      <c r="F251" s="358">
        <f t="shared" si="106"/>
        <v>4.1149532710280381</v>
      </c>
      <c r="G251" s="358">
        <f t="shared" si="106"/>
        <v>4.2785046728971965</v>
      </c>
      <c r="H251" s="358">
        <f t="shared" si="106"/>
        <v>4.311214953271028</v>
      </c>
      <c r="I251" s="358">
        <f t="shared" si="106"/>
        <v>4.3177570093457938</v>
      </c>
      <c r="J251" s="358">
        <f t="shared" si="106"/>
        <v>4.6579439252336448</v>
      </c>
      <c r="K251" s="358">
        <f t="shared" si="106"/>
        <v>4.9261682242990652</v>
      </c>
      <c r="L251" s="358">
        <f t="shared" si="106"/>
        <v>5.1420560747663551</v>
      </c>
      <c r="M251" s="358">
        <f t="shared" si="106"/>
        <v>5.5018691588785043</v>
      </c>
      <c r="N251" s="358">
        <f t="shared" si="106"/>
        <v>5.7700934579439256</v>
      </c>
      <c r="O251" s="358">
        <f t="shared" si="106"/>
        <v>5.8878504672897192</v>
      </c>
      <c r="P251" s="358">
        <f t="shared" si="106"/>
        <v>6.0317757009345794</v>
      </c>
      <c r="Q251" s="358">
        <f t="shared" si="106"/>
        <v>6.2672897196261683</v>
      </c>
      <c r="R251" s="358">
        <f t="shared" si="106"/>
        <v>6.3065420560747665</v>
      </c>
      <c r="S251" s="358">
        <f t="shared" si="106"/>
        <v>6.339252336448598</v>
      </c>
      <c r="T251" s="358">
        <f t="shared" si="106"/>
        <v>6.659813084112149</v>
      </c>
      <c r="U251" s="358">
        <f t="shared" si="106"/>
        <v>6.6859813084112147</v>
      </c>
      <c r="V251" s="358">
        <f t="shared" si="106"/>
        <v>6.9738317757009343</v>
      </c>
      <c r="W251" s="358">
        <f t="shared" si="106"/>
        <v>6.9738317757009343</v>
      </c>
      <c r="X251" s="359">
        <f>3.5*2*X250</f>
        <v>7</v>
      </c>
      <c r="Y251" s="358">
        <f t="shared" si="107" ref="Y251:AC251">3.5*2*Y250</f>
        <v>7.3336448598130834</v>
      </c>
      <c r="Z251" s="358">
        <f t="shared" si="107"/>
        <v>7.3598130841121492</v>
      </c>
      <c r="AA251" s="358">
        <f t="shared" si="107"/>
        <v>7.3925233644859816</v>
      </c>
      <c r="AB251" s="358">
        <f t="shared" si="107"/>
        <v>7.7130841121495317</v>
      </c>
      <c r="AC251" s="123">
        <f t="shared" si="107"/>
        <v>7.7130841121495317</v>
      </c>
      <c r="AD251" s="107" t="s">
        <v>393</v>
      </c>
      <c r="AE251" s="68"/>
    </row>
    <row r="252" spans="1:31" ht="15" customHeight="1">
      <c r="A252" s="794"/>
      <c r="B252" s="641"/>
      <c r="C252" s="360">
        <f t="shared" si="108" ref="C252:AB252">C251*$AE$250</f>
        <v>741.86915887850478</v>
      </c>
      <c r="D252" s="360">
        <f t="shared" si="108"/>
        <v>778.50467289719631</v>
      </c>
      <c r="E252" s="360">
        <f t="shared" si="108"/>
        <v>788.97196261682245</v>
      </c>
      <c r="F252" s="360">
        <f t="shared" si="108"/>
        <v>822.9906542056076</v>
      </c>
      <c r="G252" s="360">
        <f t="shared" si="108"/>
        <v>855.70093457943926</v>
      </c>
      <c r="H252" s="360">
        <f t="shared" si="108"/>
        <v>862.24299065420564</v>
      </c>
      <c r="I252" s="360">
        <f t="shared" si="108"/>
        <v>863.55140186915878</v>
      </c>
      <c r="J252" s="360">
        <f t="shared" si="108"/>
        <v>931.58878504672896</v>
      </c>
      <c r="K252" s="360">
        <f t="shared" si="108"/>
        <v>985.23364485981301</v>
      </c>
      <c r="L252" s="360">
        <f t="shared" si="108"/>
        <v>1028.4112149532709</v>
      </c>
      <c r="M252" s="360">
        <f t="shared" si="108"/>
        <v>1100.3738317757009</v>
      </c>
      <c r="N252" s="360">
        <f t="shared" si="108"/>
        <v>1154.018691588785</v>
      </c>
      <c r="O252" s="360">
        <f t="shared" si="108"/>
        <v>1177.5700934579438</v>
      </c>
      <c r="P252" s="360">
        <f t="shared" si="108"/>
        <v>1206.3551401869158</v>
      </c>
      <c r="Q252" s="360">
        <f t="shared" si="108"/>
        <v>1253.4579439252336</v>
      </c>
      <c r="R252" s="360">
        <f t="shared" si="108"/>
        <v>1261.3084112149534</v>
      </c>
      <c r="S252" s="360">
        <f t="shared" si="108"/>
        <v>1267.8504672897195</v>
      </c>
      <c r="T252" s="360">
        <f t="shared" si="108"/>
        <v>1331.9626168224297</v>
      </c>
      <c r="U252" s="360">
        <f t="shared" si="108"/>
        <v>1337.1962616822429</v>
      </c>
      <c r="V252" s="360">
        <f t="shared" si="108"/>
        <v>1394.7663551401868</v>
      </c>
      <c r="W252" s="360">
        <f t="shared" si="108"/>
        <v>1394.7663551401868</v>
      </c>
      <c r="X252" s="361">
        <f t="shared" si="108"/>
        <v>1400</v>
      </c>
      <c r="Y252" s="360">
        <f t="shared" si="108"/>
        <v>1466.7289719626167</v>
      </c>
      <c r="Z252" s="360">
        <f t="shared" si="108"/>
        <v>1471.9626168224299</v>
      </c>
      <c r="AA252" s="360">
        <f t="shared" si="108"/>
        <v>1478.5046728971963</v>
      </c>
      <c r="AB252" s="360">
        <f t="shared" si="108"/>
        <v>1542.6168224299063</v>
      </c>
      <c r="AC252" s="362">
        <f>AC251*$AE$250</f>
        <v>1542.6168224299063</v>
      </c>
      <c r="AD252" s="107" t="s">
        <v>378</v>
      </c>
      <c r="AE252" s="68"/>
    </row>
    <row r="253" spans="1:31" ht="15.75">
      <c r="A253" s="766"/>
      <c r="B253" s="638"/>
      <c r="C253" s="124">
        <f t="shared" si="109" ref="C253:AC253">$AC$2/C251*2</f>
        <v>5.3917863441672962</v>
      </c>
      <c r="D253" s="124">
        <f t="shared" si="109"/>
        <v>5.1380552220888349</v>
      </c>
      <c r="E253" s="124">
        <f t="shared" si="109"/>
        <v>5.0698886519782045</v>
      </c>
      <c r="F253" s="124">
        <f t="shared" si="109"/>
        <v>4.8603225073813299</v>
      </c>
      <c r="G253" s="124">
        <f t="shared" si="109"/>
        <v>4.6745303626037567</v>
      </c>
      <c r="H253" s="124">
        <f t="shared" si="109"/>
        <v>4.6390635161500109</v>
      </c>
      <c r="I253" s="124">
        <f t="shared" si="109"/>
        <v>4.6320346320346326</v>
      </c>
      <c r="J253" s="124">
        <f t="shared" si="109"/>
        <v>4.2937399678972712</v>
      </c>
      <c r="K253" s="124">
        <f t="shared" si="109"/>
        <v>4.0599506734964903</v>
      </c>
      <c r="L253" s="124">
        <f t="shared" si="109"/>
        <v>3.8894947291893858</v>
      </c>
      <c r="M253" s="124">
        <f t="shared" si="109"/>
        <v>3.6351282486835403</v>
      </c>
      <c r="N253" s="124">
        <f t="shared" si="109"/>
        <v>3.4661483641075477</v>
      </c>
      <c r="O253" s="124">
        <f t="shared" si="109"/>
        <v>3.3968253968253972</v>
      </c>
      <c r="P253" s="124">
        <f t="shared" si="109"/>
        <v>3.3157731639293462</v>
      </c>
      <c r="Q253" s="124">
        <f t="shared" si="109"/>
        <v>3.1911720847002685</v>
      </c>
      <c r="R253" s="124">
        <f t="shared" si="109"/>
        <v>3.1713100177830467</v>
      </c>
      <c r="S253" s="124">
        <f t="shared" si="109"/>
        <v>3.1549461890019166</v>
      </c>
      <c r="T253" s="124">
        <f t="shared" si="109"/>
        <v>3.0030872859949485</v>
      </c>
      <c r="U253" s="124">
        <f t="shared" si="109"/>
        <v>2.9913335197092539</v>
      </c>
      <c r="V253" s="124">
        <f t="shared" si="109"/>
        <v>2.8678638434735997</v>
      </c>
      <c r="W253" s="124">
        <f t="shared" si="109"/>
        <v>2.8678638434735997</v>
      </c>
      <c r="X253" s="363">
        <f>$AC$2/X251*2</f>
        <v>2.8571428571428572</v>
      </c>
      <c r="Y253" s="124">
        <f t="shared" si="109"/>
        <v>2.7271568752389452</v>
      </c>
      <c r="Z253" s="124">
        <f t="shared" si="109"/>
        <v>2.7174603174603176</v>
      </c>
      <c r="AA253" s="124">
        <f t="shared" si="109"/>
        <v>2.7054361567635903</v>
      </c>
      <c r="AB253" s="124">
        <f t="shared" si="109"/>
        <v>2.5929964861262573</v>
      </c>
      <c r="AC253" s="125">
        <f t="shared" si="109"/>
        <v>2.5929964861262573</v>
      </c>
      <c r="AD253" s="107" t="s">
        <v>376</v>
      </c>
      <c r="AE253" s="68"/>
    </row>
    <row r="254" spans="1:31" ht="15.75" thickBot="1">
      <c r="A254" s="767"/>
      <c r="B254" s="757"/>
      <c r="C254" s="77">
        <v>1134</v>
      </c>
      <c r="D254" s="77">
        <v>1190</v>
      </c>
      <c r="E254" s="77">
        <v>1206</v>
      </c>
      <c r="F254" s="77">
        <v>1258</v>
      </c>
      <c r="G254" s="77">
        <v>1308</v>
      </c>
      <c r="H254" s="77">
        <v>1318</v>
      </c>
      <c r="I254" s="77">
        <v>1320</v>
      </c>
      <c r="J254" s="77">
        <v>1424</v>
      </c>
      <c r="K254" s="77">
        <v>1506</v>
      </c>
      <c r="L254" s="77">
        <v>1572</v>
      </c>
      <c r="M254" s="77">
        <v>1682</v>
      </c>
      <c r="N254" s="77">
        <v>1764</v>
      </c>
      <c r="O254" s="77">
        <v>1800</v>
      </c>
      <c r="P254" s="77">
        <v>1844</v>
      </c>
      <c r="Q254" s="77">
        <v>1916</v>
      </c>
      <c r="R254" s="77">
        <v>1928</v>
      </c>
      <c r="S254" s="77">
        <v>1938</v>
      </c>
      <c r="T254" s="77">
        <v>2036</v>
      </c>
      <c r="U254" s="77">
        <v>2044</v>
      </c>
      <c r="V254" s="77">
        <v>2132</v>
      </c>
      <c r="W254" s="77">
        <v>2132</v>
      </c>
      <c r="X254" s="77">
        <v>2140</v>
      </c>
      <c r="Y254" s="77">
        <v>2242</v>
      </c>
      <c r="Z254" s="77">
        <v>2250</v>
      </c>
      <c r="AA254" s="77">
        <v>2260</v>
      </c>
      <c r="AB254" s="77">
        <v>2358</v>
      </c>
      <c r="AC254" s="104">
        <v>2358</v>
      </c>
      <c r="AD254" s="107" t="s">
        <v>735</v>
      </c>
      <c r="AE254" s="68"/>
    </row>
    <row r="255" spans="1:31" ht="15.75">
      <c r="A255" s="754" t="s">
        <v>249</v>
      </c>
      <c r="B255" s="756" t="s">
        <v>737</v>
      </c>
      <c r="C255" s="364"/>
      <c r="D255" s="364"/>
      <c r="E255" s="364"/>
      <c r="F255" s="364"/>
      <c r="G255" s="364"/>
      <c r="H255" s="364"/>
      <c r="I255" s="364"/>
      <c r="J255" s="364"/>
      <c r="K255" s="364"/>
      <c r="L255" s="364"/>
      <c r="M255" s="364"/>
      <c r="N255" s="364"/>
      <c r="O255" s="364"/>
      <c r="P255" s="364"/>
      <c r="Q255" s="364"/>
      <c r="R255" s="364"/>
      <c r="S255" s="364"/>
      <c r="T255" s="364"/>
      <c r="U255" s="364"/>
      <c r="V255" s="364"/>
      <c r="W255" s="364"/>
      <c r="X255" s="364"/>
      <c r="Y255" s="364"/>
      <c r="Z255" s="364"/>
      <c r="AA255" s="364"/>
      <c r="AB255" s="364"/>
      <c r="AC255" s="365"/>
      <c r="AD255" s="107"/>
      <c r="AE255" s="68"/>
    </row>
    <row r="256" spans="1:31" ht="15.75" thickBot="1">
      <c r="A256" s="755"/>
      <c r="B256" s="757"/>
      <c r="C256" s="366"/>
      <c r="D256" s="366"/>
      <c r="E256" s="366"/>
      <c r="F256" s="366"/>
      <c r="G256" s="366"/>
      <c r="H256" s="366"/>
      <c r="I256" s="366"/>
      <c r="J256" s="366"/>
      <c r="K256" s="366"/>
      <c r="L256" s="366"/>
      <c r="M256" s="366"/>
      <c r="N256" s="366"/>
      <c r="O256" s="366"/>
      <c r="P256" s="366"/>
      <c r="Q256" s="366"/>
      <c r="R256" s="366"/>
      <c r="S256" s="366"/>
      <c r="T256" s="366"/>
      <c r="U256" s="366"/>
      <c r="V256" s="366"/>
      <c r="W256" s="366"/>
      <c r="X256" s="366"/>
      <c r="Y256" s="366"/>
      <c r="Z256" s="366"/>
      <c r="AA256" s="366"/>
      <c r="AB256" s="366"/>
      <c r="AC256" s="367"/>
      <c r="AD256" s="107"/>
      <c r="AE256" s="68"/>
    </row>
    <row r="257" spans="1:31" ht="30.75" thickBot="1">
      <c r="A257" s="57" t="s">
        <v>738</v>
      </c>
      <c r="B257" s="56" t="s">
        <v>739</v>
      </c>
      <c r="C257" s="772" t="s">
        <v>740</v>
      </c>
      <c r="D257" s="773"/>
      <c r="E257" s="773"/>
      <c r="F257" s="773"/>
      <c r="G257" s="773"/>
      <c r="H257" s="773"/>
      <c r="I257" s="773"/>
      <c r="J257" s="773"/>
      <c r="K257" s="773"/>
      <c r="L257" s="773"/>
      <c r="M257" s="773"/>
      <c r="N257" s="773"/>
      <c r="O257" s="773"/>
      <c r="P257" s="773"/>
      <c r="Q257" s="773"/>
      <c r="R257" s="773"/>
      <c r="S257" s="773"/>
      <c r="T257" s="773"/>
      <c r="U257" s="773"/>
      <c r="V257" s="773"/>
      <c r="W257" s="773"/>
      <c r="X257" s="124"/>
      <c r="Y257" s="124"/>
      <c r="Z257" s="124"/>
      <c r="AA257" s="124"/>
      <c r="AB257" s="124"/>
      <c r="AC257" s="125"/>
      <c r="AD257" s="107"/>
      <c r="AE257" s="68"/>
    </row>
    <row r="258" spans="1:31" ht="30.75" thickBot="1">
      <c r="A258" s="214" t="s">
        <v>741</v>
      </c>
      <c r="B258" s="259" t="s">
        <v>742</v>
      </c>
      <c r="C258" s="772" t="s">
        <v>743</v>
      </c>
      <c r="D258" s="773"/>
      <c r="E258" s="773"/>
      <c r="F258" s="773"/>
      <c r="G258" s="773"/>
      <c r="H258" s="773"/>
      <c r="I258" s="773"/>
      <c r="J258" s="773"/>
      <c r="K258" s="856"/>
      <c r="L258" s="772" t="s">
        <v>744</v>
      </c>
      <c r="M258" s="773"/>
      <c r="N258" s="773"/>
      <c r="O258" s="773"/>
      <c r="P258" s="773"/>
      <c r="Q258" s="773"/>
      <c r="R258" s="773"/>
      <c r="S258" s="773"/>
      <c r="T258" s="773"/>
      <c r="U258" s="773"/>
      <c r="V258" s="773"/>
      <c r="W258" s="773"/>
      <c r="X258" s="773"/>
      <c r="Y258" s="773"/>
      <c r="Z258" s="773"/>
      <c r="AA258" s="773"/>
      <c r="AB258" s="773"/>
      <c r="AC258" s="774"/>
      <c r="AD258" s="107"/>
      <c r="AE258" s="68"/>
    </row>
    <row r="259" spans="1:31" ht="15" customHeight="1">
      <c r="A259" s="754" t="s">
        <v>247</v>
      </c>
      <c r="B259" s="816" t="s">
        <v>745</v>
      </c>
      <c r="C259" s="89">
        <f t="shared" si="110" ref="C259:AC259">C263/$X$263</f>
        <v>0.57442034405385189</v>
      </c>
      <c r="D259" s="89">
        <f t="shared" si="110"/>
        <v>0.59536275243081527</v>
      </c>
      <c r="E259" s="89">
        <f t="shared" si="110"/>
        <v>0.60134629768137626</v>
      </c>
      <c r="F259" s="89">
        <f t="shared" si="110"/>
        <v>0.62079281974569933</v>
      </c>
      <c r="G259" s="89">
        <f t="shared" si="110"/>
        <v>0.6394913986537023</v>
      </c>
      <c r="H259" s="89">
        <f t="shared" si="110"/>
        <v>0.6432311144353029</v>
      </c>
      <c r="I259" s="89">
        <f t="shared" si="110"/>
        <v>0.66866118175018696</v>
      </c>
      <c r="J259" s="89">
        <f t="shared" si="110"/>
        <v>0.7120418848167539</v>
      </c>
      <c r="K259" s="89">
        <f t="shared" si="110"/>
        <v>0.74794315632011965</v>
      </c>
      <c r="L259" s="89">
        <f t="shared" si="110"/>
        <v>0.77187733732236352</v>
      </c>
      <c r="M259" s="89">
        <f t="shared" si="110"/>
        <v>0.81750186985789075</v>
      </c>
      <c r="N259" s="89">
        <f t="shared" si="110"/>
        <v>0.84816753926701571</v>
      </c>
      <c r="O259" s="89">
        <f t="shared" si="110"/>
        <v>0.86237845923709799</v>
      </c>
      <c r="P259" s="89">
        <f t="shared" si="110"/>
        <v>0.88182498130142106</v>
      </c>
      <c r="Q259" s="89">
        <f t="shared" si="110"/>
        <v>0.91249065071054603</v>
      </c>
      <c r="R259" s="89">
        <f t="shared" si="110"/>
        <v>0.91922213911742712</v>
      </c>
      <c r="S259" s="89">
        <f t="shared" si="110"/>
        <v>0.92296185489902771</v>
      </c>
      <c r="T259" s="89">
        <f t="shared" si="110"/>
        <v>0.95961106955871356</v>
      </c>
      <c r="U259" s="89">
        <f t="shared" si="110"/>
        <v>0.96335078534031415</v>
      </c>
      <c r="V259" s="89">
        <f t="shared" si="110"/>
        <v>0.99626028421839941</v>
      </c>
      <c r="W259" s="89">
        <f t="shared" si="110"/>
        <v>0.9970082273747195</v>
      </c>
      <c r="X259" s="137">
        <f>X263/$X$263</f>
        <v>1</v>
      </c>
      <c r="Y259" s="89">
        <f t="shared" si="110"/>
        <v>1.0396409872849663</v>
      </c>
      <c r="Z259" s="89">
        <f t="shared" si="110"/>
        <v>1.0433807030665669</v>
      </c>
      <c r="AA259" s="89">
        <f t="shared" si="110"/>
        <v>1.0478683620044877</v>
      </c>
      <c r="AB259" s="89">
        <f t="shared" si="110"/>
        <v>1.0845175766641735</v>
      </c>
      <c r="AC259" s="120">
        <f t="shared" si="110"/>
        <v>1.0845175766641735</v>
      </c>
      <c r="AD259" s="107" t="s">
        <v>395</v>
      </c>
      <c r="AE259" s="68">
        <v>200</v>
      </c>
    </row>
    <row r="260" spans="1:31" ht="15" customHeight="1">
      <c r="A260" s="783"/>
      <c r="B260" s="836"/>
      <c r="C260" s="121">
        <f t="shared" si="111" ref="C260:W260">C259*3*2</f>
        <v>3.4465220643231111</v>
      </c>
      <c r="D260" s="121">
        <f t="shared" si="111"/>
        <v>3.5721765145848918</v>
      </c>
      <c r="E260" s="121">
        <f t="shared" si="111"/>
        <v>3.6080777860882574</v>
      </c>
      <c r="F260" s="121">
        <f t="shared" si="111"/>
        <v>3.724756918474196</v>
      </c>
      <c r="G260" s="121">
        <f t="shared" si="111"/>
        <v>3.8369483919222138</v>
      </c>
      <c r="H260" s="121">
        <f t="shared" si="111"/>
        <v>3.8593866866118174</v>
      </c>
      <c r="I260" s="121">
        <f t="shared" si="111"/>
        <v>4.0119670905011215</v>
      </c>
      <c r="J260" s="121">
        <f t="shared" si="111"/>
        <v>4.2722513089005236</v>
      </c>
      <c r="K260" s="121">
        <f t="shared" si="111"/>
        <v>4.4876589379207177</v>
      </c>
      <c r="L260" s="121">
        <f t="shared" si="111"/>
        <v>4.6312640239341807</v>
      </c>
      <c r="M260" s="121">
        <f t="shared" si="111"/>
        <v>4.9050112191473447</v>
      </c>
      <c r="N260" s="121">
        <f t="shared" si="111"/>
        <v>5.0890052356020945</v>
      </c>
      <c r="O260" s="121">
        <f t="shared" si="111"/>
        <v>5.1742707554225884</v>
      </c>
      <c r="P260" s="121">
        <f t="shared" si="111"/>
        <v>5.2909498878085266</v>
      </c>
      <c r="Q260" s="121">
        <f t="shared" si="111"/>
        <v>5.4749439042632764</v>
      </c>
      <c r="R260" s="121">
        <f t="shared" si="111"/>
        <v>5.5153328347045623</v>
      </c>
      <c r="S260" s="121">
        <f t="shared" si="111"/>
        <v>5.5377711293941658</v>
      </c>
      <c r="T260" s="121">
        <f t="shared" si="111"/>
        <v>5.7576664173522811</v>
      </c>
      <c r="U260" s="121">
        <f t="shared" si="111"/>
        <v>5.7801047120418847</v>
      </c>
      <c r="V260" s="121">
        <f t="shared" si="111"/>
        <v>5.9775617053103964</v>
      </c>
      <c r="W260" s="121">
        <f t="shared" si="111"/>
        <v>5.9820493642483168</v>
      </c>
      <c r="X260" s="368">
        <f>X259*3*2</f>
        <v>6</v>
      </c>
      <c r="Y260" s="121">
        <f t="shared" si="112" ref="Y260:AC260">Y259*3*2</f>
        <v>6.2378459237097985</v>
      </c>
      <c r="Z260" s="121">
        <f t="shared" si="112"/>
        <v>6.2602842183994021</v>
      </c>
      <c r="AA260" s="121">
        <f t="shared" si="112"/>
        <v>6.287210172026926</v>
      </c>
      <c r="AB260" s="121">
        <f t="shared" si="112"/>
        <v>6.5071054599850413</v>
      </c>
      <c r="AC260" s="123">
        <f t="shared" si="112"/>
        <v>6.5071054599850413</v>
      </c>
      <c r="AD260" s="107" t="s">
        <v>393</v>
      </c>
      <c r="AE260" s="68"/>
    </row>
    <row r="261" spans="1:31" ht="15" customHeight="1">
      <c r="A261" s="783"/>
      <c r="B261" s="836"/>
      <c r="C261" s="80">
        <f t="shared" si="113" ref="C261:W261">C260*$AE$259</f>
        <v>689.30441286462224</v>
      </c>
      <c r="D261" s="80">
        <f t="shared" si="113"/>
        <v>714.43530291697834</v>
      </c>
      <c r="E261" s="80">
        <f t="shared" si="113"/>
        <v>721.61555721765149</v>
      </c>
      <c r="F261" s="80">
        <f t="shared" si="113"/>
        <v>744.95138369483925</v>
      </c>
      <c r="G261" s="80">
        <f t="shared" si="113"/>
        <v>767.38967838444273</v>
      </c>
      <c r="H261" s="80">
        <f t="shared" si="113"/>
        <v>771.87733732236347</v>
      </c>
      <c r="I261" s="80">
        <f t="shared" si="113"/>
        <v>802.39341810022427</v>
      </c>
      <c r="J261" s="80">
        <f t="shared" si="113"/>
        <v>854.45026178010471</v>
      </c>
      <c r="K261" s="80">
        <f t="shared" si="113"/>
        <v>897.53178758414356</v>
      </c>
      <c r="L261" s="80">
        <f t="shared" si="113"/>
        <v>926.25280478683612</v>
      </c>
      <c r="M261" s="80">
        <f t="shared" si="113"/>
        <v>981.00224382946897</v>
      </c>
      <c r="N261" s="80">
        <f t="shared" si="113"/>
        <v>1017.8010471204188</v>
      </c>
      <c r="O261" s="80">
        <f t="shared" si="113"/>
        <v>1034.8541510845178</v>
      </c>
      <c r="P261" s="80">
        <f t="shared" si="113"/>
        <v>1058.1899775617053</v>
      </c>
      <c r="Q261" s="80">
        <f t="shared" si="113"/>
        <v>1094.9887808526553</v>
      </c>
      <c r="R261" s="80">
        <f t="shared" si="113"/>
        <v>1103.0665669409125</v>
      </c>
      <c r="S261" s="80">
        <f t="shared" si="113"/>
        <v>1107.5542258788332</v>
      </c>
      <c r="T261" s="80">
        <f t="shared" si="113"/>
        <v>1151.5332834704561</v>
      </c>
      <c r="U261" s="80">
        <f t="shared" si="113"/>
        <v>1156.0209424083769</v>
      </c>
      <c r="V261" s="80">
        <f t="shared" si="113"/>
        <v>1195.5123410620793</v>
      </c>
      <c r="W261" s="80">
        <f t="shared" si="113"/>
        <v>1196.4098728496633</v>
      </c>
      <c r="X261" s="321">
        <f>X260*$AE$259</f>
        <v>1200</v>
      </c>
      <c r="Y261" s="80">
        <f t="shared" si="114" ref="Y261:AC261">Y260*$AE$259</f>
        <v>1247.5691847419598</v>
      </c>
      <c r="Z261" s="80">
        <f t="shared" si="114"/>
        <v>1252.0568436798803</v>
      </c>
      <c r="AA261" s="80">
        <f t="shared" si="114"/>
        <v>1257.4420344053851</v>
      </c>
      <c r="AB261" s="80">
        <f t="shared" si="114"/>
        <v>1301.4210919970083</v>
      </c>
      <c r="AC261" s="197">
        <f t="shared" si="114"/>
        <v>1301.4210919970083</v>
      </c>
      <c r="AD261" s="107" t="s">
        <v>378</v>
      </c>
      <c r="AE261" s="68"/>
    </row>
    <row r="262" spans="1:31" ht="15" customHeight="1">
      <c r="A262" s="783"/>
      <c r="B262" s="836"/>
      <c r="C262" s="314">
        <f t="shared" si="115" ref="C262:AC262">$AC$2/C260*2</f>
        <v>5.8029513888888893</v>
      </c>
      <c r="D262" s="314">
        <f t="shared" si="115"/>
        <v>5.5988274706867669</v>
      </c>
      <c r="E262" s="314">
        <f t="shared" si="115"/>
        <v>5.5431177446102815</v>
      </c>
      <c r="F262" s="314">
        <f t="shared" si="115"/>
        <v>5.3694779116465865</v>
      </c>
      <c r="G262" s="314">
        <f t="shared" si="115"/>
        <v>5.2124756335282649</v>
      </c>
      <c r="H262" s="314">
        <f t="shared" si="115"/>
        <v>5.1821705426356592</v>
      </c>
      <c r="I262" s="314">
        <f t="shared" si="115"/>
        <v>4.9850857568978375</v>
      </c>
      <c r="J262" s="314">
        <f t="shared" si="115"/>
        <v>4.6813725490196081</v>
      </c>
      <c r="K262" s="314">
        <f t="shared" si="115"/>
        <v>4.456666666666667</v>
      </c>
      <c r="L262" s="314">
        <f t="shared" si="115"/>
        <v>4.3184754521963828</v>
      </c>
      <c r="M262" s="314">
        <f t="shared" si="115"/>
        <v>4.0774626410491006</v>
      </c>
      <c r="N262" s="314">
        <f t="shared" si="115"/>
        <v>3.9300411522633745</v>
      </c>
      <c r="O262" s="314">
        <f t="shared" si="115"/>
        <v>3.865278982364845</v>
      </c>
      <c r="P262" s="314">
        <f t="shared" si="115"/>
        <v>3.780039581566299</v>
      </c>
      <c r="Q262" s="314">
        <f t="shared" si="115"/>
        <v>3.653005464480874</v>
      </c>
      <c r="R262" s="314">
        <f t="shared" si="115"/>
        <v>3.6262544073772718</v>
      </c>
      <c r="S262" s="314">
        <f t="shared" si="115"/>
        <v>3.611561318206375</v>
      </c>
      <c r="T262" s="314">
        <f t="shared" si="115"/>
        <v>3.4736295141595219</v>
      </c>
      <c r="U262" s="314">
        <f t="shared" si="115"/>
        <v>3.4601449275362319</v>
      </c>
      <c r="V262" s="314">
        <f t="shared" si="115"/>
        <v>3.345845845845846</v>
      </c>
      <c r="W262" s="314">
        <f t="shared" si="115"/>
        <v>3.34333583395849</v>
      </c>
      <c r="X262" s="322">
        <f>$AC$2/X260*2</f>
        <v>3.3333333333333335</v>
      </c>
      <c r="Y262" s="314">
        <f t="shared" si="115"/>
        <v>3.2062350119904073</v>
      </c>
      <c r="Z262" s="314">
        <f t="shared" si="115"/>
        <v>3.1947431302270011</v>
      </c>
      <c r="AA262" s="314">
        <f t="shared" si="115"/>
        <v>3.1810611467999048</v>
      </c>
      <c r="AB262" s="314">
        <f t="shared" si="115"/>
        <v>3.0735632183908046</v>
      </c>
      <c r="AC262" s="315">
        <f t="shared" si="115"/>
        <v>3.0735632183908046</v>
      </c>
      <c r="AD262" s="107" t="s">
        <v>376</v>
      </c>
      <c r="AE262" s="68"/>
    </row>
    <row r="263" spans="1:31" ht="15.75" thickBot="1">
      <c r="A263" s="755"/>
      <c r="B263" s="817"/>
      <c r="C263" s="77">
        <v>1536</v>
      </c>
      <c r="D263" s="77">
        <v>1592</v>
      </c>
      <c r="E263" s="77">
        <v>1608</v>
      </c>
      <c r="F263" s="77">
        <v>1660</v>
      </c>
      <c r="G263" s="77">
        <v>1710</v>
      </c>
      <c r="H263" s="77">
        <v>1720</v>
      </c>
      <c r="I263" s="77">
        <v>1788</v>
      </c>
      <c r="J263" s="77">
        <v>1904</v>
      </c>
      <c r="K263" s="77">
        <v>2000</v>
      </c>
      <c r="L263" s="77">
        <v>2064</v>
      </c>
      <c r="M263" s="77">
        <v>2186</v>
      </c>
      <c r="N263" s="77">
        <v>2268</v>
      </c>
      <c r="O263" s="77">
        <v>2306</v>
      </c>
      <c r="P263" s="77">
        <v>2358</v>
      </c>
      <c r="Q263" s="77">
        <v>2440</v>
      </c>
      <c r="R263" s="77">
        <v>2458</v>
      </c>
      <c r="S263" s="77">
        <v>2468</v>
      </c>
      <c r="T263" s="77">
        <v>2566</v>
      </c>
      <c r="U263" s="77">
        <v>2576</v>
      </c>
      <c r="V263" s="77">
        <v>2664</v>
      </c>
      <c r="W263" s="77">
        <v>2666</v>
      </c>
      <c r="X263" s="77">
        <v>2674</v>
      </c>
      <c r="Y263" s="77">
        <v>2780</v>
      </c>
      <c r="Z263" s="77">
        <v>2790</v>
      </c>
      <c r="AA263" s="77">
        <v>2802</v>
      </c>
      <c r="AB263" s="77">
        <v>2900</v>
      </c>
      <c r="AC263" s="104">
        <v>2900</v>
      </c>
      <c r="AD263" s="107" t="s">
        <v>586</v>
      </c>
      <c r="AE263" s="68"/>
    </row>
    <row r="264" spans="1:32" ht="15.75">
      <c r="A264" s="758" t="s">
        <v>250</v>
      </c>
      <c r="B264" s="857" t="s">
        <v>746</v>
      </c>
      <c r="C264" s="102">
        <f t="shared" si="116" ref="C264:AC264">C146/$AF$264</f>
        <v>2.5846528094524537</v>
      </c>
      <c r="D264" s="102">
        <f t="shared" si="116"/>
        <v>2.4937353739440762</v>
      </c>
      <c r="E264" s="102">
        <f t="shared" si="116"/>
        <v>2.4689220866411499</v>
      </c>
      <c r="F264" s="102">
        <f t="shared" si="116"/>
        <v>2.3915823586258846</v>
      </c>
      <c r="G264" s="102">
        <f t="shared" si="116"/>
        <v>2.3216530498941341</v>
      </c>
      <c r="H264" s="102">
        <f t="shared" si="116"/>
        <v>2.3081550670459121</v>
      </c>
      <c r="I264" s="102">
        <f t="shared" si="116"/>
        <v>2.2203728832880136</v>
      </c>
      <c r="J264" s="102">
        <f t="shared" si="116"/>
        <v>2.0850980647683661</v>
      </c>
      <c r="K264" s="102">
        <f t="shared" si="116"/>
        <v>1.9850133576594844</v>
      </c>
      <c r="L264" s="102">
        <f t="shared" si="116"/>
        <v>1.9234625558715934</v>
      </c>
      <c r="M264" s="102">
        <f t="shared" si="116"/>
        <v>1.8161146913627486</v>
      </c>
      <c r="N264" s="102">
        <f t="shared" si="116"/>
        <v>1.7504526963487517</v>
      </c>
      <c r="O264" s="102">
        <f t="shared" si="116"/>
        <v>1.7216074220810795</v>
      </c>
      <c r="P264" s="102">
        <f t="shared" si="116"/>
        <v>1.683641524732387</v>
      </c>
      <c r="Q264" s="102">
        <f t="shared" si="116"/>
        <v>1.6270601292290854</v>
      </c>
      <c r="R264" s="102">
        <f t="shared" si="116"/>
        <v>1.6151451242143893</v>
      </c>
      <c r="S264" s="102">
        <f t="shared" si="116"/>
        <v>1.6086007760611707</v>
      </c>
      <c r="T264" s="102">
        <f t="shared" si="116"/>
        <v>1.5471655164921934</v>
      </c>
      <c r="U264" s="102">
        <f t="shared" si="116"/>
        <v>1.5411594391766184</v>
      </c>
      <c r="V264" s="102">
        <f t="shared" si="116"/>
        <v>1.4902502685131265</v>
      </c>
      <c r="W264" s="102">
        <f t="shared" si="116"/>
        <v>1.4891323013199433</v>
      </c>
      <c r="X264" s="102">
        <f t="shared" si="116"/>
        <v>1.4846771560654333</v>
      </c>
      <c r="Y264" s="102">
        <f t="shared" si="116"/>
        <v>1.4280671637838018</v>
      </c>
      <c r="Z264" s="102">
        <f t="shared" si="116"/>
        <v>1.4229486434835013</v>
      </c>
      <c r="AA264" s="102">
        <f t="shared" si="116"/>
        <v>1.4168546450103385</v>
      </c>
      <c r="AB264" s="102">
        <f t="shared" si="116"/>
        <v>1.368974729420334</v>
      </c>
      <c r="AC264" s="102">
        <f t="shared" si="116"/>
        <v>1.368974729420334</v>
      </c>
      <c r="AD264" s="107"/>
      <c r="AE264" s="68"/>
      <c r="AF264">
        <v>2.08683473389355</v>
      </c>
    </row>
    <row r="265" spans="1:31" ht="15.75">
      <c r="A265" s="759"/>
      <c r="B265" s="858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13"/>
      <c r="AD265" s="107"/>
      <c r="AE265" s="68"/>
    </row>
    <row r="266" spans="1:31" ht="15.75" thickBot="1">
      <c r="A266" s="760"/>
      <c r="B266" s="859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  <c r="AA266" s="77"/>
      <c r="AB266" s="77"/>
      <c r="AC266" s="104"/>
      <c r="AD266" s="107"/>
      <c r="AE266" s="68"/>
    </row>
    <row r="267" spans="1:31" ht="15.75">
      <c r="A267" s="754" t="s">
        <v>252</v>
      </c>
      <c r="B267" s="756" t="s">
        <v>747</v>
      </c>
      <c r="C267" s="89"/>
      <c r="D267" s="89"/>
      <c r="E267" s="89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  <c r="AA267" s="89"/>
      <c r="AB267" s="89"/>
      <c r="AC267" s="120"/>
      <c r="AD267" s="107"/>
      <c r="AE267" s="68"/>
    </row>
    <row r="268" spans="1:31" ht="15.75" thickBot="1">
      <c r="A268" s="755"/>
      <c r="B268" s="75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  <c r="AA268" s="77"/>
      <c r="AB268" s="77"/>
      <c r="AC268" s="104"/>
      <c r="AD268" s="107"/>
      <c r="AE268" s="68"/>
    </row>
    <row r="269" spans="1:31" ht="30.75">
      <c r="A269" s="59" t="s">
        <v>254</v>
      </c>
      <c r="B269" s="369" t="s">
        <v>748</v>
      </c>
      <c r="C269" s="90"/>
      <c r="D269" s="90"/>
      <c r="E269" s="90"/>
      <c r="F269" s="90"/>
      <c r="G269" s="90"/>
      <c r="H269" s="90"/>
      <c r="I269" s="90"/>
      <c r="J269" s="90"/>
      <c r="K269" s="90"/>
      <c r="L269" s="90"/>
      <c r="M269" s="90"/>
      <c r="N269" s="90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  <c r="AA269" s="90"/>
      <c r="AB269" s="90"/>
      <c r="AC269" s="90"/>
      <c r="AD269" s="107"/>
      <c r="AE269" s="68"/>
    </row>
    <row r="270" spans="1:31" ht="15.75">
      <c r="A270" s="57" t="s">
        <v>234</v>
      </c>
      <c r="B270" s="19" t="s">
        <v>749</v>
      </c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07"/>
      <c r="AE270" s="68"/>
    </row>
    <row r="271" spans="1:31" ht="15.75">
      <c r="A271" s="57" t="s">
        <v>257</v>
      </c>
      <c r="B271" s="19" t="s">
        <v>750</v>
      </c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07"/>
      <c r="AE271" s="68"/>
    </row>
    <row r="272" spans="1:31" ht="15.75">
      <c r="A272" s="57" t="s">
        <v>271</v>
      </c>
      <c r="B272" s="27" t="s">
        <v>751</v>
      </c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07"/>
      <c r="AE272" s="68"/>
    </row>
    <row r="273" spans="1:31" ht="30.75">
      <c r="A273" s="57" t="s">
        <v>272</v>
      </c>
      <c r="B273" s="19" t="s">
        <v>752</v>
      </c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07"/>
      <c r="AE273" s="68"/>
    </row>
    <row r="274" spans="1:31" ht="15" customHeight="1">
      <c r="A274" s="650" t="s">
        <v>265</v>
      </c>
      <c r="B274" s="638" t="s">
        <v>753</v>
      </c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07"/>
      <c r="AE274" s="68"/>
    </row>
    <row r="275" spans="1:31" ht="15.75">
      <c r="A275" s="650"/>
      <c r="B275" s="638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07"/>
      <c r="AE275" s="68"/>
    </row>
    <row r="276" spans="1:31" ht="30.75">
      <c r="A276" s="57" t="s">
        <v>754</v>
      </c>
      <c r="B276" s="269" t="s">
        <v>755</v>
      </c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07"/>
      <c r="AE276" s="68"/>
    </row>
    <row r="277" spans="1:31" ht="15.75">
      <c r="A277" s="650" t="s">
        <v>756</v>
      </c>
      <c r="B277" s="648" t="s">
        <v>757</v>
      </c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07"/>
      <c r="AE277" s="68"/>
    </row>
    <row r="278" spans="1:31" ht="15.75">
      <c r="A278" s="650"/>
      <c r="B278" s="648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07"/>
      <c r="AE278" s="68"/>
    </row>
    <row r="279" spans="1:31" ht="15.75">
      <c r="A279" s="650"/>
      <c r="B279" s="648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07"/>
      <c r="AE279" s="68"/>
    </row>
    <row r="280" spans="1:31" ht="30.75">
      <c r="A280" s="13" t="s">
        <v>267</v>
      </c>
      <c r="B280" s="269" t="s">
        <v>758</v>
      </c>
      <c r="C280" s="824" t="s">
        <v>759</v>
      </c>
      <c r="D280" s="825"/>
      <c r="E280" s="825"/>
      <c r="F280" s="825"/>
      <c r="G280" s="825"/>
      <c r="H280" s="825"/>
      <c r="I280" s="825"/>
      <c r="J280" s="825"/>
      <c r="K280" s="825"/>
      <c r="L280" s="825"/>
      <c r="M280" s="825"/>
      <c r="N280" s="825"/>
      <c r="O280" s="825"/>
      <c r="P280" s="825"/>
      <c r="Q280" s="825"/>
      <c r="R280" s="825"/>
      <c r="S280" s="825"/>
      <c r="T280" s="825"/>
      <c r="U280" s="825"/>
      <c r="V280" s="825"/>
      <c r="W280" s="826"/>
      <c r="X280" s="824" t="s">
        <v>760</v>
      </c>
      <c r="Y280" s="825"/>
      <c r="Z280" s="825"/>
      <c r="AA280" s="825"/>
      <c r="AB280" s="825"/>
      <c r="AC280" s="826"/>
      <c r="AD280" s="107"/>
      <c r="AE280" s="68"/>
    </row>
    <row r="281" spans="1:31" ht="30.75">
      <c r="A281" s="57" t="s">
        <v>268</v>
      </c>
      <c r="B281" s="56" t="s">
        <v>761</v>
      </c>
      <c r="C281" s="824" t="s">
        <v>759</v>
      </c>
      <c r="D281" s="825"/>
      <c r="E281" s="825"/>
      <c r="F281" s="825"/>
      <c r="G281" s="825"/>
      <c r="H281" s="825"/>
      <c r="I281" s="825"/>
      <c r="J281" s="825"/>
      <c r="K281" s="825"/>
      <c r="L281" s="825"/>
      <c r="M281" s="825"/>
      <c r="N281" s="825"/>
      <c r="O281" s="825"/>
      <c r="P281" s="825"/>
      <c r="Q281" s="825"/>
      <c r="R281" s="825"/>
      <c r="S281" s="825"/>
      <c r="T281" s="825"/>
      <c r="U281" s="825"/>
      <c r="V281" s="825"/>
      <c r="W281" s="826"/>
      <c r="X281" s="824" t="s">
        <v>760</v>
      </c>
      <c r="Y281" s="825"/>
      <c r="Z281" s="825"/>
      <c r="AA281" s="825"/>
      <c r="AB281" s="825"/>
      <c r="AC281" s="826"/>
      <c r="AD281" s="107"/>
      <c r="AE281" s="68"/>
    </row>
    <row r="282" spans="1:31" ht="30.75">
      <c r="A282" s="271" t="s">
        <v>762</v>
      </c>
      <c r="B282" s="272" t="s">
        <v>763</v>
      </c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107"/>
      <c r="AE282" s="68"/>
    </row>
    <row r="283" spans="1:31" ht="30.75">
      <c r="A283" s="271" t="s">
        <v>764</v>
      </c>
      <c r="B283" s="272" t="s">
        <v>765</v>
      </c>
      <c r="C283" s="61"/>
      <c r="D283" s="61"/>
      <c r="E283" s="61"/>
      <c r="F283" s="62"/>
      <c r="G283" s="63"/>
      <c r="H283" s="62"/>
      <c r="I283" s="62"/>
      <c r="J283" s="370"/>
      <c r="K283" s="62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107"/>
      <c r="AE283" s="68"/>
    </row>
    <row r="284" spans="1:31" ht="15" customHeight="1">
      <c r="A284" s="650" t="s">
        <v>279</v>
      </c>
      <c r="B284" s="638" t="s">
        <v>766</v>
      </c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07"/>
      <c r="AE284" s="68"/>
    </row>
    <row r="285" spans="1:31" ht="15.75">
      <c r="A285" s="650"/>
      <c r="B285" s="638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07"/>
      <c r="AE285" s="68"/>
    </row>
    <row r="286" spans="1:31" ht="15.75">
      <c r="A286" s="650"/>
      <c r="B286" s="638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07"/>
      <c r="AE286" s="68"/>
    </row>
    <row r="287" spans="1:31" ht="15" customHeight="1">
      <c r="A287" s="637" t="s">
        <v>274</v>
      </c>
      <c r="B287" s="638" t="s">
        <v>767</v>
      </c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07"/>
      <c r="AE287" s="68"/>
    </row>
    <row r="288" spans="1:31" ht="15.75">
      <c r="A288" s="637"/>
      <c r="B288" s="638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07"/>
      <c r="AE288" s="68"/>
    </row>
    <row r="289" spans="1:31" ht="15.75">
      <c r="A289" s="650" t="s">
        <v>281</v>
      </c>
      <c r="B289" s="638" t="s">
        <v>253</v>
      </c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07"/>
      <c r="AE289" s="68"/>
    </row>
    <row r="290" spans="1:31" ht="15.75">
      <c r="A290" s="650"/>
      <c r="B290" s="638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07"/>
      <c r="AE290" s="68"/>
    </row>
    <row r="291" spans="1:31" ht="15.75">
      <c r="A291" s="650"/>
      <c r="B291" s="638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07"/>
      <c r="AE291" s="68"/>
    </row>
    <row r="292" spans="1:31" ht="30.75" thickBot="1">
      <c r="A292" s="58" t="s">
        <v>282</v>
      </c>
      <c r="B292" s="55" t="s">
        <v>768</v>
      </c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107"/>
      <c r="AE292" s="68"/>
    </row>
    <row r="293" spans="1:31" ht="15.75">
      <c r="A293" s="765" t="s">
        <v>284</v>
      </c>
      <c r="B293" s="756" t="s">
        <v>769</v>
      </c>
      <c r="C293" s="89">
        <f t="shared" si="117" ref="C293:W293">C297/$X$263</f>
        <v>0.57442034405385189</v>
      </c>
      <c r="D293" s="89">
        <f t="shared" si="117"/>
        <v>0.59536275243081527</v>
      </c>
      <c r="E293" s="89">
        <f t="shared" si="117"/>
        <v>0.60134629768137626</v>
      </c>
      <c r="F293" s="89">
        <f t="shared" si="117"/>
        <v>0.62079281974569933</v>
      </c>
      <c r="G293" s="89">
        <f t="shared" si="117"/>
        <v>0.6394913986537023</v>
      </c>
      <c r="H293" s="89">
        <f t="shared" si="117"/>
        <v>0.6432311144353029</v>
      </c>
      <c r="I293" s="89">
        <f t="shared" si="117"/>
        <v>0.66866118175018696</v>
      </c>
      <c r="J293" s="89">
        <f t="shared" si="117"/>
        <v>0.7120418848167539</v>
      </c>
      <c r="K293" s="89">
        <f t="shared" si="117"/>
        <v>0.74794315632011965</v>
      </c>
      <c r="L293" s="89">
        <f t="shared" si="117"/>
        <v>0.77187733732236352</v>
      </c>
      <c r="M293" s="89">
        <f t="shared" si="117"/>
        <v>0.81750186985789075</v>
      </c>
      <c r="N293" s="89">
        <f t="shared" si="117"/>
        <v>0.84816753926701571</v>
      </c>
      <c r="O293" s="89">
        <f t="shared" si="117"/>
        <v>0.86237845923709799</v>
      </c>
      <c r="P293" s="89">
        <f t="shared" si="117"/>
        <v>0.88182498130142106</v>
      </c>
      <c r="Q293" s="89">
        <f t="shared" si="117"/>
        <v>0.91249065071054603</v>
      </c>
      <c r="R293" s="89">
        <f t="shared" si="117"/>
        <v>0.91922213911742712</v>
      </c>
      <c r="S293" s="89">
        <f t="shared" si="117"/>
        <v>0.92296185489902771</v>
      </c>
      <c r="T293" s="89">
        <f t="shared" si="117"/>
        <v>0.95961106955871356</v>
      </c>
      <c r="U293" s="89">
        <f t="shared" si="117"/>
        <v>0.96335078534031415</v>
      </c>
      <c r="V293" s="89">
        <f t="shared" si="117"/>
        <v>0.99626028421839941</v>
      </c>
      <c r="W293" s="89">
        <f t="shared" si="117"/>
        <v>0.9970082273747195</v>
      </c>
      <c r="X293" s="137">
        <f>X297/$X$263</f>
        <v>1</v>
      </c>
      <c r="Y293" s="89">
        <f t="shared" si="118" ref="Y293:AC293">Y297/$X$263</f>
        <v>1.0396409872849663</v>
      </c>
      <c r="Z293" s="89">
        <f t="shared" si="118"/>
        <v>1.0433807030665669</v>
      </c>
      <c r="AA293" s="89">
        <f t="shared" si="118"/>
        <v>1.0478683620044877</v>
      </c>
      <c r="AB293" s="89">
        <f t="shared" si="118"/>
        <v>1.0845175766641735</v>
      </c>
      <c r="AC293" s="120">
        <f t="shared" si="118"/>
        <v>1.0845175766641735</v>
      </c>
      <c r="AD293" s="107" t="s">
        <v>395</v>
      </c>
      <c r="AE293" s="68">
        <v>200</v>
      </c>
    </row>
    <row r="294" spans="1:31" ht="15.75">
      <c r="A294" s="794"/>
      <c r="B294" s="641"/>
      <c r="C294" s="371">
        <f t="shared" si="119" ref="C294:W294">C293*4*2</f>
        <v>4.5953627524308152</v>
      </c>
      <c r="D294" s="371">
        <f t="shared" si="119"/>
        <v>4.7629020194465221</v>
      </c>
      <c r="E294" s="371">
        <f t="shared" si="119"/>
        <v>4.8107703814510101</v>
      </c>
      <c r="F294" s="371">
        <f t="shared" si="119"/>
        <v>4.9663425579655947</v>
      </c>
      <c r="G294" s="371">
        <f t="shared" si="119"/>
        <v>5.1159311892296184</v>
      </c>
      <c r="H294" s="371">
        <f t="shared" si="119"/>
        <v>5.1458489154824232</v>
      </c>
      <c r="I294" s="371">
        <f t="shared" si="119"/>
        <v>5.3492894540014957</v>
      </c>
      <c r="J294" s="371">
        <f t="shared" si="119"/>
        <v>5.6963350785340312</v>
      </c>
      <c r="K294" s="371">
        <f t="shared" si="119"/>
        <v>5.9835452505609572</v>
      </c>
      <c r="L294" s="371">
        <f t="shared" si="119"/>
        <v>6.1750186985789082</v>
      </c>
      <c r="M294" s="371">
        <f t="shared" si="119"/>
        <v>6.540014958863126</v>
      </c>
      <c r="N294" s="371">
        <f t="shared" si="119"/>
        <v>6.7853403141361257</v>
      </c>
      <c r="O294" s="371">
        <f t="shared" si="119"/>
        <v>6.899027673896784</v>
      </c>
      <c r="P294" s="371">
        <f t="shared" si="119"/>
        <v>7.0545998504113685</v>
      </c>
      <c r="Q294" s="371">
        <f t="shared" si="119"/>
        <v>7.2999252056843682</v>
      </c>
      <c r="R294" s="371">
        <f t="shared" si="119"/>
        <v>7.3537771129394169</v>
      </c>
      <c r="S294" s="371">
        <f t="shared" si="119"/>
        <v>7.3836948391922217</v>
      </c>
      <c r="T294" s="371">
        <f t="shared" si="119"/>
        <v>7.6768885564697085</v>
      </c>
      <c r="U294" s="371">
        <f t="shared" si="119"/>
        <v>7.7068062827225132</v>
      </c>
      <c r="V294" s="371">
        <f t="shared" si="119"/>
        <v>7.9700822737471952</v>
      </c>
      <c r="W294" s="371">
        <f t="shared" si="119"/>
        <v>7.976065818997756</v>
      </c>
      <c r="X294" s="368">
        <f>X293*4*2</f>
        <v>8</v>
      </c>
      <c r="Y294" s="371">
        <f t="shared" si="120" ref="Y294:AC294">Y293*4*2</f>
        <v>8.3171278982797308</v>
      </c>
      <c r="Z294" s="371">
        <f t="shared" si="120"/>
        <v>8.3470456245325355</v>
      </c>
      <c r="AA294" s="371">
        <f t="shared" si="120"/>
        <v>8.3829468960359019</v>
      </c>
      <c r="AB294" s="371">
        <f t="shared" si="120"/>
        <v>8.6761406133133878</v>
      </c>
      <c r="AC294" s="372">
        <f t="shared" si="120"/>
        <v>8.6761406133133878</v>
      </c>
      <c r="AD294" s="107" t="s">
        <v>393</v>
      </c>
      <c r="AE294" s="68"/>
    </row>
    <row r="295" spans="1:31" ht="15.75">
      <c r="A295" s="766"/>
      <c r="B295" s="638"/>
      <c r="C295" s="80">
        <f t="shared" si="121" ref="C295:W295">C294*$AE$259</f>
        <v>919.07255048616298</v>
      </c>
      <c r="D295" s="80">
        <f t="shared" si="121"/>
        <v>952.58040388930442</v>
      </c>
      <c r="E295" s="80">
        <f t="shared" si="121"/>
        <v>962.15407629020206</v>
      </c>
      <c r="F295" s="80">
        <f t="shared" si="121"/>
        <v>993.26851159311889</v>
      </c>
      <c r="G295" s="80">
        <f t="shared" si="121"/>
        <v>1023.1862378459236</v>
      </c>
      <c r="H295" s="80">
        <f t="shared" si="121"/>
        <v>1029.1697830964847</v>
      </c>
      <c r="I295" s="80">
        <f t="shared" si="121"/>
        <v>1069.8578908002992</v>
      </c>
      <c r="J295" s="80">
        <f t="shared" si="121"/>
        <v>1139.2670157068062</v>
      </c>
      <c r="K295" s="80">
        <f t="shared" si="121"/>
        <v>1196.7090501121913</v>
      </c>
      <c r="L295" s="80">
        <f t="shared" si="121"/>
        <v>1235.0037397157816</v>
      </c>
      <c r="M295" s="80">
        <f t="shared" si="121"/>
        <v>1308.0029917726251</v>
      </c>
      <c r="N295" s="80">
        <f t="shared" si="121"/>
        <v>1357.068062827225</v>
      </c>
      <c r="O295" s="80">
        <f t="shared" si="121"/>
        <v>1379.8055347793568</v>
      </c>
      <c r="P295" s="80">
        <f t="shared" si="121"/>
        <v>1410.9199700822737</v>
      </c>
      <c r="Q295" s="80">
        <f t="shared" si="121"/>
        <v>1459.9850411368736</v>
      </c>
      <c r="R295" s="80">
        <f t="shared" si="121"/>
        <v>1470.7554225878835</v>
      </c>
      <c r="S295" s="80">
        <f t="shared" si="121"/>
        <v>1476.7389678384443</v>
      </c>
      <c r="T295" s="80">
        <f t="shared" si="121"/>
        <v>1535.3777112939417</v>
      </c>
      <c r="U295" s="80">
        <f t="shared" si="121"/>
        <v>1541.3612565445026</v>
      </c>
      <c r="V295" s="80">
        <f t="shared" si="121"/>
        <v>1594.0164547494392</v>
      </c>
      <c r="W295" s="80">
        <f t="shared" si="121"/>
        <v>1595.2131637995512</v>
      </c>
      <c r="X295" s="321">
        <f>X294*$AE$259</f>
        <v>1600</v>
      </c>
      <c r="Y295" s="80">
        <f t="shared" si="122" ref="Y295:AC295">Y294*$AE$259</f>
        <v>1663.4255796559462</v>
      </c>
      <c r="Z295" s="80">
        <f t="shared" si="122"/>
        <v>1669.409124906507</v>
      </c>
      <c r="AA295" s="80">
        <f t="shared" si="122"/>
        <v>1676.5893792071804</v>
      </c>
      <c r="AB295" s="80">
        <f t="shared" si="122"/>
        <v>1735.2281226626776</v>
      </c>
      <c r="AC295" s="197">
        <f t="shared" si="122"/>
        <v>1735.2281226626776</v>
      </c>
      <c r="AD295" s="107" t="s">
        <v>378</v>
      </c>
      <c r="AE295" s="68"/>
    </row>
    <row r="296" spans="1:31" ht="15.75">
      <c r="A296" s="766"/>
      <c r="B296" s="638"/>
      <c r="C296" s="314">
        <f t="shared" si="123" ref="C296:W296">$AC$2/C294*2</f>
        <v>4.352213541666667</v>
      </c>
      <c r="D296" s="314">
        <f t="shared" si="123"/>
        <v>4.1991206030150749</v>
      </c>
      <c r="E296" s="314">
        <f t="shared" si="123"/>
        <v>4.1573383084577111</v>
      </c>
      <c r="F296" s="314">
        <f t="shared" si="123"/>
        <v>4.0271084337349397</v>
      </c>
      <c r="G296" s="314">
        <f t="shared" si="123"/>
        <v>3.9093567251461989</v>
      </c>
      <c r="H296" s="314">
        <f t="shared" si="123"/>
        <v>3.8866279069767442</v>
      </c>
      <c r="I296" s="314">
        <f t="shared" si="123"/>
        <v>3.7388143176733784</v>
      </c>
      <c r="J296" s="314">
        <f t="shared" si="123"/>
        <v>3.5110294117647061</v>
      </c>
      <c r="K296" s="314">
        <f t="shared" si="123"/>
        <v>3.3425</v>
      </c>
      <c r="L296" s="314">
        <f t="shared" si="123"/>
        <v>3.2388565891472867</v>
      </c>
      <c r="M296" s="314">
        <f t="shared" si="123"/>
        <v>3.0580969807868255</v>
      </c>
      <c r="N296" s="314">
        <f t="shared" si="123"/>
        <v>2.9475308641975309</v>
      </c>
      <c r="O296" s="314">
        <f t="shared" si="123"/>
        <v>2.8989592367736341</v>
      </c>
      <c r="P296" s="314">
        <f t="shared" si="123"/>
        <v>2.8350296861747246</v>
      </c>
      <c r="Q296" s="314">
        <f t="shared" si="123"/>
        <v>2.7397540983606556</v>
      </c>
      <c r="R296" s="314">
        <f t="shared" si="123"/>
        <v>2.7196908055329536</v>
      </c>
      <c r="S296" s="314">
        <f t="shared" si="123"/>
        <v>2.7086709886547813</v>
      </c>
      <c r="T296" s="314">
        <f t="shared" si="123"/>
        <v>2.6052221356196412</v>
      </c>
      <c r="U296" s="314">
        <f t="shared" si="123"/>
        <v>2.5951086956521738</v>
      </c>
      <c r="V296" s="314">
        <f t="shared" si="123"/>
        <v>2.5093843843843842</v>
      </c>
      <c r="W296" s="314">
        <f t="shared" si="123"/>
        <v>2.5075018754688672</v>
      </c>
      <c r="X296" s="322">
        <f>$AC$2/X294*2</f>
        <v>2.50</v>
      </c>
      <c r="Y296" s="314">
        <f t="shared" si="124" ref="Y296:AC296">$AC$2/Y294*2</f>
        <v>2.4046762589928057</v>
      </c>
      <c r="Z296" s="314">
        <f t="shared" si="124"/>
        <v>2.3960573476702507</v>
      </c>
      <c r="AA296" s="314">
        <f t="shared" si="124"/>
        <v>2.3857958600999285</v>
      </c>
      <c r="AB296" s="314">
        <f t="shared" si="124"/>
        <v>2.3051724137931036</v>
      </c>
      <c r="AC296" s="315">
        <f t="shared" si="124"/>
        <v>2.3051724137931036</v>
      </c>
      <c r="AD296" s="107" t="s">
        <v>376</v>
      </c>
      <c r="AE296" s="68"/>
    </row>
    <row r="297" spans="1:31" ht="15.75" thickBot="1">
      <c r="A297" s="767"/>
      <c r="B297" s="757"/>
      <c r="C297" s="77">
        <v>1536</v>
      </c>
      <c r="D297" s="77">
        <v>1592</v>
      </c>
      <c r="E297" s="77">
        <v>1608</v>
      </c>
      <c r="F297" s="77">
        <v>1660</v>
      </c>
      <c r="G297" s="77">
        <v>1710</v>
      </c>
      <c r="H297" s="77">
        <v>1720</v>
      </c>
      <c r="I297" s="77">
        <v>1788</v>
      </c>
      <c r="J297" s="77">
        <v>1904</v>
      </c>
      <c r="K297" s="77">
        <v>2000</v>
      </c>
      <c r="L297" s="77">
        <v>2064</v>
      </c>
      <c r="M297" s="77">
        <v>2186</v>
      </c>
      <c r="N297" s="77">
        <v>2268</v>
      </c>
      <c r="O297" s="77">
        <v>2306</v>
      </c>
      <c r="P297" s="77">
        <v>2358</v>
      </c>
      <c r="Q297" s="77">
        <v>2440</v>
      </c>
      <c r="R297" s="77">
        <v>2458</v>
      </c>
      <c r="S297" s="77">
        <v>2468</v>
      </c>
      <c r="T297" s="77">
        <v>2566</v>
      </c>
      <c r="U297" s="77">
        <v>2576</v>
      </c>
      <c r="V297" s="77">
        <v>2664</v>
      </c>
      <c r="W297" s="77">
        <v>2666</v>
      </c>
      <c r="X297" s="77">
        <v>2674</v>
      </c>
      <c r="Y297" s="77">
        <v>2780</v>
      </c>
      <c r="Z297" s="77">
        <v>2790</v>
      </c>
      <c r="AA297" s="77">
        <v>2802</v>
      </c>
      <c r="AB297" s="77">
        <v>2900</v>
      </c>
      <c r="AC297" s="104">
        <v>2900</v>
      </c>
      <c r="AD297" s="107" t="s">
        <v>586</v>
      </c>
      <c r="AE297" s="68"/>
    </row>
    <row r="298" spans="1:31" ht="15" customHeight="1">
      <c r="A298" s="754" t="s">
        <v>285</v>
      </c>
      <c r="B298" s="756" t="s">
        <v>258</v>
      </c>
      <c r="C298" s="89"/>
      <c r="D298" s="89"/>
      <c r="E298" s="89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  <c r="AA298" s="89"/>
      <c r="AB298" s="89"/>
      <c r="AC298" s="120"/>
      <c r="AD298" s="107"/>
      <c r="AE298" s="68"/>
    </row>
    <row r="299" spans="1:31" ht="15.75">
      <c r="A299" s="782"/>
      <c r="B299" s="638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13"/>
      <c r="AD299" s="107"/>
      <c r="AE299" s="68"/>
    </row>
    <row r="300" spans="1:31" ht="15.75" thickBot="1">
      <c r="A300" s="755"/>
      <c r="B300" s="75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  <c r="AA300" s="77"/>
      <c r="AB300" s="77"/>
      <c r="AC300" s="104"/>
      <c r="AD300" s="107"/>
      <c r="AE300" s="68"/>
    </row>
    <row r="301" spans="1:31" ht="15" customHeight="1">
      <c r="A301" s="754" t="s">
        <v>286</v>
      </c>
      <c r="B301" s="816" t="s">
        <v>235</v>
      </c>
      <c r="C301" s="89">
        <v>20</v>
      </c>
      <c r="D301" s="89">
        <v>20</v>
      </c>
      <c r="E301" s="89"/>
      <c r="F301" s="89">
        <v>20</v>
      </c>
      <c r="G301" s="89"/>
      <c r="H301" s="89">
        <v>16</v>
      </c>
      <c r="I301" s="89"/>
      <c r="J301" s="89">
        <v>20</v>
      </c>
      <c r="K301" s="89">
        <v>16</v>
      </c>
      <c r="L301" s="89"/>
      <c r="M301" s="89">
        <v>16</v>
      </c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>
        <v>5</v>
      </c>
      <c r="Y301" s="89">
        <v>4</v>
      </c>
      <c r="Z301" s="89"/>
      <c r="AA301" s="89"/>
      <c r="AB301" s="89"/>
      <c r="AC301" s="120"/>
      <c r="AD301" s="107" t="s">
        <v>376</v>
      </c>
      <c r="AE301" s="68"/>
    </row>
    <row r="302" spans="1:31" ht="15.75" thickBot="1">
      <c r="A302" s="755"/>
      <c r="B302" s="81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  <c r="AA302" s="77"/>
      <c r="AB302" s="77"/>
      <c r="AC302" s="104"/>
      <c r="AD302" s="107"/>
      <c r="AE302" s="68"/>
    </row>
    <row r="303" spans="1:31" ht="15" customHeight="1">
      <c r="A303" s="754" t="s">
        <v>770</v>
      </c>
      <c r="B303" s="816" t="s">
        <v>266</v>
      </c>
      <c r="C303" s="89"/>
      <c r="D303" s="89"/>
      <c r="E303" s="89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  <c r="AA303" s="89"/>
      <c r="AB303" s="89"/>
      <c r="AC303" s="120"/>
      <c r="AD303" s="107"/>
      <c r="AE303" s="68"/>
    </row>
    <row r="304" spans="1:31" ht="15" customHeight="1" thickBot="1">
      <c r="A304" s="755"/>
      <c r="B304" s="81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  <c r="AB304" s="77"/>
      <c r="AC304" s="104"/>
      <c r="AD304" s="107"/>
      <c r="AE304" s="68"/>
    </row>
    <row r="305" spans="1:31" ht="19.5" customHeight="1" thickBot="1">
      <c r="A305" s="302" t="s">
        <v>771</v>
      </c>
      <c r="B305" s="353" t="s">
        <v>288</v>
      </c>
      <c r="C305" s="745"/>
      <c r="D305" s="746"/>
      <c r="E305" s="746"/>
      <c r="F305" s="746"/>
      <c r="G305" s="746"/>
      <c r="H305" s="747"/>
      <c r="I305" s="198"/>
      <c r="J305" s="198"/>
      <c r="K305" s="198"/>
      <c r="L305" s="198"/>
      <c r="M305" s="198"/>
      <c r="N305" s="198"/>
      <c r="O305" s="198"/>
      <c r="P305" s="198"/>
      <c r="Q305" s="198"/>
      <c r="R305" s="198"/>
      <c r="S305" s="198"/>
      <c r="T305" s="198"/>
      <c r="U305" s="198"/>
      <c r="V305" s="198"/>
      <c r="W305" s="198"/>
      <c r="X305" s="198"/>
      <c r="Y305" s="198"/>
      <c r="Z305" s="198"/>
      <c r="AA305" s="198"/>
      <c r="AB305" s="198"/>
      <c r="AC305" s="328"/>
      <c r="AD305" s="107"/>
      <c r="AE305" s="68"/>
    </row>
    <row r="306" spans="1:31" ht="30.75" thickBot="1">
      <c r="A306" s="258" t="s">
        <v>772</v>
      </c>
      <c r="B306" s="281" t="s">
        <v>773</v>
      </c>
      <c r="C306" s="863" t="s">
        <v>774</v>
      </c>
      <c r="D306" s="864"/>
      <c r="E306" s="864"/>
      <c r="F306" s="864"/>
      <c r="G306" s="864"/>
      <c r="H306" s="865"/>
      <c r="I306" s="860" t="s">
        <v>775</v>
      </c>
      <c r="J306" s="861"/>
      <c r="K306" s="861"/>
      <c r="L306" s="861"/>
      <c r="M306" s="861"/>
      <c r="N306" s="861"/>
      <c r="O306" s="861"/>
      <c r="P306" s="861"/>
      <c r="Q306" s="861"/>
      <c r="R306" s="861"/>
      <c r="S306" s="861"/>
      <c r="T306" s="861"/>
      <c r="U306" s="861"/>
      <c r="V306" s="861"/>
      <c r="W306" s="861"/>
      <c r="X306" s="861"/>
      <c r="Y306" s="861"/>
      <c r="Z306" s="861"/>
      <c r="AA306" s="861"/>
      <c r="AB306" s="861"/>
      <c r="AC306" s="862"/>
      <c r="AE306">
        <v>138</v>
      </c>
    </row>
    <row r="307" spans="1:31" ht="15" customHeight="1">
      <c r="A307" s="784" t="s">
        <v>776</v>
      </c>
      <c r="B307" s="777" t="s">
        <v>280</v>
      </c>
      <c r="C307" s="274"/>
      <c r="D307" s="274"/>
      <c r="E307" s="274"/>
      <c r="F307" s="274"/>
      <c r="G307" s="274"/>
      <c r="H307" s="274"/>
      <c r="I307" s="339"/>
      <c r="J307" s="339"/>
      <c r="K307" s="339"/>
      <c r="L307" s="339"/>
      <c r="M307" s="339"/>
      <c r="N307" s="339"/>
      <c r="O307" s="339"/>
      <c r="P307" s="339"/>
      <c r="Q307" s="339"/>
      <c r="R307" s="339"/>
      <c r="S307" s="339"/>
      <c r="T307" s="339"/>
      <c r="U307" s="339"/>
      <c r="V307" s="339"/>
      <c r="W307" s="339"/>
      <c r="X307" s="339"/>
      <c r="Y307" s="339"/>
      <c r="Z307" s="339"/>
      <c r="AA307" s="339"/>
      <c r="AB307" s="339"/>
      <c r="AC307" s="373"/>
      <c r="AD307" s="107"/>
      <c r="AE307" s="68">
        <v>166</v>
      </c>
    </row>
    <row r="308" spans="1:31" ht="15" customHeight="1" thickBot="1">
      <c r="A308" s="786"/>
      <c r="B308" s="778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  <c r="AA308" s="77"/>
      <c r="AB308" s="77"/>
      <c r="AC308" s="104"/>
      <c r="AD308" s="107"/>
      <c r="AE308" s="68"/>
    </row>
    <row r="309" spans="1:31" ht="15" customHeight="1">
      <c r="A309" s="784" t="s">
        <v>777</v>
      </c>
      <c r="B309" s="777" t="s">
        <v>30</v>
      </c>
      <c r="C309" s="374">
        <f>$AC$2/C311</f>
        <v>4.546655164425597</v>
      </c>
      <c r="D309" s="374">
        <f t="shared" si="125" ref="D309:H309">$AC$2/D311</f>
        <v>4.1002482146032673</v>
      </c>
      <c r="E309" s="374">
        <f t="shared" si="125"/>
        <v>3.5610868907537503</v>
      </c>
      <c r="F309" s="374">
        <f t="shared" si="125"/>
        <v>3.2565378070473461</v>
      </c>
      <c r="G309" s="374">
        <f t="shared" si="125"/>
        <v>2.9655272854611829</v>
      </c>
      <c r="H309" s="374">
        <f t="shared" si="125"/>
        <v>2.7297425085167659</v>
      </c>
      <c r="I309" s="374">
        <f>$AC$2/I311</f>
        <v>2.3800079333597783</v>
      </c>
      <c r="J309" s="374">
        <f t="shared" si="126" ref="J309:AC309">$AC$2/J311</f>
        <v>2.1142024543410902</v>
      </c>
      <c r="K309" s="374">
        <f t="shared" si="126"/>
        <v>1.9061839056887062</v>
      </c>
      <c r="L309" s="374">
        <f t="shared" si="126"/>
        <v>2.0752924700344577</v>
      </c>
      <c r="M309" s="374">
        <f t="shared" si="126"/>
        <v>1.7998234614446467</v>
      </c>
      <c r="N309" s="374">
        <f t="shared" si="126"/>
        <v>1.6906671819551748</v>
      </c>
      <c r="O309" s="374">
        <f t="shared" si="126"/>
        <v>1.5998996141418576</v>
      </c>
      <c r="P309" s="374">
        <f t="shared" si="126"/>
        <v>1.4944124562039605</v>
      </c>
      <c r="Q309" s="374">
        <f t="shared" si="126"/>
        <v>1.3657636920199392</v>
      </c>
      <c r="R309" s="374">
        <f t="shared" si="126"/>
        <v>1.2940170904295956</v>
      </c>
      <c r="S309" s="374">
        <f t="shared" si="126"/>
        <v>1.2457651284152156</v>
      </c>
      <c r="T309" s="374">
        <f t="shared" si="126"/>
        <v>1.1910451014895183</v>
      </c>
      <c r="U309" s="374">
        <f t="shared" si="126"/>
        <v>1.1497790201660127</v>
      </c>
      <c r="V309" s="374">
        <f t="shared" si="126"/>
        <v>1.1291269274385538</v>
      </c>
      <c r="W309" s="374">
        <f t="shared" si="126"/>
        <v>1.0992798370911994</v>
      </c>
      <c r="X309" s="374">
        <f t="shared" si="126"/>
        <v>1.0829245166327466</v>
      </c>
      <c r="Y309" s="374">
        <f t="shared" si="126"/>
        <v>1.0049081842882506</v>
      </c>
      <c r="Z309" s="374">
        <f t="shared" si="126"/>
        <v>0.96909146386107903</v>
      </c>
      <c r="AA309" s="374">
        <f t="shared" si="126"/>
        <v>0.92766649175858373</v>
      </c>
      <c r="AB309" s="374">
        <f t="shared" si="126"/>
        <v>0.88389476285426949</v>
      </c>
      <c r="AC309" s="375">
        <f t="shared" si="126"/>
        <v>0.86776131054665562</v>
      </c>
      <c r="AD309" s="11" t="s">
        <v>376</v>
      </c>
      <c r="AE309" s="11">
        <v>166</v>
      </c>
    </row>
    <row r="310" spans="1:30" ht="15" customHeight="1">
      <c r="A310" s="785"/>
      <c r="B310" s="640"/>
      <c r="C310" s="201">
        <f>C311*$AE$309</f>
        <v>365.10356294190535</v>
      </c>
      <c r="D310" s="201">
        <f t="shared" si="127" ref="D310:H310">D311*$AE$309</f>
        <v>404.85353888767401</v>
      </c>
      <c r="E310" s="201">
        <f t="shared" si="127"/>
        <v>466.14981631314237</v>
      </c>
      <c r="F310" s="201">
        <f t="shared" si="127"/>
        <v>509.74381332458631</v>
      </c>
      <c r="G310" s="201">
        <f t="shared" si="127"/>
        <v>559.76554595816026</v>
      </c>
      <c r="H310" s="201">
        <f t="shared" si="127"/>
        <v>608.11596508491868</v>
      </c>
      <c r="I310" s="201">
        <f>I311*$AE$309</f>
        <v>697.47666666666657</v>
      </c>
      <c r="J310" s="201">
        <f t="shared" si="128" ref="J310:AC310">J311*$AE$309</f>
        <v>785.16605474159928</v>
      </c>
      <c r="K310" s="201">
        <f t="shared" si="128"/>
        <v>870.84986660835341</v>
      </c>
      <c r="L310" s="201">
        <f t="shared" si="128"/>
        <v>799.88725635979279</v>
      </c>
      <c r="M310" s="201">
        <f t="shared" si="128"/>
        <v>922.31267986004809</v>
      </c>
      <c r="N310" s="201">
        <f t="shared" si="128"/>
        <v>981.86089948246956</v>
      </c>
      <c r="O310" s="201">
        <f t="shared" si="128"/>
        <v>1037.5650980392159</v>
      </c>
      <c r="P310" s="201">
        <f t="shared" si="128"/>
        <v>1110.8044456593045</v>
      </c>
      <c r="Q310" s="201">
        <f t="shared" si="128"/>
        <v>1215.4372016910852</v>
      </c>
      <c r="R310" s="201">
        <f t="shared" si="128"/>
        <v>1282.8269520373206</v>
      </c>
      <c r="S310" s="201">
        <f t="shared" si="128"/>
        <v>1332.5144219695314</v>
      </c>
      <c r="T310" s="201">
        <f t="shared" si="128"/>
        <v>1393.7339550987681</v>
      </c>
      <c r="U310" s="201">
        <f t="shared" si="128"/>
        <v>1443.755687732342</v>
      </c>
      <c r="V310" s="201">
        <f t="shared" si="128"/>
        <v>1470.1624411400248</v>
      </c>
      <c r="W310" s="201">
        <f t="shared" si="128"/>
        <v>1510.0795484364746</v>
      </c>
      <c r="X310" s="201">
        <f t="shared" si="128"/>
        <v>1532.8861564253953</v>
      </c>
      <c r="Y310" s="201">
        <f t="shared" si="128"/>
        <v>1651.8922086157884</v>
      </c>
      <c r="Z310" s="201">
        <f t="shared" si="128"/>
        <v>1712.9446103943435</v>
      </c>
      <c r="AA310" s="201">
        <f t="shared" si="128"/>
        <v>1789.4361979736129</v>
      </c>
      <c r="AB310" s="201">
        <f t="shared" si="128"/>
        <v>1878.0516298564035</v>
      </c>
      <c r="AC310" s="202">
        <f t="shared" si="128"/>
        <v>1912.9684393906259</v>
      </c>
      <c r="AD310" t="s">
        <v>377</v>
      </c>
    </row>
    <row r="311" spans="1:30" ht="15" customHeight="1">
      <c r="A311" s="785"/>
      <c r="B311" s="640"/>
      <c r="C311" s="203">
        <f t="shared" si="129" ref="C311:AC311">(C312+C315)/60</f>
        <v>2.1994190538668996</v>
      </c>
      <c r="D311" s="203">
        <f t="shared" si="129"/>
        <v>2.4388767402871929</v>
      </c>
      <c r="E311" s="203">
        <f t="shared" si="129"/>
        <v>2.8081314235731467</v>
      </c>
      <c r="F311" s="203">
        <f t="shared" si="129"/>
        <v>3.0707458634011222</v>
      </c>
      <c r="G311" s="203">
        <f t="shared" si="129"/>
        <v>3.3720816021575919</v>
      </c>
      <c r="H311" s="203">
        <f t="shared" si="129"/>
        <v>3.6633491872585462</v>
      </c>
      <c r="I311" s="203">
        <f t="shared" si="129"/>
        <v>4.2016666666666662</v>
      </c>
      <c r="J311" s="203">
        <f t="shared" si="129"/>
        <v>4.7299159924192731</v>
      </c>
      <c r="K311" s="203">
        <f t="shared" si="129"/>
        <v>5.2460835337852618</v>
      </c>
      <c r="L311" s="203">
        <f t="shared" si="129"/>
        <v>4.81859792987827</v>
      </c>
      <c r="M311" s="203">
        <f t="shared" si="129"/>
        <v>5.5561004810846271</v>
      </c>
      <c r="N311" s="203">
        <f t="shared" si="129"/>
        <v>5.9148246956775274</v>
      </c>
      <c r="O311" s="203">
        <f t="shared" si="129"/>
        <v>6.2503921568627456</v>
      </c>
      <c r="P311" s="203">
        <f t="shared" si="129"/>
        <v>6.6915930461403885</v>
      </c>
      <c r="Q311" s="203">
        <f t="shared" si="129"/>
        <v>7.3219108535607544</v>
      </c>
      <c r="R311" s="203">
        <f t="shared" si="129"/>
        <v>7.7278732050440997</v>
      </c>
      <c r="S311" s="203">
        <f t="shared" si="129"/>
        <v>8.0271953130694662</v>
      </c>
      <c r="T311" s="203">
        <f t="shared" si="129"/>
        <v>8.3959876813178802</v>
      </c>
      <c r="U311" s="203">
        <f t="shared" si="129"/>
        <v>8.6973234200743494</v>
      </c>
      <c r="V311" s="203">
        <f t="shared" si="129"/>
        <v>8.8564002478314752</v>
      </c>
      <c r="W311" s="203">
        <f t="shared" si="129"/>
        <v>9.0968647496173176</v>
      </c>
      <c r="X311" s="203">
        <f t="shared" si="129"/>
        <v>9.2342539543698514</v>
      </c>
      <c r="Y311" s="203">
        <f t="shared" si="129"/>
        <v>9.9511578832276406</v>
      </c>
      <c r="Z311" s="203">
        <f t="shared" si="129"/>
        <v>10.318943436110503</v>
      </c>
      <c r="AA311" s="203">
        <f t="shared" si="129"/>
        <v>10.779736132371163</v>
      </c>
      <c r="AB311" s="203">
        <f t="shared" si="129"/>
        <v>11.313564035279539</v>
      </c>
      <c r="AC311" s="204">
        <f t="shared" si="129"/>
        <v>11.523906261389312</v>
      </c>
      <c r="AD311" t="s">
        <v>17</v>
      </c>
    </row>
    <row r="312" spans="1:30" ht="15" customHeight="1">
      <c r="A312" s="785"/>
      <c r="B312" s="640"/>
      <c r="C312" s="205">
        <f>$I$312*C313</f>
        <v>116.25882352941176</v>
      </c>
      <c r="D312" s="205">
        <f t="shared" si="130" ref="D312:H312">$I$312*D313</f>
        <v>129.1764705882353</v>
      </c>
      <c r="E312" s="205">
        <f t="shared" si="130"/>
        <v>148.5529411764706</v>
      </c>
      <c r="F312" s="205">
        <f t="shared" si="130"/>
        <v>161.47058823529412</v>
      </c>
      <c r="G312" s="205">
        <f t="shared" si="130"/>
        <v>177.61764705882354</v>
      </c>
      <c r="H312" s="205">
        <f t="shared" si="130"/>
        <v>193.76470588235293</v>
      </c>
      <c r="I312" s="376">
        <v>219.60</v>
      </c>
      <c r="J312" s="205">
        <f t="shared" si="131" ref="J312:AC312">$I$312*J313</f>
        <v>245.43529411764706</v>
      </c>
      <c r="K312" s="205">
        <f t="shared" si="131"/>
        <v>271.2705882352941</v>
      </c>
      <c r="L312" s="205">
        <f t="shared" si="131"/>
        <v>238.97647058823526</v>
      </c>
      <c r="M312" s="205">
        <f t="shared" si="131"/>
        <v>277.72941176470584</v>
      </c>
      <c r="N312" s="205">
        <f t="shared" si="131"/>
        <v>293.87647058823529</v>
      </c>
      <c r="O312" s="205">
        <f t="shared" si="131"/>
        <v>310.02352941176474</v>
      </c>
      <c r="P312" s="205">
        <f t="shared" si="131"/>
        <v>332.62941176470588</v>
      </c>
      <c r="Q312" s="205">
        <f t="shared" si="131"/>
        <v>368.15294117647056</v>
      </c>
      <c r="R312" s="205">
        <f t="shared" si="131"/>
        <v>390.75882352941176</v>
      </c>
      <c r="S312" s="205">
        <f t="shared" si="131"/>
        <v>406.90588235294121</v>
      </c>
      <c r="T312" s="205">
        <f t="shared" si="131"/>
        <v>423.0529411764706</v>
      </c>
      <c r="U312" s="205">
        <f t="shared" si="131"/>
        <v>439.20</v>
      </c>
      <c r="V312" s="205">
        <f t="shared" si="131"/>
        <v>439.20</v>
      </c>
      <c r="W312" s="205">
        <f t="shared" si="131"/>
        <v>452.11764705882348</v>
      </c>
      <c r="X312" s="205">
        <f t="shared" si="131"/>
        <v>455.34705882352944</v>
      </c>
      <c r="Y312" s="205">
        <f t="shared" si="131"/>
        <v>490.87058823529412</v>
      </c>
      <c r="Z312" s="205">
        <f t="shared" si="131"/>
        <v>507.01764705882346</v>
      </c>
      <c r="AA312" s="205">
        <f t="shared" si="131"/>
        <v>532.85294117647049</v>
      </c>
      <c r="AB312" s="205">
        <f t="shared" si="131"/>
        <v>555.45882352941169</v>
      </c>
      <c r="AC312" s="206">
        <f t="shared" si="131"/>
        <v>561.91764705882349</v>
      </c>
      <c r="AD312" t="s">
        <v>505</v>
      </c>
    </row>
    <row r="313" spans="1:30" ht="15" customHeight="1">
      <c r="A313" s="785"/>
      <c r="B313" s="640"/>
      <c r="C313" s="121">
        <f t="shared" si="132" ref="C313:H313">C314/$I$314</f>
        <v>0.52941176470588236</v>
      </c>
      <c r="D313" s="121">
        <f t="shared" si="132"/>
        <v>0.58823529411764708</v>
      </c>
      <c r="E313" s="121">
        <f t="shared" si="132"/>
        <v>0.67647058823529416</v>
      </c>
      <c r="F313" s="121">
        <f t="shared" si="132"/>
        <v>0.73529411764705888</v>
      </c>
      <c r="G313" s="121">
        <f t="shared" si="132"/>
        <v>0.80882352941176472</v>
      </c>
      <c r="H313" s="121">
        <f t="shared" si="132"/>
        <v>0.88235294117647056</v>
      </c>
      <c r="I313" s="121">
        <f>I314/$I$314</f>
        <v>1</v>
      </c>
      <c r="J313" s="121">
        <f t="shared" si="133" ref="J313:AC313">J314/$I$314</f>
        <v>1.1176470588235294</v>
      </c>
      <c r="K313" s="121">
        <f t="shared" si="133"/>
        <v>1.2352941176470589</v>
      </c>
      <c r="L313" s="121">
        <f t="shared" si="133"/>
        <v>1.088235294117647</v>
      </c>
      <c r="M313" s="121">
        <f t="shared" si="133"/>
        <v>1.2647058823529411</v>
      </c>
      <c r="N313" s="121">
        <f t="shared" si="133"/>
        <v>1.338235294117647</v>
      </c>
      <c r="O313" s="121">
        <f t="shared" si="133"/>
        <v>1.411764705882353</v>
      </c>
      <c r="P313" s="121">
        <f t="shared" si="133"/>
        <v>1.5147058823529411</v>
      </c>
      <c r="Q313" s="121">
        <f t="shared" si="133"/>
        <v>1.6764705882352942</v>
      </c>
      <c r="R313" s="121">
        <f t="shared" si="133"/>
        <v>1.7794117647058822</v>
      </c>
      <c r="S313" s="121">
        <f t="shared" si="133"/>
        <v>1.8529411764705883</v>
      </c>
      <c r="T313" s="121">
        <f t="shared" si="133"/>
        <v>1.9264705882352942</v>
      </c>
      <c r="U313" s="121">
        <f t="shared" si="133"/>
        <v>2</v>
      </c>
      <c r="V313" s="121">
        <f t="shared" si="133"/>
        <v>2</v>
      </c>
      <c r="W313" s="121">
        <f t="shared" si="133"/>
        <v>2.0588235294117645</v>
      </c>
      <c r="X313" s="121">
        <f t="shared" si="133"/>
        <v>2.0735294117647061</v>
      </c>
      <c r="Y313" s="121">
        <f t="shared" si="133"/>
        <v>2.2352941176470589</v>
      </c>
      <c r="Z313" s="121">
        <f t="shared" si="133"/>
        <v>2.3088235294117645</v>
      </c>
      <c r="AA313" s="121">
        <f t="shared" si="133"/>
        <v>2.4264705882352939</v>
      </c>
      <c r="AB313" s="121">
        <f t="shared" si="133"/>
        <v>2.5294117647058822</v>
      </c>
      <c r="AC313" s="123">
        <f t="shared" si="133"/>
        <v>2.5588235294117645</v>
      </c>
      <c r="AD313" t="s">
        <v>506</v>
      </c>
    </row>
    <row r="314" spans="1:30" ht="15" customHeight="1">
      <c r="A314" s="785"/>
      <c r="B314" s="640"/>
      <c r="C314" s="54">
        <v>72</v>
      </c>
      <c r="D314" s="90">
        <v>80</v>
      </c>
      <c r="E314" s="90">
        <v>92</v>
      </c>
      <c r="F314" s="90">
        <v>100</v>
      </c>
      <c r="G314" s="90">
        <v>110</v>
      </c>
      <c r="H314" s="90">
        <v>120</v>
      </c>
      <c r="I314" s="90">
        <v>136</v>
      </c>
      <c r="J314" s="90">
        <v>152</v>
      </c>
      <c r="K314" s="90">
        <v>168</v>
      </c>
      <c r="L314" s="90">
        <v>148</v>
      </c>
      <c r="M314" s="90">
        <v>172</v>
      </c>
      <c r="N314" s="90">
        <v>182</v>
      </c>
      <c r="O314" s="90">
        <v>192</v>
      </c>
      <c r="P314" s="90">
        <v>206</v>
      </c>
      <c r="Q314" s="90">
        <v>228</v>
      </c>
      <c r="R314" s="90">
        <v>242</v>
      </c>
      <c r="S314" s="90">
        <v>252</v>
      </c>
      <c r="T314" s="90">
        <v>262</v>
      </c>
      <c r="U314" s="90">
        <v>272</v>
      </c>
      <c r="V314" s="90">
        <v>272</v>
      </c>
      <c r="W314" s="90">
        <v>280</v>
      </c>
      <c r="X314" s="90">
        <v>282</v>
      </c>
      <c r="Y314" s="90">
        <v>304</v>
      </c>
      <c r="Z314" s="90">
        <v>314</v>
      </c>
      <c r="AA314" s="90">
        <v>330</v>
      </c>
      <c r="AB314" s="90">
        <v>344</v>
      </c>
      <c r="AC314" s="300">
        <v>348</v>
      </c>
      <c r="AD314" t="s">
        <v>507</v>
      </c>
    </row>
    <row r="315" spans="1:30" ht="15" customHeight="1">
      <c r="A315" s="785"/>
      <c r="B315" s="640"/>
      <c r="C315" s="203">
        <f>$I$315*C316</f>
        <v>15.706319702602231</v>
      </c>
      <c r="D315" s="203">
        <f t="shared" si="134" ref="D315:H315">$I$315*D316</f>
        <v>17.156133828996282</v>
      </c>
      <c r="E315" s="203">
        <f t="shared" si="134"/>
        <v>19.934944237918216</v>
      </c>
      <c r="F315" s="203">
        <f t="shared" si="134"/>
        <v>22.774163568773233</v>
      </c>
      <c r="G315" s="203">
        <f t="shared" si="134"/>
        <v>24.707249070631967</v>
      </c>
      <c r="H315" s="203">
        <f t="shared" si="134"/>
        <v>26.036245353159849</v>
      </c>
      <c r="I315" s="376">
        <v>32.50</v>
      </c>
      <c r="J315" s="203">
        <f>$I$315*J316</f>
        <v>38.359665427509292</v>
      </c>
      <c r="K315" s="203">
        <f t="shared" si="135" ref="K315:AC315">$I$315*K316</f>
        <v>43.494423791821568</v>
      </c>
      <c r="L315" s="203">
        <f t="shared" si="135"/>
        <v>50.139405204460971</v>
      </c>
      <c r="M315" s="203">
        <f t="shared" si="135"/>
        <v>55.636617100371751</v>
      </c>
      <c r="N315" s="203">
        <f t="shared" si="135"/>
        <v>61.013011152416354</v>
      </c>
      <c r="O315" s="203">
        <f t="shared" si="135"/>
        <v>65</v>
      </c>
      <c r="P315" s="203">
        <f t="shared" si="135"/>
        <v>68.866171003717469</v>
      </c>
      <c r="Q315" s="203">
        <f t="shared" si="135"/>
        <v>71.161710037174714</v>
      </c>
      <c r="R315" s="203">
        <f t="shared" si="135"/>
        <v>72.913568773234203</v>
      </c>
      <c r="S315" s="203">
        <f t="shared" si="135"/>
        <v>74.725836431226767</v>
      </c>
      <c r="T315" s="203">
        <f t="shared" si="135"/>
        <v>80.706319702602229</v>
      </c>
      <c r="U315" s="203">
        <f t="shared" si="135"/>
        <v>82.639405204460971</v>
      </c>
      <c r="V315" s="203">
        <f t="shared" si="135"/>
        <v>92.184014869888472</v>
      </c>
      <c r="W315" s="203">
        <f t="shared" si="135"/>
        <v>93.69423791821562</v>
      </c>
      <c r="X315" s="203">
        <f t="shared" si="135"/>
        <v>98.708178438661704</v>
      </c>
      <c r="Y315" s="203">
        <f t="shared" si="135"/>
        <v>106.1988847583643</v>
      </c>
      <c r="Z315" s="203">
        <f t="shared" si="135"/>
        <v>112.11895910780669</v>
      </c>
      <c r="AA315" s="203">
        <f t="shared" si="135"/>
        <v>113.93122676579925</v>
      </c>
      <c r="AB315" s="203">
        <f t="shared" si="135"/>
        <v>123.35501858736062</v>
      </c>
      <c r="AC315" s="204">
        <f t="shared" si="135"/>
        <v>129.51672862453532</v>
      </c>
      <c r="AD315" t="s">
        <v>508</v>
      </c>
    </row>
    <row r="316" spans="1:30" ht="15" customHeight="1">
      <c r="A316" s="785"/>
      <c r="B316" s="640"/>
      <c r="C316" s="121">
        <f t="shared" si="136" ref="C316:H316">C317/$I$317</f>
        <v>0.48327137546468402</v>
      </c>
      <c r="D316" s="121">
        <f t="shared" si="136"/>
        <v>0.52788104089219334</v>
      </c>
      <c r="E316" s="121">
        <f t="shared" si="136"/>
        <v>0.61338289962825276</v>
      </c>
      <c r="F316" s="121">
        <f t="shared" si="136"/>
        <v>0.7007434944237918</v>
      </c>
      <c r="G316" s="121">
        <f t="shared" si="136"/>
        <v>0.7602230483271375</v>
      </c>
      <c r="H316" s="121">
        <f t="shared" si="136"/>
        <v>0.8011152416356877</v>
      </c>
      <c r="I316" s="121">
        <f>I317/$I$317</f>
        <v>1</v>
      </c>
      <c r="J316" s="121">
        <f t="shared" si="137" ref="J316:AC316">J317/$I$317</f>
        <v>1.1802973977695166</v>
      </c>
      <c r="K316" s="121">
        <f t="shared" si="137"/>
        <v>1.3382899628252789</v>
      </c>
      <c r="L316" s="121">
        <f t="shared" si="137"/>
        <v>1.5427509293680299</v>
      </c>
      <c r="M316" s="121">
        <f t="shared" si="137"/>
        <v>1.7118959107806693</v>
      </c>
      <c r="N316" s="121">
        <f t="shared" si="137"/>
        <v>1.8773234200743494</v>
      </c>
      <c r="O316" s="121">
        <f t="shared" si="137"/>
        <v>2</v>
      </c>
      <c r="P316" s="121">
        <f t="shared" si="137"/>
        <v>2.1189591078066914</v>
      </c>
      <c r="Q316" s="121">
        <f t="shared" si="137"/>
        <v>2.1895910780669143</v>
      </c>
      <c r="R316" s="121">
        <f t="shared" si="137"/>
        <v>2.2434944237918217</v>
      </c>
      <c r="S316" s="121">
        <f t="shared" si="137"/>
        <v>2.2992565055762082</v>
      </c>
      <c r="T316" s="121">
        <f t="shared" si="137"/>
        <v>2.483271375464684</v>
      </c>
      <c r="U316" s="121">
        <f t="shared" si="137"/>
        <v>2.5427509293680299</v>
      </c>
      <c r="V316" s="121">
        <f t="shared" si="137"/>
        <v>2.8364312267657992</v>
      </c>
      <c r="W316" s="121">
        <f t="shared" si="137"/>
        <v>2.8828996282527881</v>
      </c>
      <c r="X316" s="121">
        <f t="shared" si="137"/>
        <v>3.037174721189591</v>
      </c>
      <c r="Y316" s="121">
        <f t="shared" si="137"/>
        <v>3.2676579925650553</v>
      </c>
      <c r="Z316" s="121">
        <f t="shared" si="137"/>
        <v>3.449814126394052</v>
      </c>
      <c r="AA316" s="121">
        <f t="shared" si="137"/>
        <v>3.5055762081784385</v>
      </c>
      <c r="AB316" s="121">
        <f t="shared" si="137"/>
        <v>3.7955390334572496</v>
      </c>
      <c r="AC316" s="123">
        <f t="shared" si="137"/>
        <v>3.985130111524164</v>
      </c>
      <c r="AD316" t="s">
        <v>463</v>
      </c>
    </row>
    <row r="317" spans="1:31" ht="15" customHeight="1" thickBot="1">
      <c r="A317" s="786"/>
      <c r="B317" s="778"/>
      <c r="C317" s="77">
        <v>2.60</v>
      </c>
      <c r="D317" s="77">
        <v>2.84</v>
      </c>
      <c r="E317" s="77">
        <v>3.30</v>
      </c>
      <c r="F317" s="77">
        <v>3.77</v>
      </c>
      <c r="G317" s="77">
        <v>4.09</v>
      </c>
      <c r="H317" s="77">
        <v>4.3099999999999996</v>
      </c>
      <c r="I317" s="77">
        <v>5.38</v>
      </c>
      <c r="J317" s="77">
        <v>6.35</v>
      </c>
      <c r="K317" s="77">
        <v>7.20</v>
      </c>
      <c r="L317" s="77">
        <v>8.3000000000000007</v>
      </c>
      <c r="M317" s="77">
        <v>9.2100000000000009</v>
      </c>
      <c r="N317" s="77">
        <v>10.10</v>
      </c>
      <c r="O317" s="77">
        <v>10.76</v>
      </c>
      <c r="P317" s="77">
        <v>11.40</v>
      </c>
      <c r="Q317" s="77">
        <v>11.78</v>
      </c>
      <c r="R317" s="77">
        <v>12.07</v>
      </c>
      <c r="S317" s="77">
        <v>12.37</v>
      </c>
      <c r="T317" s="77">
        <v>13.36</v>
      </c>
      <c r="U317" s="77">
        <v>13.68</v>
      </c>
      <c r="V317" s="77">
        <v>15.26</v>
      </c>
      <c r="W317" s="77">
        <v>15.51</v>
      </c>
      <c r="X317" s="77">
        <v>16.34</v>
      </c>
      <c r="Y317" s="77">
        <v>17.579999999999998</v>
      </c>
      <c r="Z317" s="77">
        <v>18.56</v>
      </c>
      <c r="AA317" s="77">
        <v>18.86</v>
      </c>
      <c r="AB317" s="77">
        <v>20.420000000000002</v>
      </c>
      <c r="AC317" s="104">
        <v>21.44</v>
      </c>
      <c r="AD317" s="107" t="s">
        <v>464</v>
      </c>
      <c r="AE317" s="68"/>
    </row>
    <row r="318" spans="1:31" ht="15" customHeight="1">
      <c r="A318" s="784" t="s">
        <v>778</v>
      </c>
      <c r="B318" s="777" t="s">
        <v>283</v>
      </c>
      <c r="C318" s="374">
        <f>$AC$2/C320</f>
        <v>5.1126038037638137</v>
      </c>
      <c r="D318" s="374">
        <f t="shared" si="138" ref="D318:H318">$AC$2/D320</f>
        <v>4.6540968621399772</v>
      </c>
      <c r="E318" s="374">
        <f t="shared" si="138"/>
        <v>4.0191747947731393</v>
      </c>
      <c r="F318" s="374">
        <f t="shared" si="138"/>
        <v>3.5756968727020051</v>
      </c>
      <c r="G318" s="374">
        <f t="shared" si="138"/>
        <v>3.2812676159377787</v>
      </c>
      <c r="H318" s="374">
        <f t="shared" si="138"/>
        <v>3.0786656119822684</v>
      </c>
      <c r="I318" s="374">
        <f>$AC$2/I320</f>
        <v>2.5439898240407035</v>
      </c>
      <c r="J318" s="374">
        <f t="shared" si="139" ref="J318:AC318">$AC$2/J320</f>
        <v>2.1914835290400618</v>
      </c>
      <c r="K318" s="374">
        <f t="shared" si="139"/>
        <v>1.9474424752832793</v>
      </c>
      <c r="L318" s="374">
        <f t="shared" si="139"/>
        <v>1.8149519616189054</v>
      </c>
      <c r="M318" s="374">
        <f t="shared" si="139"/>
        <v>1.6171794461372577</v>
      </c>
      <c r="N318" s="374">
        <f t="shared" si="139"/>
        <v>1.4877060516664731</v>
      </c>
      <c r="O318" s="374">
        <f t="shared" si="139"/>
        <v>1.3997721939370651</v>
      </c>
      <c r="P318" s="374">
        <f t="shared" si="139"/>
        <v>1.3171610268959502</v>
      </c>
      <c r="Q318" s="374">
        <f t="shared" si="139"/>
        <v>1.2529898533075305</v>
      </c>
      <c r="R318" s="374">
        <f t="shared" si="139"/>
        <v>1.2117361267712348</v>
      </c>
      <c r="S318" s="374">
        <f t="shared" si="139"/>
        <v>1.1773723983561282</v>
      </c>
      <c r="T318" s="374">
        <f t="shared" si="139"/>
        <v>1.1010755491201971</v>
      </c>
      <c r="U318" s="374">
        <f t="shared" si="139"/>
        <v>1.0714698255774584</v>
      </c>
      <c r="V318" s="374">
        <f t="shared" si="139"/>
        <v>0.98725529265788514</v>
      </c>
      <c r="W318" s="374">
        <f t="shared" si="139"/>
        <v>0.96835183019263527</v>
      </c>
      <c r="X318" s="374">
        <f t="shared" si="139"/>
        <v>0.92911068026745913</v>
      </c>
      <c r="Y318" s="374">
        <f t="shared" si="139"/>
        <v>0.86317509227389888</v>
      </c>
      <c r="Z318" s="374">
        <f t="shared" si="139"/>
        <v>0.8217848028993866</v>
      </c>
      <c r="AA318" s="374">
        <f t="shared" si="139"/>
        <v>0.80235398107192624</v>
      </c>
      <c r="AB318" s="374">
        <f t="shared" si="139"/>
        <v>0.74766600638459024</v>
      </c>
      <c r="AC318" s="375">
        <f t="shared" si="139"/>
        <v>0.71814377501155935</v>
      </c>
      <c r="AD318" s="11" t="s">
        <v>376</v>
      </c>
      <c r="AE318" s="68">
        <v>166</v>
      </c>
    </row>
    <row r="319" spans="1:31" ht="15" customHeight="1">
      <c r="A319" s="785"/>
      <c r="B319" s="640"/>
      <c r="C319" s="201">
        <f>C320*$AE$309</f>
        <v>324.68778409505063</v>
      </c>
      <c r="D319" s="201">
        <f t="shared" si="140" ref="D319:H319">D320*$AE$309</f>
        <v>356.67500036445819</v>
      </c>
      <c r="E319" s="201">
        <f t="shared" si="140"/>
        <v>413.02010605729282</v>
      </c>
      <c r="F319" s="201">
        <f t="shared" si="140"/>
        <v>464.24516929076464</v>
      </c>
      <c r="G319" s="201">
        <f t="shared" si="140"/>
        <v>505.90204588526859</v>
      </c>
      <c r="H319" s="201">
        <f t="shared" si="140"/>
        <v>539.19464119104885</v>
      </c>
      <c r="I319" s="201">
        <f>I320*$AE$309</f>
        <v>652.51833333333343</v>
      </c>
      <c r="J319" s="201">
        <f t="shared" si="141" ref="J319:AC319">J320*$AE$309</f>
        <v>757.47774418689414</v>
      </c>
      <c r="K319" s="201">
        <f t="shared" si="141"/>
        <v>852.40001749398664</v>
      </c>
      <c r="L319" s="201">
        <f t="shared" si="141"/>
        <v>914.62475872877053</v>
      </c>
      <c r="M319" s="201">
        <f t="shared" si="141"/>
        <v>1026.4785419855675</v>
      </c>
      <c r="N319" s="201">
        <f t="shared" si="141"/>
        <v>1115.8118219257963</v>
      </c>
      <c r="O319" s="201">
        <f t="shared" si="141"/>
        <v>1185.9072549019609</v>
      </c>
      <c r="P319" s="201">
        <f t="shared" si="141"/>
        <v>1260.2863022086158</v>
      </c>
      <c r="Q319" s="201">
        <f t="shared" si="141"/>
        <v>1324.8311593410597</v>
      </c>
      <c r="R319" s="201">
        <f t="shared" si="141"/>
        <v>1369.9352221371821</v>
      </c>
      <c r="S319" s="201">
        <f t="shared" si="141"/>
        <v>1409.9192424739415</v>
      </c>
      <c r="T319" s="201">
        <f t="shared" si="141"/>
        <v>1507.6168037028938</v>
      </c>
      <c r="U319" s="201">
        <f t="shared" si="141"/>
        <v>1549.273680297398</v>
      </c>
      <c r="V319" s="201">
        <f t="shared" si="141"/>
        <v>1681.4293246592317</v>
      </c>
      <c r="W319" s="201">
        <f t="shared" si="141"/>
        <v>1714.2529690575113</v>
      </c>
      <c r="X319" s="201">
        <f t="shared" si="141"/>
        <v>1786.6547390480355</v>
      </c>
      <c r="Y319" s="201">
        <f t="shared" si="141"/>
        <v>1923.1324152635027</v>
      </c>
      <c r="Z319" s="201">
        <f t="shared" si="141"/>
        <v>2019.9935483635834</v>
      </c>
      <c r="AA319" s="201">
        <f t="shared" si="141"/>
        <v>2068.9122745826958</v>
      </c>
      <c r="AB319" s="201">
        <f t="shared" si="141"/>
        <v>2220.2427097456084</v>
      </c>
      <c r="AC319" s="202">
        <f t="shared" si="141"/>
        <v>2311.5148494788255</v>
      </c>
      <c r="AD319" t="s">
        <v>377</v>
      </c>
      <c r="AE319" s="68"/>
    </row>
    <row r="320" spans="1:31" ht="15" customHeight="1">
      <c r="A320" s="785"/>
      <c r="B320" s="640"/>
      <c r="C320" s="203">
        <f t="shared" si="142" ref="C320:AC320">(C321+C324)/60</f>
        <v>1.9559505065966907</v>
      </c>
      <c r="D320" s="203">
        <f t="shared" si="142"/>
        <v>2.1486445805087842</v>
      </c>
      <c r="E320" s="203">
        <f t="shared" si="142"/>
        <v>2.4880729280559808</v>
      </c>
      <c r="F320" s="203">
        <f t="shared" si="142"/>
        <v>2.7966576463299075</v>
      </c>
      <c r="G320" s="203">
        <f t="shared" si="142"/>
        <v>3.0476026860558347</v>
      </c>
      <c r="H320" s="203">
        <f t="shared" si="142"/>
        <v>3.2481604891027041</v>
      </c>
      <c r="I320" s="203">
        <f t="shared" si="142"/>
        <v>3.9308333333333336</v>
      </c>
      <c r="J320" s="203">
        <f t="shared" si="142"/>
        <v>4.5631189408849044</v>
      </c>
      <c r="K320" s="203">
        <f t="shared" si="142"/>
        <v>5.1349398644216064</v>
      </c>
      <c r="L320" s="203">
        <f t="shared" si="142"/>
        <v>5.5097877031853644</v>
      </c>
      <c r="M320" s="203">
        <f t="shared" si="142"/>
        <v>6.1836056746118526</v>
      </c>
      <c r="N320" s="203">
        <f t="shared" si="142"/>
        <v>6.721757963408411</v>
      </c>
      <c r="O320" s="203">
        <f t="shared" si="142"/>
        <v>7.1440196078431377</v>
      </c>
      <c r="P320" s="203">
        <f t="shared" si="142"/>
        <v>7.5920861578832275</v>
      </c>
      <c r="Q320" s="203">
        <f t="shared" si="142"/>
        <v>7.9809105984401185</v>
      </c>
      <c r="R320" s="203">
        <f t="shared" si="142"/>
        <v>8.2526218201035064</v>
      </c>
      <c r="S320" s="203">
        <f t="shared" si="142"/>
        <v>8.4934894124936235</v>
      </c>
      <c r="T320" s="203">
        <f t="shared" si="142"/>
        <v>9.0820289379692394</v>
      </c>
      <c r="U320" s="203">
        <f t="shared" si="142"/>
        <v>9.3329739776951683</v>
      </c>
      <c r="V320" s="203">
        <f t="shared" si="142"/>
        <v>10.129092317224288</v>
      </c>
      <c r="W320" s="203">
        <f t="shared" si="142"/>
        <v>10.326825114804285</v>
      </c>
      <c r="X320" s="203">
        <f t="shared" si="142"/>
        <v>10.762980355711058</v>
      </c>
      <c r="Y320" s="203">
        <f t="shared" si="142"/>
        <v>11.585135031707848</v>
      </c>
      <c r="Z320" s="203">
        <f t="shared" si="142"/>
        <v>12.168635833515562</v>
      </c>
      <c r="AA320" s="203">
        <f t="shared" si="142"/>
        <v>12.463326955317443</v>
      </c>
      <c r="AB320" s="203">
        <f t="shared" si="142"/>
        <v>13.37495608280487</v>
      </c>
      <c r="AC320" s="204">
        <f t="shared" si="142"/>
        <v>13.924788249872442</v>
      </c>
      <c r="AD320" t="s">
        <v>17</v>
      </c>
      <c r="AE320" s="68"/>
    </row>
    <row r="321" spans="1:31" ht="15" customHeight="1">
      <c r="A321" s="785"/>
      <c r="B321" s="640"/>
      <c r="C321" s="205">
        <f>$I$321*C322</f>
        <v>38.752941176470593</v>
      </c>
      <c r="D321" s="205">
        <f t="shared" si="143" ref="D321:H321">$I$321*D322</f>
        <v>43.058823529411768</v>
      </c>
      <c r="E321" s="205">
        <f t="shared" si="143"/>
        <v>49.517647058823535</v>
      </c>
      <c r="F321" s="205">
        <f t="shared" si="143"/>
        <v>53.82352941176471</v>
      </c>
      <c r="G321" s="205">
        <f t="shared" si="143"/>
        <v>59.205882352941181</v>
      </c>
      <c r="H321" s="205">
        <f t="shared" si="143"/>
        <v>64.588235294117652</v>
      </c>
      <c r="I321" s="376">
        <v>73.20</v>
      </c>
      <c r="J321" s="205">
        <f t="shared" si="144" ref="J321:AC321">$I$321*J322</f>
        <v>81.811764705882354</v>
      </c>
      <c r="K321" s="205">
        <f t="shared" si="144"/>
        <v>90.423529411764719</v>
      </c>
      <c r="L321" s="205">
        <f t="shared" si="144"/>
        <v>79.658823529411762</v>
      </c>
      <c r="M321" s="205">
        <f t="shared" si="144"/>
        <v>92.576470588235296</v>
      </c>
      <c r="N321" s="205">
        <f t="shared" si="144"/>
        <v>97.95882352941176</v>
      </c>
      <c r="O321" s="205">
        <f t="shared" si="144"/>
        <v>103.34117647058825</v>
      </c>
      <c r="P321" s="205">
        <f t="shared" si="144"/>
        <v>110.87647058823529</v>
      </c>
      <c r="Q321" s="205">
        <f t="shared" si="144"/>
        <v>122.71764705882353</v>
      </c>
      <c r="R321" s="205">
        <f t="shared" si="144"/>
        <v>130.25294117647059</v>
      </c>
      <c r="S321" s="205">
        <f t="shared" si="144"/>
        <v>135.63529411764708</v>
      </c>
      <c r="T321" s="205">
        <f t="shared" si="144"/>
        <v>141.01764705882354</v>
      </c>
      <c r="U321" s="205">
        <f t="shared" si="144"/>
        <v>146.40000000000001</v>
      </c>
      <c r="V321" s="205">
        <f t="shared" si="144"/>
        <v>146.40000000000001</v>
      </c>
      <c r="W321" s="205">
        <f t="shared" si="144"/>
        <v>150.70588235294116</v>
      </c>
      <c r="X321" s="205">
        <f t="shared" si="144"/>
        <v>151.7823529411765</v>
      </c>
      <c r="Y321" s="205">
        <f t="shared" si="144"/>
        <v>163.62352941176471</v>
      </c>
      <c r="Z321" s="205">
        <f t="shared" si="144"/>
        <v>169.00588235294117</v>
      </c>
      <c r="AA321" s="205">
        <f t="shared" si="144"/>
        <v>177.61764705882354</v>
      </c>
      <c r="AB321" s="205">
        <f t="shared" si="144"/>
        <v>185.15294117647059</v>
      </c>
      <c r="AC321" s="206">
        <f t="shared" si="144"/>
        <v>187.30588235294118</v>
      </c>
      <c r="AD321" t="s">
        <v>505</v>
      </c>
      <c r="AE321" s="68"/>
    </row>
    <row r="322" spans="1:31" ht="15" customHeight="1">
      <c r="A322" s="785"/>
      <c r="B322" s="640"/>
      <c r="C322" s="121">
        <f>C323/I323</f>
        <v>0.52941176470588236</v>
      </c>
      <c r="D322" s="121">
        <f t="shared" si="145" ref="D322:H322">D323/$I$314</f>
        <v>0.58823529411764708</v>
      </c>
      <c r="E322" s="121">
        <f t="shared" si="145"/>
        <v>0.67647058823529416</v>
      </c>
      <c r="F322" s="121">
        <f t="shared" si="145"/>
        <v>0.73529411764705888</v>
      </c>
      <c r="G322" s="121">
        <f t="shared" si="145"/>
        <v>0.80882352941176472</v>
      </c>
      <c r="H322" s="121">
        <f t="shared" si="145"/>
        <v>0.88235294117647056</v>
      </c>
      <c r="I322" s="121">
        <f>I323/$I$314</f>
        <v>1</v>
      </c>
      <c r="J322" s="121">
        <f t="shared" si="146" ref="J322:AC322">J323/$I$314</f>
        <v>1.1176470588235294</v>
      </c>
      <c r="K322" s="121">
        <f t="shared" si="146"/>
        <v>1.2352941176470589</v>
      </c>
      <c r="L322" s="121">
        <f t="shared" si="146"/>
        <v>1.088235294117647</v>
      </c>
      <c r="M322" s="121">
        <f t="shared" si="146"/>
        <v>1.2647058823529411</v>
      </c>
      <c r="N322" s="121">
        <f t="shared" si="146"/>
        <v>1.338235294117647</v>
      </c>
      <c r="O322" s="121">
        <f t="shared" si="146"/>
        <v>1.411764705882353</v>
      </c>
      <c r="P322" s="121">
        <f t="shared" si="146"/>
        <v>1.5147058823529411</v>
      </c>
      <c r="Q322" s="121">
        <f t="shared" si="146"/>
        <v>1.6764705882352942</v>
      </c>
      <c r="R322" s="121">
        <f t="shared" si="146"/>
        <v>1.7794117647058822</v>
      </c>
      <c r="S322" s="121">
        <f t="shared" si="146"/>
        <v>1.8529411764705883</v>
      </c>
      <c r="T322" s="121">
        <f t="shared" si="146"/>
        <v>1.9264705882352942</v>
      </c>
      <c r="U322" s="121">
        <f t="shared" si="146"/>
        <v>2</v>
      </c>
      <c r="V322" s="121">
        <f t="shared" si="146"/>
        <v>2</v>
      </c>
      <c r="W322" s="121">
        <f t="shared" si="146"/>
        <v>2.0588235294117645</v>
      </c>
      <c r="X322" s="121">
        <f t="shared" si="146"/>
        <v>2.0735294117647061</v>
      </c>
      <c r="Y322" s="121">
        <f t="shared" si="146"/>
        <v>2.2352941176470589</v>
      </c>
      <c r="Z322" s="121">
        <f t="shared" si="146"/>
        <v>2.3088235294117645</v>
      </c>
      <c r="AA322" s="121">
        <f t="shared" si="146"/>
        <v>2.4264705882352939</v>
      </c>
      <c r="AB322" s="121">
        <f t="shared" si="146"/>
        <v>2.5294117647058822</v>
      </c>
      <c r="AC322" s="123">
        <f t="shared" si="146"/>
        <v>2.5588235294117645</v>
      </c>
      <c r="AD322" t="s">
        <v>506</v>
      </c>
      <c r="AE322" s="68"/>
    </row>
    <row r="323" spans="1:31" ht="15" customHeight="1">
      <c r="A323" s="785"/>
      <c r="B323" s="640"/>
      <c r="C323" s="54">
        <f>C314</f>
        <v>72</v>
      </c>
      <c r="D323" s="54">
        <f t="shared" si="147" ref="D323:H323">D314</f>
        <v>80</v>
      </c>
      <c r="E323" s="54">
        <f t="shared" si="147"/>
        <v>92</v>
      </c>
      <c r="F323" s="54">
        <f t="shared" si="147"/>
        <v>100</v>
      </c>
      <c r="G323" s="54">
        <f t="shared" si="147"/>
        <v>110</v>
      </c>
      <c r="H323" s="54">
        <f t="shared" si="147"/>
        <v>120</v>
      </c>
      <c r="I323" s="90">
        <v>136</v>
      </c>
      <c r="J323" s="90">
        <f>J314</f>
        <v>152</v>
      </c>
      <c r="K323" s="90">
        <f t="shared" si="148" ref="K323:AC323">K314</f>
        <v>168</v>
      </c>
      <c r="L323" s="90">
        <f t="shared" si="148"/>
        <v>148</v>
      </c>
      <c r="M323" s="90">
        <f t="shared" si="148"/>
        <v>172</v>
      </c>
      <c r="N323" s="90">
        <f t="shared" si="148"/>
        <v>182</v>
      </c>
      <c r="O323" s="90">
        <f t="shared" si="148"/>
        <v>192</v>
      </c>
      <c r="P323" s="90">
        <f t="shared" si="148"/>
        <v>206</v>
      </c>
      <c r="Q323" s="90">
        <f t="shared" si="148"/>
        <v>228</v>
      </c>
      <c r="R323" s="90">
        <f t="shared" si="148"/>
        <v>242</v>
      </c>
      <c r="S323" s="90">
        <f t="shared" si="148"/>
        <v>252</v>
      </c>
      <c r="T323" s="90">
        <f t="shared" si="148"/>
        <v>262</v>
      </c>
      <c r="U323" s="90">
        <f t="shared" si="148"/>
        <v>272</v>
      </c>
      <c r="V323" s="90">
        <f t="shared" si="148"/>
        <v>272</v>
      </c>
      <c r="W323" s="90">
        <f t="shared" si="148"/>
        <v>280</v>
      </c>
      <c r="X323" s="90">
        <f t="shared" si="148"/>
        <v>282</v>
      </c>
      <c r="Y323" s="90">
        <f t="shared" si="148"/>
        <v>304</v>
      </c>
      <c r="Z323" s="90">
        <f t="shared" si="148"/>
        <v>314</v>
      </c>
      <c r="AA323" s="90">
        <f t="shared" si="148"/>
        <v>330</v>
      </c>
      <c r="AB323" s="90">
        <f t="shared" si="148"/>
        <v>344</v>
      </c>
      <c r="AC323" s="300">
        <f t="shared" si="148"/>
        <v>348</v>
      </c>
      <c r="AD323" t="s">
        <v>507</v>
      </c>
      <c r="AE323" s="68"/>
    </row>
    <row r="324" spans="1:31" ht="15" customHeight="1">
      <c r="A324" s="785"/>
      <c r="B324" s="640"/>
      <c r="C324" s="203">
        <f>$I$324*C325</f>
        <v>78.604089219330859</v>
      </c>
      <c r="D324" s="203">
        <f t="shared" si="149" ref="D324:H324">$I$324*D325</f>
        <v>85.859851301115256</v>
      </c>
      <c r="E324" s="203">
        <f t="shared" si="149"/>
        <v>99.766728624535318</v>
      </c>
      <c r="F324" s="203">
        <f t="shared" si="149"/>
        <v>113.97592936802974</v>
      </c>
      <c r="G324" s="203">
        <f t="shared" si="149"/>
        <v>123.65027881040892</v>
      </c>
      <c r="H324" s="203">
        <f t="shared" si="149"/>
        <v>130.3013940520446</v>
      </c>
      <c r="I324" s="376">
        <v>162.65</v>
      </c>
      <c r="J324" s="203">
        <f t="shared" si="150" ref="J324:AC324">$I$324*J325</f>
        <v>191.97537174721188</v>
      </c>
      <c r="K324" s="203">
        <f t="shared" si="150"/>
        <v>217.67286245353162</v>
      </c>
      <c r="L324" s="203">
        <f t="shared" si="150"/>
        <v>250.92843866171009</v>
      </c>
      <c r="M324" s="203">
        <f t="shared" si="150"/>
        <v>278.43986988847587</v>
      </c>
      <c r="N324" s="203">
        <f t="shared" si="150"/>
        <v>305.34665427509293</v>
      </c>
      <c r="O324" s="203">
        <f t="shared" si="150"/>
        <v>325.30</v>
      </c>
      <c r="P324" s="203">
        <f t="shared" si="150"/>
        <v>344.64869888475835</v>
      </c>
      <c r="Q324" s="203">
        <f t="shared" si="150"/>
        <v>356.13698884758361</v>
      </c>
      <c r="R324" s="203">
        <f t="shared" si="150"/>
        <v>364.90436802973983</v>
      </c>
      <c r="S324" s="203">
        <f t="shared" si="150"/>
        <v>373.97407063197028</v>
      </c>
      <c r="T324" s="203">
        <f t="shared" si="150"/>
        <v>403.90408921933084</v>
      </c>
      <c r="U324" s="203">
        <f t="shared" si="150"/>
        <v>413.57843866171009</v>
      </c>
      <c r="V324" s="203">
        <f t="shared" si="150"/>
        <v>461.34553903345727</v>
      </c>
      <c r="W324" s="203">
        <f t="shared" si="150"/>
        <v>468.903624535316</v>
      </c>
      <c r="X324" s="203">
        <f t="shared" si="150"/>
        <v>493.99646840148699</v>
      </c>
      <c r="Y324" s="203">
        <f t="shared" si="150"/>
        <v>531.48457249070623</v>
      </c>
      <c r="Z324" s="203">
        <f t="shared" si="150"/>
        <v>561.11226765799256</v>
      </c>
      <c r="AA324" s="203">
        <f t="shared" si="150"/>
        <v>570.18197026022301</v>
      </c>
      <c r="AB324" s="203">
        <f t="shared" si="150"/>
        <v>617.34442379182167</v>
      </c>
      <c r="AC324" s="204">
        <f t="shared" si="150"/>
        <v>648.18141263940527</v>
      </c>
      <c r="AD324" t="s">
        <v>508</v>
      </c>
      <c r="AE324" s="68"/>
    </row>
    <row r="325" spans="1:31" ht="15" customHeight="1">
      <c r="A325" s="785"/>
      <c r="B325" s="640"/>
      <c r="C325" s="121">
        <f>C326/$I$326</f>
        <v>0.48327137546468402</v>
      </c>
      <c r="D325" s="121">
        <f t="shared" si="151" ref="D325:H325">D326/$I$326</f>
        <v>0.52788104089219334</v>
      </c>
      <c r="E325" s="121">
        <f t="shared" si="151"/>
        <v>0.61338289962825276</v>
      </c>
      <c r="F325" s="121">
        <f t="shared" si="151"/>
        <v>0.7007434944237918</v>
      </c>
      <c r="G325" s="121">
        <f t="shared" si="151"/>
        <v>0.7602230483271375</v>
      </c>
      <c r="H325" s="121">
        <f t="shared" si="151"/>
        <v>0.8011152416356877</v>
      </c>
      <c r="I325" s="121">
        <f>I326/$I$317</f>
        <v>1</v>
      </c>
      <c r="J325" s="121">
        <f t="shared" si="152" ref="J325:AC325">J326/$I$326</f>
        <v>1.1802973977695166</v>
      </c>
      <c r="K325" s="121">
        <f t="shared" si="152"/>
        <v>1.3382899628252789</v>
      </c>
      <c r="L325" s="121">
        <f t="shared" si="152"/>
        <v>1.5427509293680299</v>
      </c>
      <c r="M325" s="121">
        <f t="shared" si="152"/>
        <v>1.7118959107806693</v>
      </c>
      <c r="N325" s="121">
        <f t="shared" si="152"/>
        <v>1.8773234200743494</v>
      </c>
      <c r="O325" s="121">
        <f t="shared" si="152"/>
        <v>2</v>
      </c>
      <c r="P325" s="121">
        <f t="shared" si="152"/>
        <v>2.1189591078066914</v>
      </c>
      <c r="Q325" s="121">
        <f t="shared" si="152"/>
        <v>2.1895910780669143</v>
      </c>
      <c r="R325" s="121">
        <f t="shared" si="152"/>
        <v>2.2434944237918217</v>
      </c>
      <c r="S325" s="121">
        <f t="shared" si="152"/>
        <v>2.2992565055762082</v>
      </c>
      <c r="T325" s="121">
        <f t="shared" si="152"/>
        <v>2.483271375464684</v>
      </c>
      <c r="U325" s="121">
        <f t="shared" si="152"/>
        <v>2.5427509293680299</v>
      </c>
      <c r="V325" s="121">
        <f t="shared" si="152"/>
        <v>2.8364312267657992</v>
      </c>
      <c r="W325" s="121">
        <f t="shared" si="152"/>
        <v>2.8828996282527881</v>
      </c>
      <c r="X325" s="121">
        <f t="shared" si="152"/>
        <v>3.037174721189591</v>
      </c>
      <c r="Y325" s="121">
        <f t="shared" si="152"/>
        <v>3.2676579925650553</v>
      </c>
      <c r="Z325" s="121">
        <f t="shared" si="152"/>
        <v>3.449814126394052</v>
      </c>
      <c r="AA325" s="121">
        <f t="shared" si="152"/>
        <v>3.5055762081784385</v>
      </c>
      <c r="AB325" s="121">
        <f t="shared" si="152"/>
        <v>3.7955390334572496</v>
      </c>
      <c r="AC325" s="123">
        <f t="shared" si="152"/>
        <v>3.985130111524164</v>
      </c>
      <c r="AD325" t="s">
        <v>463</v>
      </c>
      <c r="AE325" s="68"/>
    </row>
    <row r="326" spans="1:31" ht="15.75" thickBot="1">
      <c r="A326" s="786"/>
      <c r="B326" s="778"/>
      <c r="C326" s="77">
        <f>C317</f>
        <v>2.60</v>
      </c>
      <c r="D326" s="77">
        <v>2.84</v>
      </c>
      <c r="E326" s="77">
        <f t="shared" si="153" ref="E326:AC326">E317</f>
        <v>3.30</v>
      </c>
      <c r="F326" s="77">
        <f t="shared" si="153"/>
        <v>3.77</v>
      </c>
      <c r="G326" s="77">
        <f t="shared" si="153"/>
        <v>4.09</v>
      </c>
      <c r="H326" s="77">
        <f t="shared" si="153"/>
        <v>4.3099999999999996</v>
      </c>
      <c r="I326" s="77">
        <f t="shared" si="153"/>
        <v>5.38</v>
      </c>
      <c r="J326" s="77">
        <f t="shared" si="153"/>
        <v>6.35</v>
      </c>
      <c r="K326" s="77">
        <f t="shared" si="153"/>
        <v>7.20</v>
      </c>
      <c r="L326" s="77">
        <f t="shared" si="153"/>
        <v>8.3000000000000007</v>
      </c>
      <c r="M326" s="77">
        <f t="shared" si="153"/>
        <v>9.2100000000000009</v>
      </c>
      <c r="N326" s="77">
        <f t="shared" si="153"/>
        <v>10.10</v>
      </c>
      <c r="O326" s="77">
        <f t="shared" si="153"/>
        <v>10.76</v>
      </c>
      <c r="P326" s="77">
        <f t="shared" si="153"/>
        <v>11.40</v>
      </c>
      <c r="Q326" s="77">
        <f t="shared" si="153"/>
        <v>11.78</v>
      </c>
      <c r="R326" s="77">
        <f t="shared" si="153"/>
        <v>12.07</v>
      </c>
      <c r="S326" s="77">
        <f t="shared" si="153"/>
        <v>12.37</v>
      </c>
      <c r="T326" s="77">
        <f t="shared" si="153"/>
        <v>13.36</v>
      </c>
      <c r="U326" s="77">
        <f t="shared" si="153"/>
        <v>13.68</v>
      </c>
      <c r="V326" s="77">
        <f t="shared" si="153"/>
        <v>15.26</v>
      </c>
      <c r="W326" s="77">
        <f t="shared" si="153"/>
        <v>15.51</v>
      </c>
      <c r="X326" s="77">
        <f t="shared" si="153"/>
        <v>16.34</v>
      </c>
      <c r="Y326" s="77">
        <f t="shared" si="153"/>
        <v>17.579999999999998</v>
      </c>
      <c r="Z326" s="77">
        <f t="shared" si="153"/>
        <v>18.56</v>
      </c>
      <c r="AA326" s="77">
        <f t="shared" si="153"/>
        <v>18.86</v>
      </c>
      <c r="AB326" s="77">
        <f t="shared" si="153"/>
        <v>20.420000000000002</v>
      </c>
      <c r="AC326" s="104">
        <f t="shared" si="153"/>
        <v>21.44</v>
      </c>
      <c r="AD326" s="107" t="s">
        <v>464</v>
      </c>
      <c r="AE326" s="68"/>
    </row>
    <row r="327" spans="1:31" ht="15" customHeight="1" thickBot="1">
      <c r="A327" s="323"/>
      <c r="B327" s="324" t="s">
        <v>134</v>
      </c>
      <c r="C327" s="323"/>
      <c r="D327" s="323"/>
      <c r="E327" s="323"/>
      <c r="F327" s="323"/>
      <c r="G327" s="323"/>
      <c r="H327" s="323"/>
      <c r="I327" s="323"/>
      <c r="J327" s="323"/>
      <c r="K327" s="323"/>
      <c r="L327" s="323"/>
      <c r="M327" s="323"/>
      <c r="N327" s="323"/>
      <c r="O327" s="323"/>
      <c r="P327" s="323"/>
      <c r="Q327" s="323"/>
      <c r="R327" s="323"/>
      <c r="S327" s="323"/>
      <c r="T327" s="323"/>
      <c r="U327" s="323"/>
      <c r="V327" s="323"/>
      <c r="W327" s="323"/>
      <c r="X327" s="323"/>
      <c r="Y327" s="323"/>
      <c r="Z327" s="323"/>
      <c r="AA327" s="323"/>
      <c r="AB327" s="323"/>
      <c r="AC327" s="323"/>
      <c r="AD327" s="107"/>
      <c r="AE327" s="68"/>
    </row>
    <row r="328" spans="1:31" ht="15" customHeight="1">
      <c r="A328" s="765" t="s">
        <v>297</v>
      </c>
      <c r="B328" s="756" t="s">
        <v>779</v>
      </c>
      <c r="C328" s="78">
        <f t="shared" si="154" ref="C328:AC328">C332/$J$332</f>
        <v>0.80672268907563027</v>
      </c>
      <c r="D328" s="78">
        <f t="shared" si="154"/>
        <v>0.83613445378151263</v>
      </c>
      <c r="E328" s="78">
        <f t="shared" si="154"/>
        <v>0.84453781512605042</v>
      </c>
      <c r="F328" s="78">
        <f t="shared" si="154"/>
        <v>0.87184873949579833</v>
      </c>
      <c r="G328" s="78">
        <f t="shared" si="154"/>
        <v>0.89810924369747902</v>
      </c>
      <c r="H328" s="78">
        <f t="shared" si="154"/>
        <v>0.90336134453781514</v>
      </c>
      <c r="I328" s="78">
        <f t="shared" si="154"/>
        <v>0.93907563025210083</v>
      </c>
      <c r="J328" s="306">
        <f>J332/$J$332</f>
        <v>1</v>
      </c>
      <c r="K328" s="78">
        <f t="shared" si="154"/>
        <v>1.0504201680672269</v>
      </c>
      <c r="L328" s="78">
        <f t="shared" si="154"/>
        <v>1.0840336134453781</v>
      </c>
      <c r="M328" s="78">
        <f t="shared" si="154"/>
        <v>1.1481092436974789</v>
      </c>
      <c r="N328" s="78">
        <f t="shared" si="154"/>
        <v>1.1911764705882353</v>
      </c>
      <c r="O328" s="78">
        <f t="shared" si="154"/>
        <v>1.2111344537815125</v>
      </c>
      <c r="P328" s="78">
        <f t="shared" si="154"/>
        <v>1.2384453781512605</v>
      </c>
      <c r="Q328" s="78">
        <f t="shared" si="154"/>
        <v>1.2815126050420169</v>
      </c>
      <c r="R328" s="78">
        <f t="shared" si="154"/>
        <v>1.2909663865546219</v>
      </c>
      <c r="S328" s="78">
        <f t="shared" si="154"/>
        <v>1.296218487394958</v>
      </c>
      <c r="T328" s="78">
        <f t="shared" si="154"/>
        <v>1.3476890756302522</v>
      </c>
      <c r="U328" s="78">
        <f t="shared" si="154"/>
        <v>1.3529411764705883</v>
      </c>
      <c r="V328" s="78">
        <f t="shared" si="154"/>
        <v>1.3991596638655461</v>
      </c>
      <c r="W328" s="78">
        <f t="shared" si="154"/>
        <v>1.4002100840336134</v>
      </c>
      <c r="X328" s="78">
        <f t="shared" si="154"/>
        <v>1.4044117647058822</v>
      </c>
      <c r="Y328" s="78">
        <f t="shared" si="154"/>
        <v>1.4600840336134453</v>
      </c>
      <c r="Z328" s="78">
        <f t="shared" si="154"/>
        <v>1.4653361344537814</v>
      </c>
      <c r="AA328" s="78">
        <f t="shared" si="154"/>
        <v>1.471638655462185</v>
      </c>
      <c r="AB328" s="78">
        <f t="shared" si="154"/>
        <v>1.5231092436974789</v>
      </c>
      <c r="AC328" s="100">
        <f t="shared" si="154"/>
        <v>1.5231092436974789</v>
      </c>
      <c r="AD328" s="107" t="s">
        <v>395</v>
      </c>
      <c r="AE328" s="68">
        <v>200</v>
      </c>
    </row>
    <row r="329" spans="1:31" ht="15" customHeight="1">
      <c r="A329" s="794"/>
      <c r="B329" s="641"/>
      <c r="C329" s="121">
        <f t="shared" si="155" ref="C329:I329">2*2*C328</f>
        <v>3.2268907563025211</v>
      </c>
      <c r="D329" s="121">
        <f t="shared" si="155"/>
        <v>3.3445378151260505</v>
      </c>
      <c r="E329" s="121">
        <f t="shared" si="155"/>
        <v>3.3781512605042017</v>
      </c>
      <c r="F329" s="121">
        <f t="shared" si="155"/>
        <v>3.4873949579831933</v>
      </c>
      <c r="G329" s="121">
        <f t="shared" si="155"/>
        <v>3.5924369747899161</v>
      </c>
      <c r="H329" s="121">
        <f t="shared" si="155"/>
        <v>3.6134453781512605</v>
      </c>
      <c r="I329" s="121">
        <f t="shared" si="155"/>
        <v>3.7563025210084033</v>
      </c>
      <c r="J329" s="368">
        <f>2*2*J328</f>
        <v>4</v>
      </c>
      <c r="K329" s="121">
        <f t="shared" si="156" ref="K329:AC329">2*2*K328</f>
        <v>4.2016806722689077</v>
      </c>
      <c r="L329" s="121">
        <f t="shared" si="156"/>
        <v>4.3361344537815123</v>
      </c>
      <c r="M329" s="121">
        <f t="shared" si="156"/>
        <v>4.5924369747899156</v>
      </c>
      <c r="N329" s="121">
        <f t="shared" si="156"/>
        <v>4.7647058823529411</v>
      </c>
      <c r="O329" s="121">
        <f t="shared" si="156"/>
        <v>4.8445378151260501</v>
      </c>
      <c r="P329" s="121">
        <f t="shared" si="156"/>
        <v>4.9537815126050422</v>
      </c>
      <c r="Q329" s="121">
        <f t="shared" si="156"/>
        <v>5.1260504201680677</v>
      </c>
      <c r="R329" s="121">
        <f t="shared" si="156"/>
        <v>5.1638655462184877</v>
      </c>
      <c r="S329" s="121">
        <f t="shared" si="156"/>
        <v>5.1848739495798322</v>
      </c>
      <c r="T329" s="121">
        <f t="shared" si="156"/>
        <v>5.3907563025210088</v>
      </c>
      <c r="U329" s="121">
        <f t="shared" si="156"/>
        <v>5.4117647058823533</v>
      </c>
      <c r="V329" s="121">
        <f t="shared" si="156"/>
        <v>5.5966386554621845</v>
      </c>
      <c r="W329" s="121">
        <f t="shared" si="156"/>
        <v>5.6008403361344534</v>
      </c>
      <c r="X329" s="121">
        <f t="shared" si="156"/>
        <v>5.617647058823529</v>
      </c>
      <c r="Y329" s="121">
        <f t="shared" si="156"/>
        <v>5.8403361344537812</v>
      </c>
      <c r="Z329" s="121">
        <f t="shared" si="156"/>
        <v>5.8613445378151257</v>
      </c>
      <c r="AA329" s="121">
        <f t="shared" si="156"/>
        <v>5.8865546218487399</v>
      </c>
      <c r="AB329" s="121">
        <f t="shared" si="156"/>
        <v>6.0924369747899156</v>
      </c>
      <c r="AC329" s="123">
        <f t="shared" si="156"/>
        <v>6.0924369747899156</v>
      </c>
      <c r="AD329" s="107" t="s">
        <v>393</v>
      </c>
      <c r="AE329" s="68"/>
    </row>
    <row r="330" spans="1:31" ht="15" customHeight="1">
      <c r="A330" s="794"/>
      <c r="B330" s="641"/>
      <c r="C330" s="80">
        <f t="shared" si="157" ref="C330:I330">C329*$AE$328</f>
        <v>645.37815126050418</v>
      </c>
      <c r="D330" s="80">
        <f t="shared" si="157"/>
        <v>668.90756302521015</v>
      </c>
      <c r="E330" s="80">
        <f t="shared" si="157"/>
        <v>675.63025210084038</v>
      </c>
      <c r="F330" s="80">
        <f t="shared" si="157"/>
        <v>697.47899159663871</v>
      </c>
      <c r="G330" s="80">
        <f t="shared" si="157"/>
        <v>718.48739495798327</v>
      </c>
      <c r="H330" s="80">
        <f t="shared" si="157"/>
        <v>722.68907563025209</v>
      </c>
      <c r="I330" s="80">
        <f t="shared" si="157"/>
        <v>751.26050420168065</v>
      </c>
      <c r="J330" s="321">
        <f>J329*$AE$328</f>
        <v>800</v>
      </c>
      <c r="K330" s="80">
        <f t="shared" si="158" ref="K330:AC330">K329*$AE$328</f>
        <v>840.3361344537816</v>
      </c>
      <c r="L330" s="80">
        <f t="shared" si="158"/>
        <v>867.22689075630251</v>
      </c>
      <c r="M330" s="80">
        <f t="shared" si="158"/>
        <v>918.48739495798316</v>
      </c>
      <c r="N330" s="80">
        <f t="shared" si="158"/>
        <v>952.94117647058818</v>
      </c>
      <c r="O330" s="80">
        <f t="shared" si="158"/>
        <v>968.90756302521004</v>
      </c>
      <c r="P330" s="80">
        <f t="shared" si="158"/>
        <v>990.75630252100848</v>
      </c>
      <c r="Q330" s="80">
        <f t="shared" si="158"/>
        <v>1025.2100840336136</v>
      </c>
      <c r="R330" s="80">
        <f t="shared" si="158"/>
        <v>1032.7731092436975</v>
      </c>
      <c r="S330" s="80">
        <f t="shared" si="158"/>
        <v>1036.9747899159665</v>
      </c>
      <c r="T330" s="80">
        <f t="shared" si="158"/>
        <v>1078.1512605042017</v>
      </c>
      <c r="U330" s="80">
        <f t="shared" si="158"/>
        <v>1082.3529411764707</v>
      </c>
      <c r="V330" s="80">
        <f t="shared" si="158"/>
        <v>1119.3277310924368</v>
      </c>
      <c r="W330" s="80">
        <f t="shared" si="158"/>
        <v>1120.1680672268908</v>
      </c>
      <c r="X330" s="80">
        <f t="shared" si="158"/>
        <v>1123.5294117647059</v>
      </c>
      <c r="Y330" s="80">
        <f t="shared" si="158"/>
        <v>1168.0672268907563</v>
      </c>
      <c r="Z330" s="80">
        <f t="shared" si="158"/>
        <v>1172.2689075630251</v>
      </c>
      <c r="AA330" s="80">
        <f t="shared" si="158"/>
        <v>1177.3109243697479</v>
      </c>
      <c r="AB330" s="80">
        <f t="shared" si="158"/>
        <v>1218.487394957983</v>
      </c>
      <c r="AC330" s="197">
        <f t="shared" si="158"/>
        <v>1218.487394957983</v>
      </c>
      <c r="AD330" s="107" t="s">
        <v>378</v>
      </c>
      <c r="AE330" s="68"/>
    </row>
    <row r="331" spans="1:31" ht="15" customHeight="1">
      <c r="A331" s="766"/>
      <c r="B331" s="638"/>
      <c r="C331" s="108">
        <f t="shared" si="159" ref="C331:AC331">$AC$2/C329*2</f>
        <v>6.1979166666666661</v>
      </c>
      <c r="D331" s="108">
        <f t="shared" si="159"/>
        <v>5.9798994974874367</v>
      </c>
      <c r="E331" s="108">
        <f t="shared" si="159"/>
        <v>5.9203980099502491</v>
      </c>
      <c r="F331" s="108">
        <f t="shared" si="159"/>
        <v>5.7349397590361448</v>
      </c>
      <c r="G331" s="108">
        <f t="shared" si="159"/>
        <v>5.5672514619883042</v>
      </c>
      <c r="H331" s="108">
        <f t="shared" si="159"/>
        <v>5.5348837209302326</v>
      </c>
      <c r="I331" s="108">
        <f t="shared" si="159"/>
        <v>5.3243847874720363</v>
      </c>
      <c r="J331" s="99">
        <f>$AC$2/J329*2</f>
        <v>5</v>
      </c>
      <c r="K331" s="108">
        <f t="shared" si="159"/>
        <v>4.76</v>
      </c>
      <c r="L331" s="108">
        <f t="shared" si="159"/>
        <v>4.612403100775194</v>
      </c>
      <c r="M331" s="108">
        <f t="shared" si="159"/>
        <v>4.3549862763037517</v>
      </c>
      <c r="N331" s="108">
        <f t="shared" si="159"/>
        <v>4.1975308641975309</v>
      </c>
      <c r="O331" s="108">
        <f t="shared" si="159"/>
        <v>4.1283607979184742</v>
      </c>
      <c r="P331" s="108">
        <f t="shared" si="159"/>
        <v>4.0373197625106023</v>
      </c>
      <c r="Q331" s="108">
        <f t="shared" si="159"/>
        <v>3.9016393442622945</v>
      </c>
      <c r="R331" s="108">
        <f t="shared" si="159"/>
        <v>3.8730675345809598</v>
      </c>
      <c r="S331" s="108">
        <f t="shared" si="159"/>
        <v>3.8573743922204211</v>
      </c>
      <c r="T331" s="108">
        <f t="shared" si="159"/>
        <v>3.7100545596258767</v>
      </c>
      <c r="U331" s="108">
        <f t="shared" si="159"/>
        <v>3.6956521739130435</v>
      </c>
      <c r="V331" s="108">
        <f t="shared" si="159"/>
        <v>3.5735735735735736</v>
      </c>
      <c r="W331" s="108">
        <f t="shared" si="159"/>
        <v>3.5708927231807954</v>
      </c>
      <c r="X331" s="108">
        <f t="shared" si="159"/>
        <v>3.5602094240837698</v>
      </c>
      <c r="Y331" s="108">
        <f t="shared" si="159"/>
        <v>3.4244604316546763</v>
      </c>
      <c r="Z331" s="108">
        <f t="shared" si="159"/>
        <v>3.4121863799283156</v>
      </c>
      <c r="AA331" s="108">
        <f t="shared" si="159"/>
        <v>3.3975731620271232</v>
      </c>
      <c r="AB331" s="108">
        <f t="shared" si="159"/>
        <v>3.2827586206896555</v>
      </c>
      <c r="AC331" s="136">
        <f t="shared" si="159"/>
        <v>3.2827586206896555</v>
      </c>
      <c r="AD331" s="107" t="s">
        <v>376</v>
      </c>
      <c r="AE331" s="68"/>
    </row>
    <row r="332" spans="1:31" ht="15" customHeight="1" thickBot="1">
      <c r="A332" s="767"/>
      <c r="B332" s="757"/>
      <c r="C332" s="77">
        <v>1536</v>
      </c>
      <c r="D332" s="77">
        <v>1592</v>
      </c>
      <c r="E332" s="77">
        <v>1608</v>
      </c>
      <c r="F332" s="77">
        <v>1660</v>
      </c>
      <c r="G332" s="77">
        <v>1710</v>
      </c>
      <c r="H332" s="77">
        <v>1720</v>
      </c>
      <c r="I332" s="77">
        <v>1788</v>
      </c>
      <c r="J332" s="77">
        <v>1904</v>
      </c>
      <c r="K332" s="77">
        <v>2000</v>
      </c>
      <c r="L332" s="77">
        <v>2064</v>
      </c>
      <c r="M332" s="77">
        <v>2186</v>
      </c>
      <c r="N332" s="77">
        <v>2268</v>
      </c>
      <c r="O332" s="77">
        <v>2306</v>
      </c>
      <c r="P332" s="77">
        <v>2358</v>
      </c>
      <c r="Q332" s="77">
        <v>2440</v>
      </c>
      <c r="R332" s="77">
        <v>2458</v>
      </c>
      <c r="S332" s="77">
        <v>2468</v>
      </c>
      <c r="T332" s="77">
        <v>2566</v>
      </c>
      <c r="U332" s="77">
        <v>2576</v>
      </c>
      <c r="V332" s="77">
        <v>2664</v>
      </c>
      <c r="W332" s="77">
        <v>2666</v>
      </c>
      <c r="X332" s="77">
        <v>2674</v>
      </c>
      <c r="Y332" s="77">
        <v>2780</v>
      </c>
      <c r="Z332" s="77">
        <v>2790</v>
      </c>
      <c r="AA332" s="77">
        <v>2802</v>
      </c>
      <c r="AB332" s="77">
        <v>2900</v>
      </c>
      <c r="AC332" s="104">
        <v>2900</v>
      </c>
      <c r="AD332" s="107" t="s">
        <v>586</v>
      </c>
      <c r="AE332" s="68"/>
    </row>
    <row r="333" spans="1:31" ht="15" customHeight="1" thickBot="1">
      <c r="A333" s="176" t="s">
        <v>780</v>
      </c>
      <c r="B333" s="76" t="s">
        <v>781</v>
      </c>
      <c r="C333" s="198"/>
      <c r="D333" s="198"/>
      <c r="E333" s="198"/>
      <c r="F333" s="198"/>
      <c r="G333" s="198"/>
      <c r="H333" s="198"/>
      <c r="I333" s="198"/>
      <c r="J333" s="198"/>
      <c r="K333" s="198"/>
      <c r="L333" s="198"/>
      <c r="M333" s="198"/>
      <c r="N333" s="198"/>
      <c r="O333" s="198"/>
      <c r="P333" s="198"/>
      <c r="Q333" s="198"/>
      <c r="R333" s="198"/>
      <c r="S333" s="198"/>
      <c r="T333" s="198"/>
      <c r="U333" s="198"/>
      <c r="V333" s="198"/>
      <c r="W333" s="198"/>
      <c r="X333" s="198"/>
      <c r="Y333" s="198"/>
      <c r="Z333" s="198"/>
      <c r="AA333" s="198"/>
      <c r="AB333" s="198"/>
      <c r="AC333" s="328"/>
      <c r="AD333" s="107"/>
      <c r="AE333" s="68"/>
    </row>
    <row r="334" spans="1:31" ht="15" customHeight="1">
      <c r="A334" s="754" t="s">
        <v>782</v>
      </c>
      <c r="B334" s="756" t="s">
        <v>783</v>
      </c>
      <c r="C334" s="866" t="s">
        <v>784</v>
      </c>
      <c r="D334" s="867"/>
      <c r="E334" s="867"/>
      <c r="F334" s="867"/>
      <c r="G334" s="867"/>
      <c r="H334" s="867"/>
      <c r="I334" s="867"/>
      <c r="J334" s="867"/>
      <c r="K334" s="867"/>
      <c r="L334" s="867"/>
      <c r="M334" s="867"/>
      <c r="N334" s="867"/>
      <c r="O334" s="867"/>
      <c r="P334" s="867"/>
      <c r="Q334" s="867"/>
      <c r="R334" s="867"/>
      <c r="S334" s="867"/>
      <c r="T334" s="867"/>
      <c r="U334" s="867"/>
      <c r="V334" s="867"/>
      <c r="W334" s="867"/>
      <c r="X334" s="867"/>
      <c r="Y334" s="867"/>
      <c r="Z334" s="867"/>
      <c r="AA334" s="867"/>
      <c r="AB334" s="867"/>
      <c r="AC334" s="868"/>
      <c r="AD334" s="107"/>
      <c r="AE334" s="68"/>
    </row>
    <row r="335" spans="1:31" ht="15" customHeight="1" thickBot="1">
      <c r="A335" s="755"/>
      <c r="B335" s="75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  <c r="AA335" s="77"/>
      <c r="AB335" s="77"/>
      <c r="AC335" s="104"/>
      <c r="AD335" s="107"/>
      <c r="AE335" s="68"/>
    </row>
    <row r="336" spans="1:31" ht="15" customHeight="1" thickBot="1">
      <c r="A336" s="270" t="s">
        <v>289</v>
      </c>
      <c r="B336" s="213" t="s">
        <v>785</v>
      </c>
      <c r="C336" s="274"/>
      <c r="D336" s="274"/>
      <c r="E336" s="274"/>
      <c r="F336" s="274"/>
      <c r="G336" s="274"/>
      <c r="H336" s="274"/>
      <c r="I336" s="274"/>
      <c r="J336" s="274"/>
      <c r="K336" s="274"/>
      <c r="L336" s="274"/>
      <c r="M336" s="274"/>
      <c r="N336" s="274"/>
      <c r="O336" s="274"/>
      <c r="P336" s="274"/>
      <c r="Q336" s="274"/>
      <c r="R336" s="274"/>
      <c r="S336" s="274"/>
      <c r="T336" s="274"/>
      <c r="U336" s="274"/>
      <c r="V336" s="274"/>
      <c r="W336" s="274"/>
      <c r="X336" s="274"/>
      <c r="Y336" s="274"/>
      <c r="Z336" s="274"/>
      <c r="AA336" s="274"/>
      <c r="AB336" s="274"/>
      <c r="AC336" s="274"/>
      <c r="AD336" s="107"/>
      <c r="AE336" s="68"/>
    </row>
    <row r="337" spans="1:31" ht="15.75">
      <c r="A337" s="869" t="s">
        <v>786</v>
      </c>
      <c r="B337" s="872" t="s">
        <v>787</v>
      </c>
      <c r="C337" s="377">
        <f>C339*$AE$339</f>
        <v>146.38163558400001</v>
      </c>
      <c r="D337" s="377">
        <f t="shared" si="160" ref="D337:AC337">D339*$AE$339</f>
        <v>157.249868456</v>
      </c>
      <c r="E337" s="377">
        <f t="shared" si="160"/>
        <v>160.42655325600003</v>
      </c>
      <c r="F337" s="377">
        <f t="shared" si="160"/>
        <v>170.97016865000001</v>
      </c>
      <c r="G337" s="377">
        <f t="shared" si="160"/>
        <v>181.42468796250003</v>
      </c>
      <c r="H337" s="377">
        <f t="shared" si="160"/>
        <v>183.55281859999999</v>
      </c>
      <c r="I337" s="377">
        <f t="shared" si="160"/>
        <v>198.35319162600001</v>
      </c>
      <c r="J337" s="377">
        <f t="shared" si="160"/>
        <v>224.92516726400001</v>
      </c>
      <c r="K337" s="377">
        <f t="shared" si="160"/>
        <v>248.17850000000001</v>
      </c>
      <c r="L337" s="377">
        <f t="shared" si="160"/>
        <v>264.31605878400001</v>
      </c>
      <c r="M337" s="377">
        <f t="shared" si="160"/>
        <v>296.48619684649998</v>
      </c>
      <c r="N337" s="377">
        <f t="shared" si="160"/>
        <v>319.146631146</v>
      </c>
      <c r="O337" s="377">
        <f t="shared" si="160"/>
        <v>329.93073150650002</v>
      </c>
      <c r="P337" s="377">
        <f t="shared" si="160"/>
        <v>344.9782903185</v>
      </c>
      <c r="Q337" s="377">
        <f t="shared" si="160"/>
        <v>369.38887940000006</v>
      </c>
      <c r="R337" s="377">
        <f t="shared" si="160"/>
        <v>374.85898171850005</v>
      </c>
      <c r="S337" s="377">
        <f t="shared" si="160"/>
        <v>377.915299946</v>
      </c>
      <c r="T337" s="377">
        <f t="shared" si="160"/>
        <v>408.52389888650004</v>
      </c>
      <c r="U337" s="377">
        <f t="shared" si="160"/>
        <v>411.71423350399999</v>
      </c>
      <c r="V337" s="377">
        <f t="shared" si="160"/>
        <v>440.324250984</v>
      </c>
      <c r="W337" s="377">
        <f t="shared" si="160"/>
        <v>440.98564668650005</v>
      </c>
      <c r="X337" s="377">
        <f t="shared" si="160"/>
        <v>443.63619306650003</v>
      </c>
      <c r="Y337" s="377">
        <f t="shared" si="160"/>
        <v>479.50567985000004</v>
      </c>
      <c r="Z337" s="377">
        <f t="shared" si="160"/>
        <v>482.9615654625</v>
      </c>
      <c r="AA337" s="377">
        <f t="shared" si="160"/>
        <v>487.12500797849998</v>
      </c>
      <c r="AB337" s="377">
        <f t="shared" si="160"/>
        <v>521.79529624999998</v>
      </c>
      <c r="AC337" s="378">
        <f t="shared" si="160"/>
        <v>521.79529624999998</v>
      </c>
      <c r="AD337" s="379" t="s">
        <v>377</v>
      </c>
      <c r="AE337" s="380">
        <v>183</v>
      </c>
    </row>
    <row r="338" spans="1:31" ht="15.75">
      <c r="A338" s="870"/>
      <c r="B338" s="873"/>
      <c r="C338" s="381">
        <f>C337/$AE$337</f>
        <v>0.79989964800000002</v>
      </c>
      <c r="D338" s="381">
        <f t="shared" si="161" ref="D338:AC338">D337/$AE$337</f>
        <v>0.85928889866666669</v>
      </c>
      <c r="E338" s="381">
        <f t="shared" si="161"/>
        <v>0.87664783200000018</v>
      </c>
      <c r="F338" s="381">
        <f t="shared" si="161"/>
        <v>0.93426321666666667</v>
      </c>
      <c r="G338" s="381">
        <f t="shared" si="161"/>
        <v>0.9913917375000002</v>
      </c>
      <c r="H338" s="381">
        <f t="shared" si="161"/>
        <v>1.0030208666666667</v>
      </c>
      <c r="I338" s="381">
        <f t="shared" si="161"/>
        <v>1.083897222</v>
      </c>
      <c r="J338" s="381">
        <f t="shared" si="161"/>
        <v>1.2290992746666667</v>
      </c>
      <c r="K338" s="381">
        <f t="shared" si="161"/>
        <v>1.3561666666666667</v>
      </c>
      <c r="L338" s="381">
        <f t="shared" si="161"/>
        <v>1.444350048</v>
      </c>
      <c r="M338" s="381">
        <f t="shared" si="161"/>
        <v>1.6201431521666665</v>
      </c>
      <c r="N338" s="381">
        <f t="shared" si="161"/>
        <v>1.7439706619999999</v>
      </c>
      <c r="O338" s="381">
        <f t="shared" si="161"/>
        <v>1.8029001721666669</v>
      </c>
      <c r="P338" s="381">
        <f t="shared" si="161"/>
        <v>1.8851272695000001</v>
      </c>
      <c r="Q338" s="381">
        <f t="shared" si="161"/>
        <v>2.0185184666666669</v>
      </c>
      <c r="R338" s="381">
        <f t="shared" si="161"/>
        <v>2.0484097361666671</v>
      </c>
      <c r="S338" s="381">
        <f t="shared" si="161"/>
        <v>2.0651109286666669</v>
      </c>
      <c r="T338" s="381">
        <f t="shared" si="161"/>
        <v>2.2323710321666668</v>
      </c>
      <c r="U338" s="381">
        <f t="shared" si="161"/>
        <v>2.2498045546666665</v>
      </c>
      <c r="V338" s="381">
        <f t="shared" si="161"/>
        <v>2.4061434479999999</v>
      </c>
      <c r="W338" s="381">
        <f t="shared" si="161"/>
        <v>2.4097576321666669</v>
      </c>
      <c r="X338" s="381">
        <f t="shared" si="161"/>
        <v>2.4242414921666668</v>
      </c>
      <c r="Y338" s="381">
        <f t="shared" si="161"/>
        <v>2.6202496166666669</v>
      </c>
      <c r="Z338" s="381">
        <f t="shared" si="161"/>
        <v>2.6391342375</v>
      </c>
      <c r="AA338" s="381">
        <f t="shared" si="161"/>
        <v>2.6618852894999998</v>
      </c>
      <c r="AB338" s="381">
        <f t="shared" si="161"/>
        <v>2.8513404166666665</v>
      </c>
      <c r="AC338" s="382">
        <f t="shared" si="161"/>
        <v>2.8513404166666665</v>
      </c>
      <c r="AD338" s="379"/>
      <c r="AE338" s="380"/>
    </row>
    <row r="339" spans="1:32" ht="15.75">
      <c r="A339" s="870"/>
      <c r="B339" s="873"/>
      <c r="C339" s="383">
        <f>3.1415*(C340*C340)/4/1000000</f>
        <v>1.8529320960000002</v>
      </c>
      <c r="D339" s="383">
        <f t="shared" si="162" ref="D339:AC339">3.1415*(D340*D340)/4/1000000</f>
        <v>1.9905046640000001</v>
      </c>
      <c r="E339" s="383">
        <f t="shared" si="162"/>
        <v>2.0307158640000003</v>
      </c>
      <c r="F339" s="383">
        <f t="shared" si="162"/>
        <v>2.1641793499999999</v>
      </c>
      <c r="G339" s="383">
        <f t="shared" si="162"/>
        <v>2.2965150375000003</v>
      </c>
      <c r="H339" s="383">
        <f t="shared" si="162"/>
        <v>2.3234534</v>
      </c>
      <c r="I339" s="383">
        <f t="shared" si="162"/>
        <v>2.5107998940000003</v>
      </c>
      <c r="J339" s="383">
        <f t="shared" si="162"/>
        <v>2.8471540160000002</v>
      </c>
      <c r="K339" s="383">
        <f t="shared" si="162"/>
        <v>3.1415000000000002</v>
      </c>
      <c r="L339" s="383">
        <f t="shared" si="162"/>
        <v>3.3457728960000002</v>
      </c>
      <c r="M339" s="383">
        <f t="shared" si="162"/>
        <v>3.7529898335</v>
      </c>
      <c r="N339" s="383">
        <f t="shared" si="162"/>
        <v>4.0398307740000003</v>
      </c>
      <c r="O339" s="383">
        <f t="shared" si="162"/>
        <v>4.1763383735000001</v>
      </c>
      <c r="P339" s="383">
        <f t="shared" si="162"/>
        <v>4.3668138015000002</v>
      </c>
      <c r="Q339" s="383">
        <f t="shared" si="162"/>
        <v>4.6758086000000008</v>
      </c>
      <c r="R339" s="383">
        <f t="shared" si="162"/>
        <v>4.7450504015000003</v>
      </c>
      <c r="S339" s="383">
        <f t="shared" si="162"/>
        <v>4.7837379740000001</v>
      </c>
      <c r="T339" s="383">
        <f t="shared" si="162"/>
        <v>5.1711885935000002</v>
      </c>
      <c r="U339" s="383">
        <f t="shared" si="162"/>
        <v>5.211572576</v>
      </c>
      <c r="V339" s="383">
        <f t="shared" si="162"/>
        <v>5.5737246960000002</v>
      </c>
      <c r="W339" s="383">
        <f t="shared" si="162"/>
        <v>5.5820967935000008</v>
      </c>
      <c r="X339" s="383">
        <f t="shared" si="162"/>
        <v>5.6156480135000004</v>
      </c>
      <c r="Y339" s="383">
        <f t="shared" si="162"/>
        <v>6.0696921500000007</v>
      </c>
      <c r="Z339" s="383">
        <f t="shared" si="162"/>
        <v>6.1134375375000003</v>
      </c>
      <c r="AA339" s="383">
        <f t="shared" si="162"/>
        <v>6.1661393415000001</v>
      </c>
      <c r="AB339" s="383">
        <f t="shared" si="162"/>
        <v>6.6050037499999998</v>
      </c>
      <c r="AC339" s="384">
        <f t="shared" si="162"/>
        <v>6.6050037499999998</v>
      </c>
      <c r="AD339" s="379" t="s">
        <v>788</v>
      </c>
      <c r="AE339" s="380">
        <v>79</v>
      </c>
      <c r="AF339" t="s">
        <v>468</v>
      </c>
    </row>
    <row r="340" spans="1:31" ht="15.75" thickBot="1">
      <c r="A340" s="871"/>
      <c r="B340" s="874"/>
      <c r="C340" s="385">
        <v>1536</v>
      </c>
      <c r="D340" s="385">
        <v>1592</v>
      </c>
      <c r="E340" s="385">
        <v>1608</v>
      </c>
      <c r="F340" s="385">
        <v>1660</v>
      </c>
      <c r="G340" s="385">
        <v>1710</v>
      </c>
      <c r="H340" s="385">
        <v>1720</v>
      </c>
      <c r="I340" s="385">
        <v>1788</v>
      </c>
      <c r="J340" s="385">
        <v>1904</v>
      </c>
      <c r="K340" s="385">
        <v>2000</v>
      </c>
      <c r="L340" s="385">
        <v>2064</v>
      </c>
      <c r="M340" s="385">
        <v>2186</v>
      </c>
      <c r="N340" s="386">
        <v>2268</v>
      </c>
      <c r="O340" s="386">
        <v>2306</v>
      </c>
      <c r="P340" s="386">
        <v>2358</v>
      </c>
      <c r="Q340" s="386">
        <v>2440</v>
      </c>
      <c r="R340" s="386">
        <v>2458</v>
      </c>
      <c r="S340" s="386">
        <v>2468</v>
      </c>
      <c r="T340" s="386">
        <v>2566</v>
      </c>
      <c r="U340" s="386">
        <v>2576</v>
      </c>
      <c r="V340" s="386">
        <v>2664</v>
      </c>
      <c r="W340" s="386">
        <v>2666</v>
      </c>
      <c r="X340" s="386">
        <v>2674</v>
      </c>
      <c r="Y340" s="386">
        <v>2780</v>
      </c>
      <c r="Z340" s="386">
        <v>2790</v>
      </c>
      <c r="AA340" s="386">
        <v>2802</v>
      </c>
      <c r="AB340" s="386">
        <v>2900</v>
      </c>
      <c r="AC340" s="387">
        <v>2900</v>
      </c>
      <c r="AD340" s="379" t="s">
        <v>586</v>
      </c>
      <c r="AE340" s="380"/>
    </row>
    <row r="341" spans="1:31" ht="15.75">
      <c r="A341" s="779" t="s">
        <v>789</v>
      </c>
      <c r="B341" s="875" t="s">
        <v>790</v>
      </c>
      <c r="C341" s="841" t="s">
        <v>449</v>
      </c>
      <c r="D341" s="746"/>
      <c r="E341" s="746"/>
      <c r="F341" s="746"/>
      <c r="G341" s="746"/>
      <c r="H341" s="746"/>
      <c r="I341" s="746"/>
      <c r="J341" s="746"/>
      <c r="K341" s="746"/>
      <c r="L341" s="746"/>
      <c r="M341" s="746"/>
      <c r="N341" s="878" t="s">
        <v>791</v>
      </c>
      <c r="O341" s="813"/>
      <c r="P341" s="813"/>
      <c r="Q341" s="813"/>
      <c r="R341" s="813"/>
      <c r="S341" s="813"/>
      <c r="T341" s="813"/>
      <c r="U341" s="813"/>
      <c r="V341" s="813"/>
      <c r="W341" s="813"/>
      <c r="X341" s="813"/>
      <c r="Y341" s="813" t="s">
        <v>792</v>
      </c>
      <c r="Z341" s="813"/>
      <c r="AA341" s="813"/>
      <c r="AB341" s="813"/>
      <c r="AC341" s="815"/>
      <c r="AD341" s="107" t="s">
        <v>376</v>
      </c>
      <c r="AE341" s="68">
        <v>183</v>
      </c>
    </row>
    <row r="342" spans="1:31" ht="15.75" thickBot="1">
      <c r="A342" s="781"/>
      <c r="B342" s="876"/>
      <c r="C342" s="877"/>
      <c r="D342" s="749"/>
      <c r="E342" s="749"/>
      <c r="F342" s="749"/>
      <c r="G342" s="749"/>
      <c r="H342" s="749"/>
      <c r="I342" s="749"/>
      <c r="J342" s="749"/>
      <c r="K342" s="749"/>
      <c r="L342" s="749"/>
      <c r="M342" s="749"/>
      <c r="N342" s="879" t="s">
        <v>793</v>
      </c>
      <c r="O342" s="822"/>
      <c r="P342" s="822"/>
      <c r="Q342" s="822"/>
      <c r="R342" s="822"/>
      <c r="S342" s="822"/>
      <c r="T342" s="822"/>
      <c r="U342" s="822"/>
      <c r="V342" s="822"/>
      <c r="W342" s="822"/>
      <c r="X342" s="880"/>
      <c r="Y342" s="821" t="s">
        <v>794</v>
      </c>
      <c r="Z342" s="822"/>
      <c r="AA342" s="822"/>
      <c r="AB342" s="822"/>
      <c r="AC342" s="823"/>
      <c r="AD342" s="107" t="s">
        <v>795</v>
      </c>
      <c r="AE342" s="68"/>
    </row>
    <row r="343" spans="1:31" ht="15.75">
      <c r="A343" s="779" t="s">
        <v>796</v>
      </c>
      <c r="B343" s="875" t="s">
        <v>797</v>
      </c>
      <c r="C343" s="877"/>
      <c r="D343" s="749"/>
      <c r="E343" s="749"/>
      <c r="F343" s="749"/>
      <c r="G343" s="749"/>
      <c r="H343" s="749"/>
      <c r="I343" s="749"/>
      <c r="J343" s="749"/>
      <c r="K343" s="749"/>
      <c r="L343" s="749"/>
      <c r="M343" s="749"/>
      <c r="N343" s="878" t="s">
        <v>798</v>
      </c>
      <c r="O343" s="813"/>
      <c r="P343" s="813"/>
      <c r="Q343" s="813"/>
      <c r="R343" s="813"/>
      <c r="S343" s="813"/>
      <c r="T343" s="813"/>
      <c r="U343" s="813"/>
      <c r="V343" s="813"/>
      <c r="W343" s="813"/>
      <c r="X343" s="813"/>
      <c r="Y343" s="813"/>
      <c r="Z343" s="813"/>
      <c r="AA343" s="813"/>
      <c r="AB343" s="813"/>
      <c r="AC343" s="815"/>
      <c r="AD343" s="107"/>
      <c r="AE343" s="68"/>
    </row>
    <row r="344" spans="1:31" ht="15.75" thickBot="1">
      <c r="A344" s="781"/>
      <c r="B344" s="876"/>
      <c r="C344" s="842"/>
      <c r="D344" s="743"/>
      <c r="E344" s="743"/>
      <c r="F344" s="743"/>
      <c r="G344" s="743"/>
      <c r="H344" s="743"/>
      <c r="I344" s="743"/>
      <c r="J344" s="743"/>
      <c r="K344" s="743"/>
      <c r="L344" s="743"/>
      <c r="M344" s="743"/>
      <c r="N344" s="879" t="s">
        <v>793</v>
      </c>
      <c r="O344" s="822"/>
      <c r="P344" s="822"/>
      <c r="Q344" s="822"/>
      <c r="R344" s="822"/>
      <c r="S344" s="822"/>
      <c r="T344" s="822"/>
      <c r="U344" s="822"/>
      <c r="V344" s="822"/>
      <c r="W344" s="822"/>
      <c r="X344" s="880"/>
      <c r="Y344" s="821" t="s">
        <v>794</v>
      </c>
      <c r="Z344" s="822"/>
      <c r="AA344" s="822"/>
      <c r="AB344" s="822"/>
      <c r="AC344" s="823"/>
      <c r="AD344" s="107" t="s">
        <v>795</v>
      </c>
      <c r="AE344" s="68">
        <v>200</v>
      </c>
    </row>
    <row r="345" spans="1:31" ht="15" customHeight="1">
      <c r="A345" s="644" t="s">
        <v>291</v>
      </c>
      <c r="B345" s="836" t="s">
        <v>799</v>
      </c>
      <c r="C345" s="90"/>
      <c r="D345" s="90"/>
      <c r="E345" s="90"/>
      <c r="F345" s="90"/>
      <c r="G345" s="90"/>
      <c r="H345" s="90"/>
      <c r="I345" s="90"/>
      <c r="J345" s="90"/>
      <c r="K345" s="90"/>
      <c r="L345" s="90"/>
      <c r="M345" s="90"/>
      <c r="N345" s="90"/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  <c r="AA345" s="90"/>
      <c r="AB345" s="90"/>
      <c r="AC345" s="90"/>
      <c r="AD345" s="107"/>
      <c r="AE345" s="68"/>
    </row>
    <row r="346" spans="1:31" ht="15.75">
      <c r="A346" s="650"/>
      <c r="B346" s="648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07"/>
      <c r="AE346" s="68"/>
    </row>
    <row r="347" spans="1:31" ht="15.75">
      <c r="A347" s="57" t="s">
        <v>301</v>
      </c>
      <c r="B347" s="269" t="s">
        <v>800</v>
      </c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07"/>
      <c r="AE347" s="68"/>
    </row>
    <row r="348" spans="1:31" ht="15.75">
      <c r="A348" s="57" t="s">
        <v>290</v>
      </c>
      <c r="B348" s="269" t="s">
        <v>801</v>
      </c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07"/>
      <c r="AE348" s="68"/>
    </row>
    <row r="349" spans="1:31" ht="15.75">
      <c r="A349" s="57" t="s">
        <v>292</v>
      </c>
      <c r="B349" s="269" t="s">
        <v>802</v>
      </c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07"/>
      <c r="AE349" s="68"/>
    </row>
    <row r="350" spans="1:31" ht="15.75">
      <c r="A350" s="57" t="s">
        <v>303</v>
      </c>
      <c r="B350" s="269" t="s">
        <v>803</v>
      </c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07"/>
      <c r="AE350" s="68"/>
    </row>
    <row r="351" spans="1:31" ht="15" customHeight="1">
      <c r="A351" s="57" t="s">
        <v>305</v>
      </c>
      <c r="B351" s="56" t="s">
        <v>804</v>
      </c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07"/>
      <c r="AE351" s="68"/>
    </row>
    <row r="352" spans="1:31" ht="15" customHeight="1" thickBot="1">
      <c r="A352" s="58" t="s">
        <v>306</v>
      </c>
      <c r="B352" s="55" t="s">
        <v>805</v>
      </c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107"/>
      <c r="AE352" s="68"/>
    </row>
    <row r="353" spans="1:31" ht="15" customHeight="1">
      <c r="A353" s="784" t="s">
        <v>806</v>
      </c>
      <c r="B353" s="777" t="s">
        <v>807</v>
      </c>
      <c r="C353" s="329">
        <f t="shared" si="163" ref="C353:AC353">C357/$X$357</f>
        <v>0.57442034405385189</v>
      </c>
      <c r="D353" s="329">
        <f t="shared" si="163"/>
        <v>0.59536275243081527</v>
      </c>
      <c r="E353" s="329">
        <f t="shared" si="163"/>
        <v>0.60134629768137626</v>
      </c>
      <c r="F353" s="329">
        <f t="shared" si="163"/>
        <v>0.62079281974569933</v>
      </c>
      <c r="G353" s="329">
        <f t="shared" si="163"/>
        <v>0.6394913986537023</v>
      </c>
      <c r="H353" s="329">
        <f t="shared" si="163"/>
        <v>0.6432311144353029</v>
      </c>
      <c r="I353" s="329">
        <f t="shared" si="163"/>
        <v>0.67015706806282727</v>
      </c>
      <c r="J353" s="329">
        <f t="shared" si="163"/>
        <v>0.7120418848167539</v>
      </c>
      <c r="K353" s="329">
        <f t="shared" si="163"/>
        <v>0.74794315632011965</v>
      </c>
      <c r="L353" s="329">
        <f t="shared" si="163"/>
        <v>0.77187733732236352</v>
      </c>
      <c r="M353" s="329">
        <f t="shared" si="163"/>
        <v>0.81750186985789075</v>
      </c>
      <c r="N353" s="329">
        <f t="shared" si="163"/>
        <v>0.84816753926701571</v>
      </c>
      <c r="O353" s="329">
        <f t="shared" si="163"/>
        <v>0.86237845923709799</v>
      </c>
      <c r="P353" s="329">
        <f t="shared" si="163"/>
        <v>0.88182498130142106</v>
      </c>
      <c r="Q353" s="329">
        <f t="shared" si="163"/>
        <v>0.91249065071054603</v>
      </c>
      <c r="R353" s="329">
        <f t="shared" si="163"/>
        <v>0.91922213911742712</v>
      </c>
      <c r="S353" s="329">
        <f t="shared" si="163"/>
        <v>0.92296185489902771</v>
      </c>
      <c r="T353" s="329">
        <f t="shared" si="163"/>
        <v>0.95961106955871356</v>
      </c>
      <c r="U353" s="329">
        <f t="shared" si="163"/>
        <v>0.96335078534031415</v>
      </c>
      <c r="V353" s="329">
        <f t="shared" si="163"/>
        <v>0.99626028421839941</v>
      </c>
      <c r="W353" s="329">
        <f t="shared" si="163"/>
        <v>0.9970082273747195</v>
      </c>
      <c r="X353" s="327">
        <f>X357/$X$357</f>
        <v>1</v>
      </c>
      <c r="Y353" s="329">
        <f t="shared" si="163"/>
        <v>1.0396409872849663</v>
      </c>
      <c r="Z353" s="329">
        <f t="shared" si="163"/>
        <v>1.0433807030665669</v>
      </c>
      <c r="AA353" s="329">
        <f t="shared" si="163"/>
        <v>1.0478683620044877</v>
      </c>
      <c r="AB353" s="329">
        <f t="shared" si="163"/>
        <v>1.0845175766641735</v>
      </c>
      <c r="AC353" s="330">
        <f t="shared" si="163"/>
        <v>1.0845175766641735</v>
      </c>
      <c r="AD353" s="107" t="s">
        <v>395</v>
      </c>
      <c r="AE353" s="68">
        <v>200</v>
      </c>
    </row>
    <row r="354" spans="1:31" ht="15" customHeight="1">
      <c r="A354" s="785"/>
      <c r="B354" s="640"/>
      <c r="C354" s="317">
        <f t="shared" si="164" ref="C354:W354">10*2*C353</f>
        <v>11.488406881077038</v>
      </c>
      <c r="D354" s="317">
        <f t="shared" si="164"/>
        <v>11.907255048616305</v>
      </c>
      <c r="E354" s="317">
        <f t="shared" si="164"/>
        <v>12.026925953627526</v>
      </c>
      <c r="F354" s="317">
        <f t="shared" si="164"/>
        <v>12.415856394913988</v>
      </c>
      <c r="G354" s="317">
        <f t="shared" si="164"/>
        <v>12.789827973074047</v>
      </c>
      <c r="H354" s="317">
        <f t="shared" si="164"/>
        <v>12.864622288706059</v>
      </c>
      <c r="I354" s="317">
        <f t="shared" si="164"/>
        <v>13.403141361256544</v>
      </c>
      <c r="J354" s="317">
        <f t="shared" si="164"/>
        <v>14.240837696335078</v>
      </c>
      <c r="K354" s="317">
        <f t="shared" si="164"/>
        <v>14.958863126402393</v>
      </c>
      <c r="L354" s="317">
        <f t="shared" si="164"/>
        <v>15.437546746447271</v>
      </c>
      <c r="M354" s="317">
        <f t="shared" si="164"/>
        <v>16.350037397157816</v>
      </c>
      <c r="N354" s="317">
        <f t="shared" si="164"/>
        <v>16.963350785340314</v>
      </c>
      <c r="O354" s="317">
        <f t="shared" si="164"/>
        <v>17.247569184741959</v>
      </c>
      <c r="P354" s="317">
        <f t="shared" si="164"/>
        <v>17.636499626028421</v>
      </c>
      <c r="Q354" s="317">
        <f t="shared" si="164"/>
        <v>18.249813014210922</v>
      </c>
      <c r="R354" s="317">
        <f t="shared" si="164"/>
        <v>18.384442782348543</v>
      </c>
      <c r="S354" s="317">
        <f t="shared" si="164"/>
        <v>18.459237097980555</v>
      </c>
      <c r="T354" s="317">
        <f t="shared" si="164"/>
        <v>19.192221391174272</v>
      </c>
      <c r="U354" s="317">
        <f t="shared" si="164"/>
        <v>19.267015706806284</v>
      </c>
      <c r="V354" s="317">
        <f t="shared" si="164"/>
        <v>19.925205684367988</v>
      </c>
      <c r="W354" s="317">
        <f t="shared" si="164"/>
        <v>19.94016454749439</v>
      </c>
      <c r="X354" s="316">
        <f>10*2*X353</f>
        <v>20</v>
      </c>
      <c r="Y354" s="317">
        <f t="shared" si="165" ref="Y354:AC354">10*2*Y353</f>
        <v>20.792819745699326</v>
      </c>
      <c r="Z354" s="317">
        <f t="shared" si="165"/>
        <v>20.867614061331338</v>
      </c>
      <c r="AA354" s="317">
        <f t="shared" si="165"/>
        <v>20.957367240089756</v>
      </c>
      <c r="AB354" s="317">
        <f t="shared" si="165"/>
        <v>21.690351533283469</v>
      </c>
      <c r="AC354" s="318">
        <f t="shared" si="165"/>
        <v>21.690351533283469</v>
      </c>
      <c r="AD354" s="107" t="s">
        <v>393</v>
      </c>
      <c r="AE354" s="68"/>
    </row>
    <row r="355" spans="1:31" ht="15" customHeight="1">
      <c r="A355" s="785"/>
      <c r="B355" s="640"/>
      <c r="C355" s="388">
        <f t="shared" si="166" ref="C355:W355">C354*$AE$353</f>
        <v>2297.6813762154075</v>
      </c>
      <c r="D355" s="388">
        <f t="shared" si="166"/>
        <v>2381.451009723261</v>
      </c>
      <c r="E355" s="388">
        <f t="shared" si="166"/>
        <v>2405.3851907255053</v>
      </c>
      <c r="F355" s="388">
        <f t="shared" si="166"/>
        <v>2483.1712789827975</v>
      </c>
      <c r="G355" s="388">
        <f t="shared" si="166"/>
        <v>2557.9655946148096</v>
      </c>
      <c r="H355" s="388">
        <f t="shared" si="166"/>
        <v>2572.9244577412119</v>
      </c>
      <c r="I355" s="388">
        <f t="shared" si="166"/>
        <v>2680.6282722513088</v>
      </c>
      <c r="J355" s="388">
        <f t="shared" si="166"/>
        <v>2848.1675392670154</v>
      </c>
      <c r="K355" s="388">
        <f t="shared" si="166"/>
        <v>2991.7726252804787</v>
      </c>
      <c r="L355" s="388">
        <f t="shared" si="166"/>
        <v>3087.5093492894543</v>
      </c>
      <c r="M355" s="388">
        <f t="shared" si="166"/>
        <v>3270.0074794315633</v>
      </c>
      <c r="N355" s="388">
        <f t="shared" si="166"/>
        <v>3392.670157068063</v>
      </c>
      <c r="O355" s="388">
        <f t="shared" si="166"/>
        <v>3449.5138369483916</v>
      </c>
      <c r="P355" s="388">
        <f t="shared" si="166"/>
        <v>3527.2999252056843</v>
      </c>
      <c r="Q355" s="388">
        <f t="shared" si="166"/>
        <v>3649.9626028421844</v>
      </c>
      <c r="R355" s="388">
        <f t="shared" si="166"/>
        <v>3676.8885564697084</v>
      </c>
      <c r="S355" s="388">
        <f t="shared" si="166"/>
        <v>3691.8474195961112</v>
      </c>
      <c r="T355" s="388">
        <f t="shared" si="166"/>
        <v>3838.4442782348542</v>
      </c>
      <c r="U355" s="388">
        <f t="shared" si="166"/>
        <v>3853.4031413612565</v>
      </c>
      <c r="V355" s="388">
        <f t="shared" si="166"/>
        <v>3985.0411368735977</v>
      </c>
      <c r="W355" s="388">
        <f t="shared" si="166"/>
        <v>3988.0329094988783</v>
      </c>
      <c r="X355" s="389">
        <f>X354*$AE$353</f>
        <v>4000</v>
      </c>
      <c r="Y355" s="388">
        <f t="shared" si="167" ref="Y355:AC355">Y354*$AE$353</f>
        <v>4158.5639491398651</v>
      </c>
      <c r="Z355" s="388">
        <f t="shared" si="167"/>
        <v>4173.5228122662675</v>
      </c>
      <c r="AA355" s="388">
        <f t="shared" si="167"/>
        <v>4191.4734480179513</v>
      </c>
      <c r="AB355" s="388">
        <f t="shared" si="167"/>
        <v>4338.0703066566939</v>
      </c>
      <c r="AC355" s="390">
        <f t="shared" si="167"/>
        <v>4338.0703066566939</v>
      </c>
      <c r="AD355" s="107" t="s">
        <v>378</v>
      </c>
      <c r="AE355" s="68"/>
    </row>
    <row r="356" spans="1:31" ht="15" customHeight="1">
      <c r="A356" s="785"/>
      <c r="B356" s="640"/>
      <c r="C356" s="391">
        <f t="shared" si="168" ref="C356:AC356">$AC$2/C354*2</f>
        <v>1.7408854166666667</v>
      </c>
      <c r="D356" s="391">
        <f t="shared" si="168"/>
        <v>1.6796482412060303</v>
      </c>
      <c r="E356" s="391">
        <f t="shared" si="168"/>
        <v>1.6629353233830844</v>
      </c>
      <c r="F356" s="391">
        <f t="shared" si="168"/>
        <v>1.6108433734939758</v>
      </c>
      <c r="G356" s="391">
        <f t="shared" si="168"/>
        <v>1.5637426900584794</v>
      </c>
      <c r="H356" s="391">
        <f t="shared" si="168"/>
        <v>1.5546511627906976</v>
      </c>
      <c r="I356" s="391">
        <f t="shared" si="168"/>
        <v>1.4921875</v>
      </c>
      <c r="J356" s="391">
        <f t="shared" si="168"/>
        <v>1.4044117647058825</v>
      </c>
      <c r="K356" s="391">
        <f t="shared" si="168"/>
        <v>1.337</v>
      </c>
      <c r="L356" s="391">
        <f t="shared" si="168"/>
        <v>1.2955426356589146</v>
      </c>
      <c r="M356" s="391">
        <f t="shared" si="168"/>
        <v>1.2232387923147301</v>
      </c>
      <c r="N356" s="391">
        <f t="shared" si="168"/>
        <v>1.1790123456790125</v>
      </c>
      <c r="O356" s="391">
        <f t="shared" si="168"/>
        <v>1.1595836947094535</v>
      </c>
      <c r="P356" s="391">
        <f t="shared" si="168"/>
        <v>1.1340118744698897</v>
      </c>
      <c r="Q356" s="391">
        <f t="shared" si="168"/>
        <v>1.0959016393442622</v>
      </c>
      <c r="R356" s="391">
        <f t="shared" si="168"/>
        <v>1.0878763222131813</v>
      </c>
      <c r="S356" s="391">
        <f t="shared" si="168"/>
        <v>1.0834683954619124</v>
      </c>
      <c r="T356" s="391">
        <f t="shared" si="168"/>
        <v>1.0420888542478566</v>
      </c>
      <c r="U356" s="391">
        <f t="shared" si="168"/>
        <v>1.0380434782608696</v>
      </c>
      <c r="V356" s="391">
        <f t="shared" si="168"/>
        <v>1.0037537537537538</v>
      </c>
      <c r="W356" s="391">
        <f t="shared" si="168"/>
        <v>1.0030007501875469</v>
      </c>
      <c r="X356" s="392">
        <f>$AC$2/X354*2</f>
        <v>1</v>
      </c>
      <c r="Y356" s="391">
        <f t="shared" si="168"/>
        <v>0.96187050359712234</v>
      </c>
      <c r="Z356" s="391">
        <f t="shared" si="168"/>
        <v>0.95842293906810039</v>
      </c>
      <c r="AA356" s="391">
        <f t="shared" si="168"/>
        <v>0.95431834403997129</v>
      </c>
      <c r="AB356" s="391">
        <f t="shared" si="168"/>
        <v>0.92206896551724149</v>
      </c>
      <c r="AC356" s="393">
        <f t="shared" si="168"/>
        <v>0.92206896551724149</v>
      </c>
      <c r="AD356" s="107" t="s">
        <v>376</v>
      </c>
      <c r="AE356" s="68"/>
    </row>
    <row r="357" spans="1:31" ht="15.75" thickBot="1">
      <c r="A357" s="786"/>
      <c r="B357" s="778"/>
      <c r="C357" s="189">
        <v>1536</v>
      </c>
      <c r="D357" s="189">
        <v>1592</v>
      </c>
      <c r="E357" s="189">
        <v>1608</v>
      </c>
      <c r="F357" s="189">
        <v>1660</v>
      </c>
      <c r="G357" s="189">
        <v>1710</v>
      </c>
      <c r="H357" s="189">
        <v>1720</v>
      </c>
      <c r="I357" s="189">
        <v>1792</v>
      </c>
      <c r="J357" s="189">
        <v>1904</v>
      </c>
      <c r="K357" s="338">
        <v>2000</v>
      </c>
      <c r="L357" s="189">
        <v>2064</v>
      </c>
      <c r="M357" s="189">
        <v>2186</v>
      </c>
      <c r="N357" s="189">
        <v>2268</v>
      </c>
      <c r="O357" s="189">
        <v>2306</v>
      </c>
      <c r="P357" s="189">
        <v>2358</v>
      </c>
      <c r="Q357" s="189">
        <v>2440</v>
      </c>
      <c r="R357" s="189">
        <v>2458</v>
      </c>
      <c r="S357" s="189">
        <v>2468</v>
      </c>
      <c r="T357" s="189">
        <v>2566</v>
      </c>
      <c r="U357" s="189">
        <v>2576</v>
      </c>
      <c r="V357" s="189">
        <v>2664</v>
      </c>
      <c r="W357" s="189">
        <v>2666</v>
      </c>
      <c r="X357" s="189">
        <v>2674</v>
      </c>
      <c r="Y357" s="189">
        <v>2780</v>
      </c>
      <c r="Z357" s="189">
        <v>2790</v>
      </c>
      <c r="AA357" s="189">
        <v>2802</v>
      </c>
      <c r="AB357" s="189">
        <v>2900</v>
      </c>
      <c r="AC357" s="190">
        <v>2900</v>
      </c>
      <c r="AD357" s="107" t="s">
        <v>669</v>
      </c>
      <c r="AE357" s="68"/>
    </row>
    <row r="358" spans="1:31" ht="15" customHeight="1">
      <c r="A358" s="644" t="s">
        <v>808</v>
      </c>
      <c r="B358" s="641" t="s">
        <v>809</v>
      </c>
      <c r="C358" s="90"/>
      <c r="D358" s="90"/>
      <c r="E358" s="90"/>
      <c r="F358" s="90"/>
      <c r="G358" s="90"/>
      <c r="H358" s="90"/>
      <c r="I358" s="90"/>
      <c r="J358" s="90"/>
      <c r="K358" s="90"/>
      <c r="L358" s="90"/>
      <c r="M358" s="90"/>
      <c r="N358" s="90"/>
      <c r="O358" s="90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  <c r="AA358" s="90"/>
      <c r="AB358" s="90"/>
      <c r="AC358" s="90"/>
      <c r="AD358" s="107"/>
      <c r="AE358" s="68"/>
    </row>
    <row r="359" spans="1:31" ht="15" customHeight="1">
      <c r="A359" s="650"/>
      <c r="B359" s="638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07"/>
      <c r="AE359" s="68"/>
    </row>
    <row r="360" spans="1:31" ht="15" customHeight="1">
      <c r="A360" s="57" t="s">
        <v>810</v>
      </c>
      <c r="B360" s="56" t="s">
        <v>811</v>
      </c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07"/>
      <c r="AE360" s="68"/>
    </row>
    <row r="361" spans="1:31" ht="15" customHeight="1">
      <c r="A361" s="650" t="s">
        <v>812</v>
      </c>
      <c r="B361" s="648" t="s">
        <v>813</v>
      </c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07"/>
      <c r="AE361" s="68"/>
    </row>
    <row r="362" spans="1:31" ht="15" thickBot="1">
      <c r="A362" s="642"/>
      <c r="B362" s="883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107"/>
      <c r="AE362" s="68"/>
    </row>
    <row r="363" spans="1:31" ht="15.75" thickBot="1">
      <c r="A363" s="302" t="s">
        <v>530</v>
      </c>
      <c r="B363" s="355" t="s">
        <v>531</v>
      </c>
      <c r="C363" s="198"/>
      <c r="D363" s="198"/>
      <c r="E363" s="198"/>
      <c r="F363" s="198"/>
      <c r="G363" s="198"/>
      <c r="H363" s="198"/>
      <c r="I363" s="198"/>
      <c r="J363" s="198"/>
      <c r="K363" s="198"/>
      <c r="L363" s="198"/>
      <c r="M363" s="198"/>
      <c r="N363" s="198"/>
      <c r="O363" s="198"/>
      <c r="P363" s="198"/>
      <c r="Q363" s="198"/>
      <c r="R363" s="198"/>
      <c r="S363" s="198"/>
      <c r="T363" s="198"/>
      <c r="U363" s="198"/>
      <c r="V363" s="198"/>
      <c r="W363" s="198"/>
      <c r="X363" s="198"/>
      <c r="Y363" s="198"/>
      <c r="Z363" s="198"/>
      <c r="AA363" s="198"/>
      <c r="AB363" s="198"/>
      <c r="AC363" s="328"/>
      <c r="AD363" s="107"/>
      <c r="AE363" s="68">
        <v>183</v>
      </c>
    </row>
    <row r="364" spans="1:31" ht="15">
      <c r="A364" s="784" t="s">
        <v>814</v>
      </c>
      <c r="B364" s="777" t="s">
        <v>815</v>
      </c>
      <c r="C364" s="329">
        <f t="shared" si="169" ref="C364:AC364">C368/$X$368</f>
        <v>0.22527472527472528</v>
      </c>
      <c r="D364" s="329">
        <f t="shared" si="169"/>
        <v>0.25641025641025639</v>
      </c>
      <c r="E364" s="329">
        <f t="shared" si="169"/>
        <v>0.28205128205128205</v>
      </c>
      <c r="F364" s="329">
        <f t="shared" si="169"/>
        <v>0.31684981684981683</v>
      </c>
      <c r="G364" s="329">
        <f t="shared" si="169"/>
        <v>0.34065934065934067</v>
      </c>
      <c r="H364" s="329">
        <f t="shared" si="169"/>
        <v>0.35897435897435898</v>
      </c>
      <c r="I364" s="329">
        <f t="shared" si="169"/>
        <v>0.42307692307692307</v>
      </c>
      <c r="J364" s="329">
        <f t="shared" si="169"/>
        <v>0.47619047619047616</v>
      </c>
      <c r="K364" s="329">
        <f t="shared" si="169"/>
        <v>0.52930402930402931</v>
      </c>
      <c r="L364" s="329">
        <f t="shared" si="169"/>
        <v>0.59157509157509147</v>
      </c>
      <c r="M364" s="329">
        <f t="shared" si="169"/>
        <v>0.62271062271062272</v>
      </c>
      <c r="N364" s="329">
        <f t="shared" si="169"/>
        <v>0.67032967032967039</v>
      </c>
      <c r="O364" s="329">
        <f t="shared" si="169"/>
        <v>0.70146520146520142</v>
      </c>
      <c r="P364" s="329">
        <f t="shared" si="169"/>
        <v>0.73260073260073255</v>
      </c>
      <c r="Q364" s="329">
        <f t="shared" si="169"/>
        <v>0.75091575091575091</v>
      </c>
      <c r="R364" s="329">
        <f t="shared" si="169"/>
        <v>0.77289377289377292</v>
      </c>
      <c r="S364" s="329">
        <f t="shared" si="169"/>
        <v>0.793040293040293</v>
      </c>
      <c r="T364" s="329">
        <f t="shared" si="169"/>
        <v>0.84065934065934056</v>
      </c>
      <c r="U364" s="329">
        <f t="shared" si="169"/>
        <v>0.86080586080586075</v>
      </c>
      <c r="V364" s="329">
        <f t="shared" si="169"/>
        <v>0.93406593406593408</v>
      </c>
      <c r="W364" s="329">
        <f t="shared" si="169"/>
        <v>0.95421245421245426</v>
      </c>
      <c r="X364" s="327">
        <f>X368/$X$368</f>
        <v>1</v>
      </c>
      <c r="Y364" s="329">
        <f t="shared" si="169"/>
        <v>1.0622710622710623</v>
      </c>
      <c r="Z364" s="329">
        <f t="shared" si="169"/>
        <v>1.1172161172161172</v>
      </c>
      <c r="AA364" s="329">
        <f t="shared" si="169"/>
        <v>1.1428571428571428</v>
      </c>
      <c r="AB364" s="329">
        <f t="shared" si="169"/>
        <v>1.227106227106227</v>
      </c>
      <c r="AC364" s="330">
        <f t="shared" si="169"/>
        <v>1.2875457875457874</v>
      </c>
      <c r="AD364" s="107" t="s">
        <v>395</v>
      </c>
      <c r="AE364" s="68">
        <v>200</v>
      </c>
    </row>
    <row r="365" spans="1:31" ht="15">
      <c r="A365" s="785"/>
      <c r="B365" s="640"/>
      <c r="C365" s="394">
        <f t="shared" si="170" ref="C365:W365">5*2*C364</f>
        <v>2.2527472527472527</v>
      </c>
      <c r="D365" s="394">
        <f t="shared" si="170"/>
        <v>2.5641025641025639</v>
      </c>
      <c r="E365" s="394">
        <f t="shared" si="170"/>
        <v>2.8205128205128203</v>
      </c>
      <c r="F365" s="394">
        <f t="shared" si="170"/>
        <v>3.1684981684981683</v>
      </c>
      <c r="G365" s="394">
        <f t="shared" si="170"/>
        <v>3.4065934065934069</v>
      </c>
      <c r="H365" s="394">
        <f t="shared" si="170"/>
        <v>3.5897435897435899</v>
      </c>
      <c r="I365" s="394">
        <f t="shared" si="170"/>
        <v>4.2307692307692308</v>
      </c>
      <c r="J365" s="394">
        <f t="shared" si="170"/>
        <v>4.7619047619047619</v>
      </c>
      <c r="K365" s="394">
        <f t="shared" si="170"/>
        <v>5.2930402930402929</v>
      </c>
      <c r="L365" s="394">
        <f t="shared" si="170"/>
        <v>5.9157509157509143</v>
      </c>
      <c r="M365" s="394">
        <f t="shared" si="170"/>
        <v>6.2271062271062272</v>
      </c>
      <c r="N365" s="394">
        <f t="shared" si="170"/>
        <v>6.7032967032967044</v>
      </c>
      <c r="O365" s="394">
        <f t="shared" si="170"/>
        <v>7.0146520146520146</v>
      </c>
      <c r="P365" s="394">
        <f t="shared" si="170"/>
        <v>7.3260073260073257</v>
      </c>
      <c r="Q365" s="394">
        <f t="shared" si="170"/>
        <v>7.5091575091575091</v>
      </c>
      <c r="R365" s="394">
        <f t="shared" si="170"/>
        <v>7.728937728937729</v>
      </c>
      <c r="S365" s="394">
        <f t="shared" si="170"/>
        <v>7.9304029304029298</v>
      </c>
      <c r="T365" s="394">
        <f t="shared" si="170"/>
        <v>8.4065934065934051</v>
      </c>
      <c r="U365" s="394">
        <f t="shared" si="170"/>
        <v>8.6080586080586077</v>
      </c>
      <c r="V365" s="394">
        <f t="shared" si="170"/>
        <v>9.3406593406593412</v>
      </c>
      <c r="W365" s="394">
        <f t="shared" si="170"/>
        <v>9.542124542124542</v>
      </c>
      <c r="X365" s="311">
        <f>5*2*X364</f>
        <v>10</v>
      </c>
      <c r="Y365" s="394">
        <f t="shared" si="171" ref="Y365:AC365">5*2*Y364</f>
        <v>10.622710622710622</v>
      </c>
      <c r="Z365" s="394">
        <f t="shared" si="171"/>
        <v>11.172161172161172</v>
      </c>
      <c r="AA365" s="394">
        <f t="shared" si="171"/>
        <v>11.428571428571427</v>
      </c>
      <c r="AB365" s="394">
        <f t="shared" si="171"/>
        <v>12.27106227106227</v>
      </c>
      <c r="AC365" s="395">
        <f t="shared" si="171"/>
        <v>12.875457875457874</v>
      </c>
      <c r="AD365" s="107" t="s">
        <v>393</v>
      </c>
      <c r="AE365" s="68"/>
    </row>
    <row r="366" spans="1:31" ht="15">
      <c r="A366" s="785"/>
      <c r="B366" s="640"/>
      <c r="C366" s="143">
        <f t="shared" si="172" ref="C366:W366">C365*$AE$364</f>
        <v>450.54945054945057</v>
      </c>
      <c r="D366" s="143">
        <f t="shared" si="172"/>
        <v>512.82051282051282</v>
      </c>
      <c r="E366" s="143">
        <f t="shared" si="172"/>
        <v>564.10256410256409</v>
      </c>
      <c r="F366" s="143">
        <f t="shared" si="172"/>
        <v>633.69963369963364</v>
      </c>
      <c r="G366" s="143">
        <f t="shared" si="172"/>
        <v>681.31868131868134</v>
      </c>
      <c r="H366" s="143">
        <f t="shared" si="172"/>
        <v>717.94871794871801</v>
      </c>
      <c r="I366" s="143">
        <f t="shared" si="172"/>
        <v>846.15384615384619</v>
      </c>
      <c r="J366" s="143">
        <f t="shared" si="172"/>
        <v>952.38095238095241</v>
      </c>
      <c r="K366" s="143">
        <f t="shared" si="172"/>
        <v>1058.6080586080586</v>
      </c>
      <c r="L366" s="143">
        <f t="shared" si="172"/>
        <v>1183.1501831501828</v>
      </c>
      <c r="M366" s="143">
        <f t="shared" si="172"/>
        <v>1245.4212454212454</v>
      </c>
      <c r="N366" s="143">
        <f t="shared" si="172"/>
        <v>1340.6593406593408</v>
      </c>
      <c r="O366" s="143">
        <f t="shared" si="172"/>
        <v>1402.930402930403</v>
      </c>
      <c r="P366" s="143">
        <f t="shared" si="172"/>
        <v>1465.2014652014652</v>
      </c>
      <c r="Q366" s="143">
        <f t="shared" si="172"/>
        <v>1501.8315018315018</v>
      </c>
      <c r="R366" s="143">
        <f t="shared" si="172"/>
        <v>1545.7875457875457</v>
      </c>
      <c r="S366" s="143">
        <f t="shared" si="172"/>
        <v>1586.080586080586</v>
      </c>
      <c r="T366" s="143">
        <f t="shared" si="172"/>
        <v>1681.318681318681</v>
      </c>
      <c r="U366" s="143">
        <f t="shared" si="172"/>
        <v>1721.6117216117216</v>
      </c>
      <c r="V366" s="143">
        <f t="shared" si="172"/>
        <v>1868.1318681318683</v>
      </c>
      <c r="W366" s="143">
        <f t="shared" si="172"/>
        <v>1908.4249084249084</v>
      </c>
      <c r="X366" s="396">
        <f>X365*$AE$364</f>
        <v>2000</v>
      </c>
      <c r="Y366" s="143">
        <f t="shared" si="173" ref="Y366:AC366">Y365*$AE$364</f>
        <v>2124.5421245421244</v>
      </c>
      <c r="Z366" s="143">
        <f t="shared" si="173"/>
        <v>2234.4322344322345</v>
      </c>
      <c r="AA366" s="143">
        <f t="shared" si="173"/>
        <v>2285.7142857142853</v>
      </c>
      <c r="AB366" s="143">
        <f t="shared" si="173"/>
        <v>2454.2124542124538</v>
      </c>
      <c r="AC366" s="397">
        <f t="shared" si="173"/>
        <v>2575.0915750915747</v>
      </c>
      <c r="AD366" s="107" t="s">
        <v>378</v>
      </c>
      <c r="AE366" s="68"/>
    </row>
    <row r="367" spans="1:31" ht="15">
      <c r="A367" s="785"/>
      <c r="B367" s="640"/>
      <c r="C367" s="394">
        <f t="shared" si="174" ref="C367:AC367">$AC$2/C365*2</f>
        <v>8.8780487804878057</v>
      </c>
      <c r="D367" s="394">
        <f t="shared" si="174"/>
        <v>7.8000000000000007</v>
      </c>
      <c r="E367" s="394">
        <f t="shared" si="174"/>
        <v>7.0909090909090917</v>
      </c>
      <c r="F367" s="394">
        <f t="shared" si="174"/>
        <v>6.3121387283237</v>
      </c>
      <c r="G367" s="394">
        <f t="shared" si="174"/>
        <v>5.8709677419354831</v>
      </c>
      <c r="H367" s="394">
        <f t="shared" si="174"/>
        <v>5.5714285714285712</v>
      </c>
      <c r="I367" s="394">
        <f t="shared" si="174"/>
        <v>4.7272727272727275</v>
      </c>
      <c r="J367" s="394">
        <f t="shared" si="174"/>
        <v>4.20</v>
      </c>
      <c r="K367" s="394">
        <f t="shared" si="174"/>
        <v>3.7785467128027683</v>
      </c>
      <c r="L367" s="394">
        <f t="shared" si="174"/>
        <v>3.3808049535603724</v>
      </c>
      <c r="M367" s="394">
        <f t="shared" si="174"/>
        <v>3.2117647058823531</v>
      </c>
      <c r="N367" s="394">
        <f t="shared" si="174"/>
        <v>2.9836065573770485</v>
      </c>
      <c r="O367" s="394">
        <f t="shared" si="174"/>
        <v>2.8511749347258486</v>
      </c>
      <c r="P367" s="394">
        <f t="shared" si="174"/>
        <v>2.73</v>
      </c>
      <c r="Q367" s="394">
        <f t="shared" si="174"/>
        <v>2.6634146341463416</v>
      </c>
      <c r="R367" s="394">
        <f t="shared" si="174"/>
        <v>2.5876777251184833</v>
      </c>
      <c r="S367" s="394">
        <f t="shared" si="174"/>
        <v>2.521939953810624</v>
      </c>
      <c r="T367" s="394">
        <f t="shared" si="174"/>
        <v>2.3790849673202619</v>
      </c>
      <c r="U367" s="394">
        <f t="shared" si="174"/>
        <v>2.323404255319149</v>
      </c>
      <c r="V367" s="394">
        <f t="shared" si="174"/>
        <v>2.1411764705882352</v>
      </c>
      <c r="W367" s="394">
        <f t="shared" si="174"/>
        <v>2.0959692898272553</v>
      </c>
      <c r="X367" s="311">
        <f>$AC$2/X365*2</f>
        <v>2</v>
      </c>
      <c r="Y367" s="394">
        <f t="shared" si="174"/>
        <v>1.8827586206896552</v>
      </c>
      <c r="Z367" s="394">
        <f t="shared" si="174"/>
        <v>1.7901639344262297</v>
      </c>
      <c r="AA367" s="394">
        <f t="shared" si="174"/>
        <v>1.7500000000000002</v>
      </c>
      <c r="AB367" s="394">
        <f t="shared" si="174"/>
        <v>1.6298507462686569</v>
      </c>
      <c r="AC367" s="395">
        <f t="shared" si="174"/>
        <v>1.5533428165007115</v>
      </c>
      <c r="AD367" s="107" t="s">
        <v>376</v>
      </c>
      <c r="AE367" s="68"/>
    </row>
    <row r="368" spans="1:31" ht="15.75" thickBot="1">
      <c r="A368" s="786"/>
      <c r="B368" s="778"/>
      <c r="C368" s="71">
        <v>12.30</v>
      </c>
      <c r="D368" s="77">
        <v>14</v>
      </c>
      <c r="E368" s="77">
        <v>15.40</v>
      </c>
      <c r="F368" s="77">
        <v>17.30</v>
      </c>
      <c r="G368" s="77">
        <v>18.60</v>
      </c>
      <c r="H368" s="77">
        <v>19.60</v>
      </c>
      <c r="I368" s="77">
        <v>23.10</v>
      </c>
      <c r="J368" s="77">
        <v>26</v>
      </c>
      <c r="K368" s="77">
        <v>28.90</v>
      </c>
      <c r="L368" s="77">
        <v>32.299999999999997</v>
      </c>
      <c r="M368" s="77">
        <v>34</v>
      </c>
      <c r="N368" s="77">
        <v>36.60</v>
      </c>
      <c r="O368" s="77">
        <v>38.299999999999997</v>
      </c>
      <c r="P368" s="77">
        <v>40</v>
      </c>
      <c r="Q368" s="77">
        <v>41</v>
      </c>
      <c r="R368" s="77">
        <v>42.20</v>
      </c>
      <c r="S368" s="77">
        <v>43.30</v>
      </c>
      <c r="T368" s="77">
        <v>45.90</v>
      </c>
      <c r="U368" s="77">
        <v>47</v>
      </c>
      <c r="V368" s="77">
        <v>51</v>
      </c>
      <c r="W368" s="77">
        <v>52.10</v>
      </c>
      <c r="X368" s="77">
        <v>54.60</v>
      </c>
      <c r="Y368" s="77">
        <v>58</v>
      </c>
      <c r="Z368" s="77">
        <v>61</v>
      </c>
      <c r="AA368" s="77">
        <v>62.40</v>
      </c>
      <c r="AB368" s="77">
        <v>67</v>
      </c>
      <c r="AC368" s="104">
        <v>70.30</v>
      </c>
      <c r="AD368" s="107" t="s">
        <v>816</v>
      </c>
      <c r="AE368" s="68"/>
    </row>
    <row r="369" spans="1:32" ht="15">
      <c r="A369" s="869" t="s">
        <v>817</v>
      </c>
      <c r="B369" s="884" t="s">
        <v>31</v>
      </c>
      <c r="C369" s="398">
        <f>C371*$AE$371</f>
        <v>348</v>
      </c>
      <c r="D369" s="398">
        <f t="shared" si="175" ref="D369:AC369">D371*$AE$371</f>
        <v>396</v>
      </c>
      <c r="E369" s="398">
        <f t="shared" si="175"/>
        <v>435</v>
      </c>
      <c r="F369" s="398">
        <f t="shared" si="175"/>
        <v>489</v>
      </c>
      <c r="G369" s="398">
        <f t="shared" si="175"/>
        <v>528</v>
      </c>
      <c r="H369" s="398">
        <f t="shared" si="175"/>
        <v>555</v>
      </c>
      <c r="I369" s="398">
        <f t="shared" si="175"/>
        <v>657</v>
      </c>
      <c r="J369" s="398">
        <f t="shared" si="175"/>
        <v>741</v>
      </c>
      <c r="K369" s="398">
        <f t="shared" si="175"/>
        <v>825</v>
      </c>
      <c r="L369" s="398">
        <f t="shared" si="175"/>
        <v>924</v>
      </c>
      <c r="M369" s="398">
        <f t="shared" si="175"/>
        <v>975</v>
      </c>
      <c r="N369" s="398">
        <f t="shared" si="175"/>
        <v>1050</v>
      </c>
      <c r="O369" s="398">
        <f t="shared" si="175"/>
        <v>1101</v>
      </c>
      <c r="P369" s="398">
        <f t="shared" si="175"/>
        <v>1152</v>
      </c>
      <c r="Q369" s="398">
        <f t="shared" si="175"/>
        <v>1182</v>
      </c>
      <c r="R369" s="398">
        <f t="shared" si="175"/>
        <v>1215</v>
      </c>
      <c r="S369" s="398">
        <f t="shared" si="175"/>
        <v>1248</v>
      </c>
      <c r="T369" s="398">
        <f t="shared" si="175"/>
        <v>1326</v>
      </c>
      <c r="U369" s="398">
        <f t="shared" si="175"/>
        <v>1356</v>
      </c>
      <c r="V369" s="398">
        <f t="shared" si="175"/>
        <v>1473</v>
      </c>
      <c r="W369" s="398">
        <f t="shared" si="175"/>
        <v>1506</v>
      </c>
      <c r="X369" s="398">
        <f t="shared" si="175"/>
        <v>1578</v>
      </c>
      <c r="Y369" s="398">
        <f t="shared" si="175"/>
        <v>1680</v>
      </c>
      <c r="Z369" s="398">
        <f t="shared" si="175"/>
        <v>1767</v>
      </c>
      <c r="AA369" s="398">
        <f t="shared" si="175"/>
        <v>1806</v>
      </c>
      <c r="AB369" s="398">
        <f t="shared" si="175"/>
        <v>1944</v>
      </c>
      <c r="AC369" s="399">
        <f t="shared" si="175"/>
        <v>2037.0000000000002</v>
      </c>
      <c r="AD369" s="379" t="s">
        <v>377</v>
      </c>
      <c r="AE369" s="380">
        <v>183</v>
      </c>
      <c r="AF369" s="11"/>
    </row>
    <row r="370" spans="1:32" ht="15">
      <c r="A370" s="870"/>
      <c r="B370" s="885"/>
      <c r="C370" s="400">
        <f>C369/$AE$369</f>
        <v>1.901639344262295</v>
      </c>
      <c r="D370" s="400">
        <f t="shared" si="176" ref="D370:AC370">D369/$AE$369</f>
        <v>2.1639344262295084</v>
      </c>
      <c r="E370" s="400">
        <f t="shared" si="176"/>
        <v>2.377049180327869</v>
      </c>
      <c r="F370" s="400">
        <f t="shared" si="176"/>
        <v>2.6721311475409837</v>
      </c>
      <c r="G370" s="400">
        <f t="shared" si="176"/>
        <v>2.8852459016393444</v>
      </c>
      <c r="H370" s="400">
        <f t="shared" si="176"/>
        <v>3.0327868852459017</v>
      </c>
      <c r="I370" s="400">
        <f t="shared" si="176"/>
        <v>3.5901639344262297</v>
      </c>
      <c r="J370" s="400">
        <f t="shared" si="176"/>
        <v>4.0491803278688527</v>
      </c>
      <c r="K370" s="400">
        <f t="shared" si="176"/>
        <v>4.5081967213114753</v>
      </c>
      <c r="L370" s="400">
        <f t="shared" si="176"/>
        <v>5.0491803278688527</v>
      </c>
      <c r="M370" s="400">
        <f t="shared" si="176"/>
        <v>5.3278688524590168</v>
      </c>
      <c r="N370" s="400">
        <f t="shared" si="176"/>
        <v>5.7377049180327866</v>
      </c>
      <c r="O370" s="400">
        <f t="shared" si="176"/>
        <v>6.0163934426229506</v>
      </c>
      <c r="P370" s="400">
        <f t="shared" si="176"/>
        <v>6.2950819672131146</v>
      </c>
      <c r="Q370" s="400">
        <f t="shared" si="176"/>
        <v>6.4590163934426226</v>
      </c>
      <c r="R370" s="400">
        <f t="shared" si="176"/>
        <v>6.639344262295082</v>
      </c>
      <c r="S370" s="400">
        <f t="shared" si="176"/>
        <v>6.8196721311475406</v>
      </c>
      <c r="T370" s="400">
        <f t="shared" si="176"/>
        <v>7.2459016393442619</v>
      </c>
      <c r="U370" s="400">
        <f t="shared" si="176"/>
        <v>7.4098360655737707</v>
      </c>
      <c r="V370" s="400">
        <f t="shared" si="176"/>
        <v>8.0491803278688518</v>
      </c>
      <c r="W370" s="400">
        <f t="shared" si="176"/>
        <v>8.2295081967213122</v>
      </c>
      <c r="X370" s="400">
        <f t="shared" si="176"/>
        <v>8.6229508196721305</v>
      </c>
      <c r="Y370" s="400">
        <f t="shared" si="176"/>
        <v>9.1803278688524586</v>
      </c>
      <c r="Z370" s="400">
        <f t="shared" si="176"/>
        <v>9.6557377049180335</v>
      </c>
      <c r="AA370" s="400">
        <f t="shared" si="176"/>
        <v>9.8688524590163933</v>
      </c>
      <c r="AB370" s="400">
        <f t="shared" si="176"/>
        <v>10.622950819672131</v>
      </c>
      <c r="AC370" s="400">
        <f t="shared" si="176"/>
        <v>11.131147540983608</v>
      </c>
      <c r="AD370" s="379"/>
      <c r="AE370" s="380"/>
      <c r="AF370" s="11"/>
    </row>
    <row r="371" spans="1:32" ht="15.75" thickBot="1">
      <c r="A371" s="871"/>
      <c r="B371" s="886"/>
      <c r="C371" s="385">
        <v>11.60</v>
      </c>
      <c r="D371" s="385">
        <v>13.20</v>
      </c>
      <c r="E371" s="385">
        <v>14.50</v>
      </c>
      <c r="F371" s="385">
        <v>16.30</v>
      </c>
      <c r="G371" s="385">
        <v>17.60</v>
      </c>
      <c r="H371" s="385">
        <v>18.50</v>
      </c>
      <c r="I371" s="385">
        <v>21.90</v>
      </c>
      <c r="J371" s="385">
        <v>24.70</v>
      </c>
      <c r="K371" s="385">
        <v>27.50</v>
      </c>
      <c r="L371" s="385">
        <v>30.80</v>
      </c>
      <c r="M371" s="385">
        <v>32.50</v>
      </c>
      <c r="N371" s="385">
        <v>35</v>
      </c>
      <c r="O371" s="385">
        <v>36.700000000000003</v>
      </c>
      <c r="P371" s="385">
        <v>38.40</v>
      </c>
      <c r="Q371" s="385">
        <v>39.40</v>
      </c>
      <c r="R371" s="385">
        <v>40.50</v>
      </c>
      <c r="S371" s="385">
        <v>41.60</v>
      </c>
      <c r="T371" s="385">
        <v>44.20</v>
      </c>
      <c r="U371" s="385">
        <v>45.20</v>
      </c>
      <c r="V371" s="385">
        <v>49.10</v>
      </c>
      <c r="W371" s="385">
        <v>50.20</v>
      </c>
      <c r="X371" s="385">
        <v>52.60</v>
      </c>
      <c r="Y371" s="385">
        <v>56</v>
      </c>
      <c r="Z371" s="385">
        <v>58.90</v>
      </c>
      <c r="AA371" s="385">
        <v>60.20</v>
      </c>
      <c r="AB371" s="385">
        <v>64.80</v>
      </c>
      <c r="AC371" s="401">
        <v>67.900000000000006</v>
      </c>
      <c r="AD371" s="379" t="s">
        <v>818</v>
      </c>
      <c r="AE371" s="380">
        <v>30</v>
      </c>
      <c r="AF371" s="11" t="s">
        <v>468</v>
      </c>
    </row>
    <row r="372" spans="1:31" ht="15">
      <c r="A372" s="784" t="s">
        <v>819</v>
      </c>
      <c r="B372" s="881" t="s">
        <v>21</v>
      </c>
      <c r="C372" s="402">
        <f>C374*$AE$372</f>
        <v>2784.2727272727275</v>
      </c>
      <c r="D372" s="187">
        <f t="shared" si="177" ref="D372:AC372">D374*$AE$372</f>
        <v>3169.090909090909</v>
      </c>
      <c r="E372" s="187">
        <f t="shared" si="177"/>
        <v>3486</v>
      </c>
      <c r="F372" s="187">
        <f t="shared" si="177"/>
        <v>3916.090909090909</v>
      </c>
      <c r="G372" s="187">
        <f t="shared" si="177"/>
        <v>4210.363636363636</v>
      </c>
      <c r="H372" s="187">
        <f t="shared" si="177"/>
        <v>4436.727272727273</v>
      </c>
      <c r="I372" s="187">
        <f t="shared" si="177"/>
        <v>5229</v>
      </c>
      <c r="J372" s="187">
        <f t="shared" si="177"/>
        <v>5885.454545454545</v>
      </c>
      <c r="K372" s="187">
        <f t="shared" si="177"/>
        <v>6541.9090909090901</v>
      </c>
      <c r="L372" s="187">
        <f t="shared" si="177"/>
        <v>7311.5454545454531</v>
      </c>
      <c r="M372" s="187">
        <f t="shared" si="177"/>
        <v>7696.363636363636</v>
      </c>
      <c r="N372" s="187">
        <f t="shared" si="177"/>
        <v>8284.9090909090901</v>
      </c>
      <c r="O372" s="187">
        <f t="shared" si="177"/>
        <v>8669.7272727272721</v>
      </c>
      <c r="P372" s="187">
        <f t="shared" si="177"/>
        <v>9054.545454545454</v>
      </c>
      <c r="Q372" s="187">
        <f t="shared" si="177"/>
        <v>9280.9090909090901</v>
      </c>
      <c r="R372" s="187">
        <f t="shared" si="177"/>
        <v>9552.545454545454</v>
      </c>
      <c r="S372" s="187">
        <f t="shared" si="177"/>
        <v>9801.545454545454</v>
      </c>
      <c r="T372" s="187">
        <f t="shared" si="177"/>
        <v>10390.090909090908</v>
      </c>
      <c r="U372" s="187">
        <f t="shared" si="177"/>
        <v>10639.090909090906</v>
      </c>
      <c r="V372" s="187">
        <f t="shared" si="177"/>
        <v>11544.545454545454</v>
      </c>
      <c r="W372" s="187">
        <f t="shared" si="177"/>
        <v>11793.545454545454</v>
      </c>
      <c r="X372" s="187">
        <f t="shared" si="177"/>
        <v>12359.454545454546</v>
      </c>
      <c r="Y372" s="187">
        <f t="shared" si="177"/>
        <v>13129.090909090906</v>
      </c>
      <c r="Z372" s="187">
        <f t="shared" si="177"/>
        <v>13808.181818181816</v>
      </c>
      <c r="AA372" s="187">
        <f t="shared" si="177"/>
        <v>14125.090909090906</v>
      </c>
      <c r="AB372" s="187">
        <f t="shared" si="177"/>
        <v>15166.363636363636</v>
      </c>
      <c r="AC372" s="188">
        <f t="shared" si="177"/>
        <v>15913.363636363636</v>
      </c>
      <c r="AD372" s="107" t="s">
        <v>377</v>
      </c>
      <c r="AE372" s="68">
        <v>166</v>
      </c>
    </row>
    <row r="373" spans="1:31" ht="15">
      <c r="A373" s="785"/>
      <c r="B373" s="882"/>
      <c r="C373" s="98">
        <f>$AC$2*3/C374</f>
        <v>1.7886178861788617</v>
      </c>
      <c r="D373" s="165">
        <f t="shared" si="178" ref="D373:AC373">$AC$2*3/D374</f>
        <v>1.5714285714285716</v>
      </c>
      <c r="E373" s="165">
        <f t="shared" si="178"/>
        <v>1.4285714285714286</v>
      </c>
      <c r="F373" s="165">
        <f t="shared" si="178"/>
        <v>1.2716763005780347</v>
      </c>
      <c r="G373" s="165">
        <f t="shared" si="178"/>
        <v>1.1827956989247312</v>
      </c>
      <c r="H373" s="165">
        <f t="shared" si="178"/>
        <v>1.1224489795918369</v>
      </c>
      <c r="I373" s="165">
        <f t="shared" si="178"/>
        <v>0.95238095238095233</v>
      </c>
      <c r="J373" s="165">
        <f t="shared" si="178"/>
        <v>0.84615384615384615</v>
      </c>
      <c r="K373" s="165">
        <f t="shared" si="178"/>
        <v>0.76124567474048443</v>
      </c>
      <c r="L373" s="165">
        <f t="shared" si="178"/>
        <v>0.68111455108359142</v>
      </c>
      <c r="M373" s="165">
        <f t="shared" si="178"/>
        <v>0.6470588235294118</v>
      </c>
      <c r="N373" s="165">
        <f t="shared" si="178"/>
        <v>0.60109289617486339</v>
      </c>
      <c r="O373" s="165">
        <f t="shared" si="178"/>
        <v>0.57441253263707581</v>
      </c>
      <c r="P373" s="165">
        <f t="shared" si="178"/>
        <v>0.55000000000000004</v>
      </c>
      <c r="Q373" s="165">
        <f t="shared" si="178"/>
        <v>0.53658536585365857</v>
      </c>
      <c r="R373" s="165">
        <f t="shared" si="178"/>
        <v>0.52132701421800942</v>
      </c>
      <c r="S373" s="165">
        <f t="shared" si="178"/>
        <v>0.5080831408775982</v>
      </c>
      <c r="T373" s="165">
        <f t="shared" si="178"/>
        <v>0.47930283224400877</v>
      </c>
      <c r="U373" s="165">
        <f t="shared" si="178"/>
        <v>0.46808510638297879</v>
      </c>
      <c r="V373" s="165">
        <f t="shared" si="178"/>
        <v>0.43137254901960781</v>
      </c>
      <c r="W373" s="165">
        <f t="shared" si="178"/>
        <v>0.42226487523992323</v>
      </c>
      <c r="X373" s="165">
        <f t="shared" si="178"/>
        <v>0.40293040293040294</v>
      </c>
      <c r="Y373" s="165">
        <f t="shared" si="178"/>
        <v>0.37931034482758624</v>
      </c>
      <c r="Z373" s="165">
        <f t="shared" si="178"/>
        <v>0.36065573770491804</v>
      </c>
      <c r="AA373" s="165">
        <f t="shared" si="178"/>
        <v>0.35256410256410259</v>
      </c>
      <c r="AB373" s="165">
        <f t="shared" si="178"/>
        <v>0.32835820895522388</v>
      </c>
      <c r="AC373" s="166">
        <f t="shared" si="178"/>
        <v>0.31294452347083929</v>
      </c>
      <c r="AD373" s="107" t="s">
        <v>376</v>
      </c>
      <c r="AE373" s="68"/>
    </row>
    <row r="374" spans="1:31" ht="15">
      <c r="A374" s="785"/>
      <c r="B374" s="882"/>
      <c r="C374" s="98">
        <f>6/4.4*C375</f>
        <v>16.772727272727273</v>
      </c>
      <c r="D374" s="109">
        <f t="shared" si="179" ref="D374:AC374">6/4.4*D375</f>
        <v>19.09090909090909</v>
      </c>
      <c r="E374" s="109">
        <f t="shared" si="179"/>
        <v>21</v>
      </c>
      <c r="F374" s="109">
        <f t="shared" si="179"/>
        <v>23.59090909090909</v>
      </c>
      <c r="G374" s="109">
        <f t="shared" si="179"/>
        <v>25.363636363636363</v>
      </c>
      <c r="H374" s="109">
        <f t="shared" si="179"/>
        <v>26.727272727272727</v>
      </c>
      <c r="I374" s="109">
        <f t="shared" si="179"/>
        <v>31.50</v>
      </c>
      <c r="J374" s="109">
        <f t="shared" si="179"/>
        <v>35.454545454545453</v>
      </c>
      <c r="K374" s="109">
        <f t="shared" si="179"/>
        <v>39.409090909090907</v>
      </c>
      <c r="L374" s="109">
        <f t="shared" si="179"/>
        <v>44.04545454545454</v>
      </c>
      <c r="M374" s="109">
        <f t="shared" si="179"/>
        <v>46.36363636363636</v>
      </c>
      <c r="N374" s="109">
        <f t="shared" si="179"/>
        <v>49.909090909090907</v>
      </c>
      <c r="O374" s="109">
        <f t="shared" si="179"/>
        <v>52.22727272727272</v>
      </c>
      <c r="P374" s="109">
        <f t="shared" si="179"/>
        <v>54.54545454545454</v>
      </c>
      <c r="Q374" s="109">
        <f t="shared" si="179"/>
        <v>55.909090909090907</v>
      </c>
      <c r="R374" s="109">
        <f t="shared" si="179"/>
        <v>57.545454545454547</v>
      </c>
      <c r="S374" s="109">
        <f t="shared" si="179"/>
        <v>59.04545454545454</v>
      </c>
      <c r="T374" s="109">
        <f t="shared" si="179"/>
        <v>62.590909090909086</v>
      </c>
      <c r="U374" s="109">
        <f t="shared" si="179"/>
        <v>64.090909090909079</v>
      </c>
      <c r="V374" s="109">
        <f t="shared" si="179"/>
        <v>69.545454545454547</v>
      </c>
      <c r="W374" s="109">
        <f t="shared" si="179"/>
        <v>71.045454545454547</v>
      </c>
      <c r="X374" s="109">
        <f t="shared" si="179"/>
        <v>74.454545454545453</v>
      </c>
      <c r="Y374" s="109">
        <f t="shared" si="179"/>
        <v>79.090909090909079</v>
      </c>
      <c r="Z374" s="109">
        <f t="shared" si="179"/>
        <v>83.181818181818173</v>
      </c>
      <c r="AA374" s="109">
        <f t="shared" si="179"/>
        <v>85.090909090909079</v>
      </c>
      <c r="AB374" s="109">
        <f t="shared" si="179"/>
        <v>91.36363636363636</v>
      </c>
      <c r="AC374" s="125">
        <f t="shared" si="179"/>
        <v>95.86363636363636</v>
      </c>
      <c r="AD374" s="107" t="s">
        <v>820</v>
      </c>
      <c r="AE374" s="68"/>
    </row>
    <row r="375" spans="1:31" ht="15" thickBot="1">
      <c r="A375" s="785"/>
      <c r="B375" s="882"/>
      <c r="C375" s="169">
        <v>12.30</v>
      </c>
      <c r="D375" s="54">
        <v>14</v>
      </c>
      <c r="E375" s="54">
        <v>15.40</v>
      </c>
      <c r="F375" s="54">
        <v>17.30</v>
      </c>
      <c r="G375" s="54">
        <v>18.60</v>
      </c>
      <c r="H375" s="54">
        <v>19.60</v>
      </c>
      <c r="I375" s="54">
        <v>23.10</v>
      </c>
      <c r="J375" s="54">
        <v>26</v>
      </c>
      <c r="K375" s="54">
        <v>28.90</v>
      </c>
      <c r="L375" s="54">
        <v>32.299999999999997</v>
      </c>
      <c r="M375" s="54">
        <v>34</v>
      </c>
      <c r="N375" s="54">
        <v>36.60</v>
      </c>
      <c r="O375" s="54">
        <v>38.299999999999997</v>
      </c>
      <c r="P375" s="54">
        <v>40</v>
      </c>
      <c r="Q375" s="54">
        <v>41</v>
      </c>
      <c r="R375" s="54">
        <v>42.20</v>
      </c>
      <c r="S375" s="54">
        <v>43.30</v>
      </c>
      <c r="T375" s="54">
        <v>45.90</v>
      </c>
      <c r="U375" s="54">
        <v>47</v>
      </c>
      <c r="V375" s="54">
        <v>51</v>
      </c>
      <c r="W375" s="54">
        <v>52.10</v>
      </c>
      <c r="X375" s="54">
        <v>54.60</v>
      </c>
      <c r="Y375" s="54">
        <v>58</v>
      </c>
      <c r="Z375" s="54">
        <v>61</v>
      </c>
      <c r="AA375" s="54">
        <v>62.40</v>
      </c>
      <c r="AB375" s="54">
        <v>67</v>
      </c>
      <c r="AC375" s="144">
        <v>70.30</v>
      </c>
      <c r="AD375" s="107" t="s">
        <v>816</v>
      </c>
      <c r="AE375" s="68"/>
    </row>
    <row r="376" spans="1:32" ht="15">
      <c r="A376" s="869" t="s">
        <v>821</v>
      </c>
      <c r="B376" s="872" t="s">
        <v>822</v>
      </c>
      <c r="C376" s="377">
        <f t="shared" si="180" ref="C376:AB376">C378*$AE$378</f>
        <v>555.87962880000009</v>
      </c>
      <c r="D376" s="377">
        <f t="shared" si="180"/>
        <v>597.15139920000001</v>
      </c>
      <c r="E376" s="377">
        <f t="shared" si="180"/>
        <v>609.21475920000012</v>
      </c>
      <c r="F376" s="377">
        <f t="shared" si="180"/>
        <v>649.25380499999994</v>
      </c>
      <c r="G376" s="377">
        <f t="shared" si="180"/>
        <v>688.95451125000011</v>
      </c>
      <c r="H376" s="377">
        <f t="shared" si="180"/>
        <v>697.03602000000001</v>
      </c>
      <c r="I376" s="377">
        <f t="shared" si="180"/>
        <v>756.61393920000012</v>
      </c>
      <c r="J376" s="377">
        <f t="shared" si="180"/>
        <v>854.14620480000008</v>
      </c>
      <c r="K376" s="377">
        <f t="shared" si="180"/>
        <v>942.45</v>
      </c>
      <c r="L376" s="377">
        <f t="shared" si="180"/>
        <v>1003.7318688</v>
      </c>
      <c r="M376" s="377">
        <f t="shared" si="180"/>
        <v>1125.89695005</v>
      </c>
      <c r="N376" s="377">
        <f t="shared" si="180"/>
        <v>1211.9492322000001</v>
      </c>
      <c r="O376" s="377">
        <f t="shared" si="180"/>
        <v>1252.9015120500001</v>
      </c>
      <c r="P376" s="377">
        <f t="shared" si="180"/>
        <v>1310.04414045</v>
      </c>
      <c r="Q376" s="377">
        <f t="shared" si="180"/>
        <v>1402.7425800000003</v>
      </c>
      <c r="R376" s="377">
        <f t="shared" si="180"/>
        <v>1423.51512045</v>
      </c>
      <c r="S376" s="377">
        <f t="shared" si="180"/>
        <v>1435.1213921999999</v>
      </c>
      <c r="T376" s="377">
        <f t="shared" si="180"/>
        <v>1551.3565780500001</v>
      </c>
      <c r="U376" s="377">
        <f t="shared" si="180"/>
        <v>1563.4717728000001</v>
      </c>
      <c r="V376" s="377">
        <f t="shared" si="180"/>
        <v>1672.1174088</v>
      </c>
      <c r="W376" s="377">
        <f t="shared" si="180"/>
        <v>1674.6290380500002</v>
      </c>
      <c r="X376" s="377">
        <f t="shared" si="180"/>
        <v>1684.6944040500002</v>
      </c>
      <c r="Y376" s="377">
        <f t="shared" si="180"/>
        <v>1820.9076450000002</v>
      </c>
      <c r="Z376" s="377">
        <f t="shared" si="180"/>
        <v>1834.0312612500002</v>
      </c>
      <c r="AA376" s="377">
        <f t="shared" si="180"/>
        <v>1849.8418024499999</v>
      </c>
      <c r="AB376" s="377">
        <f t="shared" si="180"/>
        <v>1981.501125</v>
      </c>
      <c r="AC376" s="378">
        <f>AC378*$AE$378</f>
        <v>1981.501125</v>
      </c>
      <c r="AD376" s="379" t="s">
        <v>377</v>
      </c>
      <c r="AE376" s="380">
        <v>183</v>
      </c>
      <c r="AF376" s="11"/>
    </row>
    <row r="377" spans="1:32" ht="15">
      <c r="A377" s="870"/>
      <c r="B377" s="873"/>
      <c r="C377" s="403">
        <f>C376/$AE$376</f>
        <v>3.0375936000000006</v>
      </c>
      <c r="D377" s="403">
        <f t="shared" si="181" ref="D377:AC377">D376/$AE$376</f>
        <v>3.2631223999999999</v>
      </c>
      <c r="E377" s="403">
        <f t="shared" si="181"/>
        <v>3.3290424000000005</v>
      </c>
      <c r="F377" s="403">
        <f t="shared" si="181"/>
        <v>3.5478349999999996</v>
      </c>
      <c r="G377" s="403">
        <f t="shared" si="181"/>
        <v>3.7647787500000005</v>
      </c>
      <c r="H377" s="403">
        <f t="shared" si="181"/>
        <v>3.8089400000000002</v>
      </c>
      <c r="I377" s="403">
        <f t="shared" si="181"/>
        <v>4.1345024000000006</v>
      </c>
      <c r="J377" s="403">
        <f t="shared" si="181"/>
        <v>4.6674656000000008</v>
      </c>
      <c r="K377" s="403">
        <f t="shared" si="181"/>
        <v>5.15</v>
      </c>
      <c r="L377" s="403">
        <f t="shared" si="181"/>
        <v>5.4848736000000002</v>
      </c>
      <c r="M377" s="403">
        <f t="shared" si="181"/>
        <v>6.1524423500000003</v>
      </c>
      <c r="N377" s="403">
        <f t="shared" si="181"/>
        <v>6.6226734000000009</v>
      </c>
      <c r="O377" s="403">
        <f t="shared" si="181"/>
        <v>6.8464563500000004</v>
      </c>
      <c r="P377" s="403">
        <f t="shared" si="181"/>
        <v>7.1587111500000002</v>
      </c>
      <c r="Q377" s="403">
        <f t="shared" si="181"/>
        <v>7.6652600000000017</v>
      </c>
      <c r="R377" s="403">
        <f t="shared" si="181"/>
        <v>7.7787711499999999</v>
      </c>
      <c r="S377" s="403">
        <f t="shared" si="181"/>
        <v>7.8421933999999993</v>
      </c>
      <c r="T377" s="403">
        <f t="shared" si="181"/>
        <v>8.4773583500000012</v>
      </c>
      <c r="U377" s="403">
        <f t="shared" si="181"/>
        <v>8.5435616000000003</v>
      </c>
      <c r="V377" s="403">
        <f t="shared" si="181"/>
        <v>9.1372535999999993</v>
      </c>
      <c r="W377" s="403">
        <f t="shared" si="181"/>
        <v>9.1509783500000008</v>
      </c>
      <c r="X377" s="403">
        <f t="shared" si="181"/>
        <v>9.2059803500000008</v>
      </c>
      <c r="Y377" s="403">
        <f t="shared" si="181"/>
        <v>9.9503150000000016</v>
      </c>
      <c r="Z377" s="403">
        <f t="shared" si="181"/>
        <v>10.02202875</v>
      </c>
      <c r="AA377" s="403">
        <f t="shared" si="181"/>
        <v>10.10842515</v>
      </c>
      <c r="AB377" s="403">
        <f t="shared" si="181"/>
        <v>10.827875000000001</v>
      </c>
      <c r="AC377" s="403">
        <f t="shared" si="181"/>
        <v>10.827875000000001</v>
      </c>
      <c r="AD377" s="379"/>
      <c r="AE377" s="380"/>
      <c r="AF377" s="11"/>
    </row>
    <row r="378" spans="1:32" ht="15">
      <c r="A378" s="870"/>
      <c r="B378" s="873"/>
      <c r="C378" s="404">
        <f t="shared" si="182" ref="C378:AB378">3.1415*(C379*C379)/4/1000000</f>
        <v>1.8529320960000002</v>
      </c>
      <c r="D378" s="404">
        <f t="shared" si="182"/>
        <v>1.9905046640000001</v>
      </c>
      <c r="E378" s="404">
        <f t="shared" si="182"/>
        <v>2.0307158640000003</v>
      </c>
      <c r="F378" s="404">
        <f t="shared" si="182"/>
        <v>2.1641793499999999</v>
      </c>
      <c r="G378" s="404">
        <f t="shared" si="182"/>
        <v>2.2965150375000003</v>
      </c>
      <c r="H378" s="404">
        <f t="shared" si="182"/>
        <v>2.3234534</v>
      </c>
      <c r="I378" s="404">
        <f t="shared" si="182"/>
        <v>2.5220464640000002</v>
      </c>
      <c r="J378" s="404">
        <f t="shared" si="182"/>
        <v>2.8471540160000002</v>
      </c>
      <c r="K378" s="404">
        <f t="shared" si="182"/>
        <v>3.1415000000000002</v>
      </c>
      <c r="L378" s="404">
        <f t="shared" si="182"/>
        <v>3.3457728960000002</v>
      </c>
      <c r="M378" s="404">
        <f t="shared" si="182"/>
        <v>3.7529898335</v>
      </c>
      <c r="N378" s="404">
        <f t="shared" si="182"/>
        <v>4.0398307740000003</v>
      </c>
      <c r="O378" s="404">
        <f t="shared" si="182"/>
        <v>4.1763383735000001</v>
      </c>
      <c r="P378" s="404">
        <f t="shared" si="182"/>
        <v>4.3668138015000002</v>
      </c>
      <c r="Q378" s="404">
        <f t="shared" si="182"/>
        <v>4.6758086000000008</v>
      </c>
      <c r="R378" s="404">
        <f t="shared" si="182"/>
        <v>4.7450504015000003</v>
      </c>
      <c r="S378" s="404">
        <f t="shared" si="182"/>
        <v>4.7837379740000001</v>
      </c>
      <c r="T378" s="404">
        <f t="shared" si="182"/>
        <v>5.1711885935000002</v>
      </c>
      <c r="U378" s="404">
        <f t="shared" si="182"/>
        <v>5.211572576</v>
      </c>
      <c r="V378" s="404">
        <f t="shared" si="182"/>
        <v>5.5737246960000002</v>
      </c>
      <c r="W378" s="404">
        <f t="shared" si="182"/>
        <v>5.5820967935000008</v>
      </c>
      <c r="X378" s="404">
        <f t="shared" si="182"/>
        <v>5.6156480135000004</v>
      </c>
      <c r="Y378" s="404">
        <f t="shared" si="182"/>
        <v>6.0696921500000007</v>
      </c>
      <c r="Z378" s="404">
        <f t="shared" si="182"/>
        <v>6.1134375375000003</v>
      </c>
      <c r="AA378" s="404">
        <f t="shared" si="182"/>
        <v>6.1661393415000001</v>
      </c>
      <c r="AB378" s="404">
        <f t="shared" si="182"/>
        <v>6.6050037499999998</v>
      </c>
      <c r="AC378" s="405">
        <f>3.1415*(AC379*AC379)/4/1000000</f>
        <v>6.6050037499999998</v>
      </c>
      <c r="AD378" s="379" t="s">
        <v>788</v>
      </c>
      <c r="AE378" s="380">
        <v>300</v>
      </c>
      <c r="AF378" s="11" t="s">
        <v>468</v>
      </c>
    </row>
    <row r="379" spans="1:32" ht="15.75" thickBot="1">
      <c r="A379" s="871"/>
      <c r="B379" s="874"/>
      <c r="C379" s="406">
        <v>1536</v>
      </c>
      <c r="D379" s="406">
        <v>1592</v>
      </c>
      <c r="E379" s="406">
        <v>1608</v>
      </c>
      <c r="F379" s="406">
        <v>1660</v>
      </c>
      <c r="G379" s="406">
        <v>1710</v>
      </c>
      <c r="H379" s="406">
        <v>1720</v>
      </c>
      <c r="I379" s="406">
        <v>1792</v>
      </c>
      <c r="J379" s="406">
        <v>1904</v>
      </c>
      <c r="K379" s="407">
        <v>2000</v>
      </c>
      <c r="L379" s="406">
        <v>2064</v>
      </c>
      <c r="M379" s="406">
        <v>2186</v>
      </c>
      <c r="N379" s="406">
        <v>2268</v>
      </c>
      <c r="O379" s="406">
        <v>2306</v>
      </c>
      <c r="P379" s="406">
        <v>2358</v>
      </c>
      <c r="Q379" s="406">
        <v>2440</v>
      </c>
      <c r="R379" s="406">
        <v>2458</v>
      </c>
      <c r="S379" s="406">
        <v>2468</v>
      </c>
      <c r="T379" s="406">
        <v>2566</v>
      </c>
      <c r="U379" s="406">
        <v>2576</v>
      </c>
      <c r="V379" s="406">
        <v>2664</v>
      </c>
      <c r="W379" s="406">
        <v>2666</v>
      </c>
      <c r="X379" s="406">
        <v>2674</v>
      </c>
      <c r="Y379" s="406">
        <v>2780</v>
      </c>
      <c r="Z379" s="406">
        <v>2790</v>
      </c>
      <c r="AA379" s="406">
        <v>2802</v>
      </c>
      <c r="AB379" s="406">
        <v>2900</v>
      </c>
      <c r="AC379" s="408">
        <v>2900</v>
      </c>
      <c r="AD379" s="379" t="s">
        <v>669</v>
      </c>
      <c r="AE379" s="380"/>
      <c r="AF379" s="11"/>
    </row>
    <row r="380" spans="1:32" ht="15">
      <c r="A380" s="869" t="s">
        <v>823</v>
      </c>
      <c r="B380" s="872" t="s">
        <v>307</v>
      </c>
      <c r="C380" s="377">
        <f>C383*$AE$382</f>
        <v>357.90</v>
      </c>
      <c r="D380" s="377">
        <f t="shared" si="183" ref="D380:AC380">D383*$AE$382</f>
        <v>354.90</v>
      </c>
      <c r="E380" s="377">
        <f t="shared" si="183"/>
        <v>356.40</v>
      </c>
      <c r="F380" s="377">
        <f t="shared" si="183"/>
        <v>379.20</v>
      </c>
      <c r="G380" s="377">
        <f t="shared" si="183"/>
        <v>426.30</v>
      </c>
      <c r="H380" s="377">
        <f t="shared" si="183"/>
        <v>427.50</v>
      </c>
      <c r="I380" s="377">
        <f t="shared" si="183"/>
        <v>432.90</v>
      </c>
      <c r="J380" s="377">
        <f t="shared" si="183"/>
        <v>510</v>
      </c>
      <c r="K380" s="377">
        <f t="shared" si="183"/>
        <v>540</v>
      </c>
      <c r="L380" s="377">
        <f t="shared" si="183"/>
        <v>575.10</v>
      </c>
      <c r="M380" s="377">
        <f t="shared" si="183"/>
        <v>624</v>
      </c>
      <c r="N380" s="377">
        <f t="shared" si="183"/>
        <v>668.40000000000009</v>
      </c>
      <c r="O380" s="377">
        <f t="shared" si="183"/>
        <v>681.90000000000009</v>
      </c>
      <c r="P380" s="377">
        <f t="shared" si="183"/>
        <v>733.80</v>
      </c>
      <c r="Q380" s="377">
        <f t="shared" si="183"/>
        <v>779.10</v>
      </c>
      <c r="R380" s="377">
        <f t="shared" si="183"/>
        <v>739.50</v>
      </c>
      <c r="S380" s="377">
        <f t="shared" si="183"/>
        <v>739.80</v>
      </c>
      <c r="T380" s="377">
        <f t="shared" si="183"/>
        <v>820.80</v>
      </c>
      <c r="U380" s="377">
        <f t="shared" si="183"/>
        <v>821.40</v>
      </c>
      <c r="V380" s="377">
        <f t="shared" si="183"/>
        <v>930.30</v>
      </c>
      <c r="W380" s="377">
        <f t="shared" si="183"/>
        <v>930.59999999999991</v>
      </c>
      <c r="X380" s="377">
        <f t="shared" si="183"/>
        <v>931.20</v>
      </c>
      <c r="Y380" s="377">
        <f t="shared" si="183"/>
        <v>941.10</v>
      </c>
      <c r="Z380" s="377">
        <f t="shared" si="183"/>
        <v>941.70</v>
      </c>
      <c r="AA380" s="377">
        <f t="shared" si="183"/>
        <v>942.30</v>
      </c>
      <c r="AB380" s="377">
        <f t="shared" si="183"/>
        <v>803.70</v>
      </c>
      <c r="AC380" s="377">
        <f t="shared" si="183"/>
        <v>789.90</v>
      </c>
      <c r="AD380" s="379" t="s">
        <v>377</v>
      </c>
      <c r="AE380" s="380">
        <v>183</v>
      </c>
      <c r="AF380" s="11"/>
    </row>
    <row r="381" spans="1:32" ht="15">
      <c r="A381" s="870"/>
      <c r="B381" s="873"/>
      <c r="C381" s="403"/>
      <c r="D381" s="301"/>
      <c r="E381" s="301"/>
      <c r="F381" s="301"/>
      <c r="G381" s="301"/>
      <c r="H381" s="301"/>
      <c r="I381" s="301"/>
      <c r="J381" s="301"/>
      <c r="K381" s="301"/>
      <c r="L381" s="301"/>
      <c r="M381" s="301"/>
      <c r="N381" s="301"/>
      <c r="O381" s="301"/>
      <c r="P381" s="301"/>
      <c r="Q381" s="301"/>
      <c r="R381" s="301"/>
      <c r="S381" s="301"/>
      <c r="T381" s="301"/>
      <c r="U381" s="301"/>
      <c r="V381" s="301"/>
      <c r="W381" s="301"/>
      <c r="X381" s="301"/>
      <c r="Y381" s="301"/>
      <c r="Z381" s="301"/>
      <c r="AA381" s="301"/>
      <c r="AB381" s="301"/>
      <c r="AC381" s="409"/>
      <c r="AD381" s="379"/>
      <c r="AE381" s="380"/>
      <c r="AF381" s="11"/>
    </row>
    <row r="382" spans="1:32" ht="15">
      <c r="A382" s="870"/>
      <c r="B382" s="873"/>
      <c r="C382" s="404"/>
      <c r="D382" s="301"/>
      <c r="E382" s="301"/>
      <c r="F382" s="301"/>
      <c r="G382" s="301"/>
      <c r="H382" s="301"/>
      <c r="I382" s="301"/>
      <c r="J382" s="301"/>
      <c r="K382" s="301"/>
      <c r="L382" s="301"/>
      <c r="M382" s="301"/>
      <c r="N382" s="301"/>
      <c r="O382" s="301"/>
      <c r="P382" s="301"/>
      <c r="Q382" s="301"/>
      <c r="R382" s="301"/>
      <c r="S382" s="301"/>
      <c r="T382" s="301"/>
      <c r="U382" s="301"/>
      <c r="V382" s="301"/>
      <c r="W382" s="301"/>
      <c r="X382" s="301"/>
      <c r="Y382" s="301"/>
      <c r="Z382" s="301"/>
      <c r="AA382" s="301"/>
      <c r="AB382" s="301"/>
      <c r="AC382" s="409"/>
      <c r="AD382" s="379"/>
      <c r="AE382" s="380">
        <v>300</v>
      </c>
      <c r="AF382" s="11" t="s">
        <v>468</v>
      </c>
    </row>
    <row r="383" spans="1:32" ht="15.75" thickBot="1">
      <c r="A383" s="871"/>
      <c r="B383" s="874"/>
      <c r="C383" s="385">
        <v>1.1930000000000001</v>
      </c>
      <c r="D383" s="385">
        <v>1.1830000000000001</v>
      </c>
      <c r="E383" s="385">
        <v>1.1879999999999999</v>
      </c>
      <c r="F383" s="385">
        <v>1.264</v>
      </c>
      <c r="G383" s="385">
        <v>1.421</v>
      </c>
      <c r="H383" s="385">
        <v>1.425</v>
      </c>
      <c r="I383" s="385">
        <v>1.4430000000000001</v>
      </c>
      <c r="J383" s="385">
        <v>1.70</v>
      </c>
      <c r="K383" s="385">
        <v>1.80</v>
      </c>
      <c r="L383" s="385">
        <v>1.917</v>
      </c>
      <c r="M383" s="385">
        <v>2.08</v>
      </c>
      <c r="N383" s="385">
        <v>2.2280000000000002</v>
      </c>
      <c r="O383" s="385">
        <v>2.2730000000000001</v>
      </c>
      <c r="P383" s="385">
        <v>2.4460000000000002</v>
      </c>
      <c r="Q383" s="385">
        <v>2.597</v>
      </c>
      <c r="R383" s="385">
        <v>2.465</v>
      </c>
      <c r="S383" s="385">
        <v>2.4660000000000002</v>
      </c>
      <c r="T383" s="385">
        <v>2.7360000000000002</v>
      </c>
      <c r="U383" s="385">
        <v>2.738</v>
      </c>
      <c r="V383" s="385">
        <v>3.101</v>
      </c>
      <c r="W383" s="385">
        <v>3.1019999999999999</v>
      </c>
      <c r="X383" s="385">
        <v>3.1040000000000001</v>
      </c>
      <c r="Y383" s="385">
        <v>3.137</v>
      </c>
      <c r="Z383" s="385">
        <v>3.1389999999999998</v>
      </c>
      <c r="AA383" s="385">
        <v>3.141</v>
      </c>
      <c r="AB383" s="385">
        <v>2.6789999999999998</v>
      </c>
      <c r="AC383" s="401">
        <v>2.633</v>
      </c>
      <c r="AD383" s="379" t="s">
        <v>824</v>
      </c>
      <c r="AE383" s="380"/>
      <c r="AF383" s="11"/>
    </row>
    <row r="384" spans="1:31" ht="15">
      <c r="A384" s="410" t="s">
        <v>825</v>
      </c>
      <c r="B384" s="149" t="s">
        <v>304</v>
      </c>
      <c r="C384" s="339">
        <v>151</v>
      </c>
      <c r="D384" s="339">
        <v>116</v>
      </c>
      <c r="E384" s="339"/>
      <c r="F384" s="339">
        <v>126</v>
      </c>
      <c r="G384" s="339"/>
      <c r="H384" s="339">
        <v>108</v>
      </c>
      <c r="I384" s="745" t="s">
        <v>449</v>
      </c>
      <c r="J384" s="746"/>
      <c r="K384" s="746"/>
      <c r="L384" s="746"/>
      <c r="M384" s="746"/>
      <c r="N384" s="746"/>
      <c r="O384" s="746"/>
      <c r="P384" s="746"/>
      <c r="Q384" s="746"/>
      <c r="R384" s="746"/>
      <c r="S384" s="746"/>
      <c r="T384" s="746"/>
      <c r="U384" s="746"/>
      <c r="V384" s="746"/>
      <c r="W384" s="746"/>
      <c r="X384" s="746"/>
      <c r="Y384" s="746"/>
      <c r="Z384" s="746"/>
      <c r="AA384" s="746"/>
      <c r="AB384" s="746"/>
      <c r="AC384" s="761"/>
      <c r="AD384" s="107" t="s">
        <v>376</v>
      </c>
      <c r="AE384" s="68"/>
    </row>
    <row r="385" spans="1:31" ht="15.75" thickBot="1">
      <c r="A385" s="411" t="s">
        <v>826</v>
      </c>
      <c r="B385" s="150" t="s">
        <v>102</v>
      </c>
      <c r="C385" s="189">
        <v>600</v>
      </c>
      <c r="D385" s="189">
        <v>600</v>
      </c>
      <c r="E385" s="189">
        <v>600</v>
      </c>
      <c r="F385" s="189">
        <v>600</v>
      </c>
      <c r="G385" s="189">
        <v>600</v>
      </c>
      <c r="H385" s="189">
        <v>600</v>
      </c>
      <c r="I385" s="742"/>
      <c r="J385" s="743"/>
      <c r="K385" s="743"/>
      <c r="L385" s="743"/>
      <c r="M385" s="743"/>
      <c r="N385" s="743"/>
      <c r="O385" s="743"/>
      <c r="P385" s="743"/>
      <c r="Q385" s="743"/>
      <c r="R385" s="743"/>
      <c r="S385" s="743"/>
      <c r="T385" s="743"/>
      <c r="U385" s="743"/>
      <c r="V385" s="743"/>
      <c r="W385" s="743"/>
      <c r="X385" s="743"/>
      <c r="Y385" s="743"/>
      <c r="Z385" s="743"/>
      <c r="AA385" s="743"/>
      <c r="AB385" s="743"/>
      <c r="AC385" s="744"/>
      <c r="AD385" s="107" t="s">
        <v>376</v>
      </c>
      <c r="AE385" s="68"/>
    </row>
    <row r="386" spans="1:31" ht="15">
      <c r="A386" s="784" t="s">
        <v>827</v>
      </c>
      <c r="B386" s="777" t="s">
        <v>828</v>
      </c>
      <c r="C386" s="412">
        <f t="shared" si="184" ref="C386:AC386">C390/$I$390</f>
        <v>0.8571428571428571</v>
      </c>
      <c r="D386" s="412">
        <f t="shared" si="184"/>
        <v>0.8883928571428571</v>
      </c>
      <c r="E386" s="412">
        <f t="shared" si="184"/>
        <v>0.8973214285714286</v>
      </c>
      <c r="F386" s="412">
        <f t="shared" si="184"/>
        <v>0.9263392857142857</v>
      </c>
      <c r="G386" s="412">
        <f t="shared" si="184"/>
        <v>0.9542410714285714</v>
      </c>
      <c r="H386" s="412">
        <f t="shared" si="184"/>
        <v>0.9598214285714286</v>
      </c>
      <c r="I386" s="413">
        <f>I390/$I$390</f>
        <v>1</v>
      </c>
      <c r="J386" s="412">
        <f t="shared" si="184"/>
        <v>1.0625</v>
      </c>
      <c r="K386" s="412">
        <f t="shared" si="184"/>
        <v>1.1160714285714286</v>
      </c>
      <c r="L386" s="412">
        <f t="shared" si="184"/>
        <v>1.1517857142857142</v>
      </c>
      <c r="M386" s="412">
        <f t="shared" si="184"/>
        <v>1.2198660714285714</v>
      </c>
      <c r="N386" s="412">
        <f t="shared" si="184"/>
        <v>1.265625</v>
      </c>
      <c r="O386" s="412">
        <f t="shared" si="184"/>
        <v>1.2868303571428572</v>
      </c>
      <c r="P386" s="412">
        <f t="shared" si="184"/>
        <v>1.3158482142857142</v>
      </c>
      <c r="Q386" s="412">
        <f t="shared" si="184"/>
        <v>1.3616071428571428</v>
      </c>
      <c r="R386" s="412">
        <f t="shared" si="184"/>
        <v>1.3716517857142858</v>
      </c>
      <c r="S386" s="412">
        <f t="shared" si="184"/>
        <v>1.3772321428571428</v>
      </c>
      <c r="T386" s="412">
        <f t="shared" si="184"/>
        <v>1.4319196428571428</v>
      </c>
      <c r="U386" s="412">
        <f t="shared" si="184"/>
        <v>1.4375</v>
      </c>
      <c r="V386" s="412">
        <f t="shared" si="184"/>
        <v>1.4866071428571428</v>
      </c>
      <c r="W386" s="412">
        <f t="shared" si="184"/>
        <v>1.4877232142857142</v>
      </c>
      <c r="X386" s="412">
        <f t="shared" si="184"/>
        <v>1.4921875</v>
      </c>
      <c r="Y386" s="412">
        <f t="shared" si="184"/>
        <v>1.5513392857142858</v>
      </c>
      <c r="Z386" s="412">
        <f t="shared" si="184"/>
        <v>1.5569196428571428</v>
      </c>
      <c r="AA386" s="412">
        <f t="shared" si="184"/>
        <v>1.5636160714285714</v>
      </c>
      <c r="AB386" s="412">
        <f t="shared" si="184"/>
        <v>1.6183035714285714</v>
      </c>
      <c r="AC386" s="412">
        <f t="shared" si="184"/>
        <v>1.6183035714285714</v>
      </c>
      <c r="AD386" s="107" t="s">
        <v>395</v>
      </c>
      <c r="AE386" s="68">
        <v>200</v>
      </c>
    </row>
    <row r="387" spans="1:31" ht="15">
      <c r="A387" s="785"/>
      <c r="B387" s="640"/>
      <c r="C387" s="317">
        <f t="shared" si="185" ref="C387:H387">2*2*C386</f>
        <v>3.4285714285714284</v>
      </c>
      <c r="D387" s="317">
        <f t="shared" si="185"/>
        <v>3.5535714285714284</v>
      </c>
      <c r="E387" s="317">
        <f t="shared" si="185"/>
        <v>3.5892857142857144</v>
      </c>
      <c r="F387" s="317">
        <f t="shared" si="185"/>
        <v>3.7053571428571428</v>
      </c>
      <c r="G387" s="317">
        <f t="shared" si="185"/>
        <v>3.8169642857142856</v>
      </c>
      <c r="H387" s="317">
        <f t="shared" si="185"/>
        <v>3.8392857142857144</v>
      </c>
      <c r="I387" s="316">
        <f>2*2*I386</f>
        <v>4</v>
      </c>
      <c r="J387" s="317">
        <f t="shared" si="186" ref="J387:AC387">2*2*J386</f>
        <v>4.25</v>
      </c>
      <c r="K387" s="317">
        <f t="shared" si="186"/>
        <v>4.4642857142857144</v>
      </c>
      <c r="L387" s="317">
        <f t="shared" si="186"/>
        <v>4.6071428571428568</v>
      </c>
      <c r="M387" s="317">
        <f t="shared" si="186"/>
        <v>4.8794642857142856</v>
      </c>
      <c r="N387" s="317">
        <f t="shared" si="186"/>
        <v>5.0625</v>
      </c>
      <c r="O387" s="317">
        <f t="shared" si="186"/>
        <v>5.1473214285714288</v>
      </c>
      <c r="P387" s="317">
        <f t="shared" si="186"/>
        <v>5.2633928571428568</v>
      </c>
      <c r="Q387" s="317">
        <f t="shared" si="186"/>
        <v>5.4464285714285712</v>
      </c>
      <c r="R387" s="317">
        <f t="shared" si="186"/>
        <v>5.4866071428571432</v>
      </c>
      <c r="S387" s="317">
        <f t="shared" si="186"/>
        <v>5.5089285714285712</v>
      </c>
      <c r="T387" s="317">
        <f t="shared" si="186"/>
        <v>5.7276785714285712</v>
      </c>
      <c r="U387" s="317">
        <f t="shared" si="186"/>
        <v>5.75</v>
      </c>
      <c r="V387" s="317">
        <f t="shared" si="186"/>
        <v>5.9464285714285712</v>
      </c>
      <c r="W387" s="317">
        <f t="shared" si="186"/>
        <v>5.9508928571428568</v>
      </c>
      <c r="X387" s="317">
        <f t="shared" si="186"/>
        <v>5.96875</v>
      </c>
      <c r="Y387" s="317">
        <f t="shared" si="186"/>
        <v>6.2053571428571432</v>
      </c>
      <c r="Z387" s="317">
        <f t="shared" si="186"/>
        <v>6.2276785714285712</v>
      </c>
      <c r="AA387" s="317">
        <f t="shared" si="186"/>
        <v>6.2544642857142856</v>
      </c>
      <c r="AB387" s="317">
        <f t="shared" si="186"/>
        <v>6.4732142857142856</v>
      </c>
      <c r="AC387" s="317">
        <f t="shared" si="186"/>
        <v>6.4732142857142856</v>
      </c>
      <c r="AD387" s="107" t="s">
        <v>393</v>
      </c>
      <c r="AE387" s="68"/>
    </row>
    <row r="388" spans="1:31" ht="15">
      <c r="A388" s="785"/>
      <c r="B388" s="640"/>
      <c r="C388" s="388">
        <f t="shared" si="187" ref="C388:H388">C387*$AE$386</f>
        <v>685.71428571428567</v>
      </c>
      <c r="D388" s="388">
        <f t="shared" si="187"/>
        <v>710.71428571428567</v>
      </c>
      <c r="E388" s="388">
        <f t="shared" si="187"/>
        <v>717.85714285714289</v>
      </c>
      <c r="F388" s="388">
        <f t="shared" si="187"/>
        <v>741.07142857142856</v>
      </c>
      <c r="G388" s="388">
        <f t="shared" si="187"/>
        <v>763.39285714285711</v>
      </c>
      <c r="H388" s="388">
        <f t="shared" si="187"/>
        <v>767.85714285714289</v>
      </c>
      <c r="I388" s="389">
        <f>I387*$AE$386</f>
        <v>800</v>
      </c>
      <c r="J388" s="388">
        <f t="shared" si="188" ref="J388:AC388">J387*$AE$386</f>
        <v>850</v>
      </c>
      <c r="K388" s="388">
        <f t="shared" si="188"/>
        <v>892.85714285714289</v>
      </c>
      <c r="L388" s="388">
        <f t="shared" si="188"/>
        <v>921.42857142857133</v>
      </c>
      <c r="M388" s="388">
        <f t="shared" si="188"/>
        <v>975.89285714285711</v>
      </c>
      <c r="N388" s="388">
        <f t="shared" si="188"/>
        <v>1012.50</v>
      </c>
      <c r="O388" s="388">
        <f t="shared" si="188"/>
        <v>1029.4642857142858</v>
      </c>
      <c r="P388" s="388">
        <f t="shared" si="188"/>
        <v>1052.6785714285713</v>
      </c>
      <c r="Q388" s="388">
        <f t="shared" si="188"/>
        <v>1089.2857142857142</v>
      </c>
      <c r="R388" s="388">
        <f t="shared" si="188"/>
        <v>1097.3214285714287</v>
      </c>
      <c r="S388" s="388">
        <f t="shared" si="188"/>
        <v>1101.7857142857142</v>
      </c>
      <c r="T388" s="388">
        <f t="shared" si="188"/>
        <v>1145.5357142857142</v>
      </c>
      <c r="U388" s="388">
        <f t="shared" si="188"/>
        <v>1150</v>
      </c>
      <c r="V388" s="388">
        <f t="shared" si="188"/>
        <v>1189.2857142857142</v>
      </c>
      <c r="W388" s="388">
        <f t="shared" si="188"/>
        <v>1190.1785714285713</v>
      </c>
      <c r="X388" s="388">
        <f t="shared" si="188"/>
        <v>1193.75</v>
      </c>
      <c r="Y388" s="388">
        <f t="shared" si="188"/>
        <v>1241.0714285714287</v>
      </c>
      <c r="Z388" s="388">
        <f t="shared" si="188"/>
        <v>1245.5357142857142</v>
      </c>
      <c r="AA388" s="388">
        <f t="shared" si="188"/>
        <v>1250.8928571428571</v>
      </c>
      <c r="AB388" s="388">
        <f t="shared" si="188"/>
        <v>1294.6428571428571</v>
      </c>
      <c r="AC388" s="388">
        <f t="shared" si="188"/>
        <v>1294.6428571428571</v>
      </c>
      <c r="AD388" s="107" t="s">
        <v>378</v>
      </c>
      <c r="AE388" s="68"/>
    </row>
    <row r="389" spans="1:31" ht="15">
      <c r="A389" s="785"/>
      <c r="B389" s="640"/>
      <c r="C389" s="109">
        <f t="shared" si="189" ref="C389:AC389">$AC$2/C387*2</f>
        <v>5.8333333333333339</v>
      </c>
      <c r="D389" s="109">
        <f t="shared" si="189"/>
        <v>5.6281407035175883</v>
      </c>
      <c r="E389" s="109">
        <f t="shared" si="189"/>
        <v>5.5721393034825866</v>
      </c>
      <c r="F389" s="109">
        <f t="shared" si="189"/>
        <v>5.3975903614457836</v>
      </c>
      <c r="G389" s="109">
        <f t="shared" si="189"/>
        <v>5.2397660818713456</v>
      </c>
      <c r="H389" s="109">
        <f t="shared" si="189"/>
        <v>5.2093023255813948</v>
      </c>
      <c r="I389" s="98">
        <f>$AC$2/I387*2</f>
        <v>5</v>
      </c>
      <c r="J389" s="109">
        <f t="shared" si="189"/>
        <v>4.7058823529411766</v>
      </c>
      <c r="K389" s="109">
        <f t="shared" si="189"/>
        <v>4.4799999999999995</v>
      </c>
      <c r="L389" s="109">
        <f t="shared" si="189"/>
        <v>4.3410852713178301</v>
      </c>
      <c r="M389" s="109">
        <f t="shared" si="189"/>
        <v>4.0988106129917661</v>
      </c>
      <c r="N389" s="109">
        <f t="shared" si="189"/>
        <v>3.9506172839506171</v>
      </c>
      <c r="O389" s="109">
        <f t="shared" si="189"/>
        <v>3.8855160450997395</v>
      </c>
      <c r="P389" s="109">
        <f t="shared" si="189"/>
        <v>3.7998303647158611</v>
      </c>
      <c r="Q389" s="109">
        <f t="shared" si="189"/>
        <v>3.6721311475409837</v>
      </c>
      <c r="R389" s="109">
        <f t="shared" si="189"/>
        <v>3.645240032546786</v>
      </c>
      <c r="S389" s="109">
        <f t="shared" si="189"/>
        <v>3.6304700162074557</v>
      </c>
      <c r="T389" s="109">
        <f t="shared" si="189"/>
        <v>3.4918160561184726</v>
      </c>
      <c r="U389" s="109">
        <f t="shared" si="189"/>
        <v>3.4782608695652173</v>
      </c>
      <c r="V389" s="109">
        <f t="shared" si="189"/>
        <v>3.3633633633633635</v>
      </c>
      <c r="W389" s="109">
        <f t="shared" si="189"/>
        <v>3.3608402100525132</v>
      </c>
      <c r="X389" s="109">
        <f t="shared" si="189"/>
        <v>3.3507853403141361</v>
      </c>
      <c r="Y389" s="109">
        <f t="shared" si="189"/>
        <v>3.2230215827338129</v>
      </c>
      <c r="Z389" s="109">
        <f t="shared" si="189"/>
        <v>3.2114695340501793</v>
      </c>
      <c r="AA389" s="109">
        <f t="shared" si="189"/>
        <v>3.1977159172019984</v>
      </c>
      <c r="AB389" s="109">
        <f t="shared" si="189"/>
        <v>3.0896551724137931</v>
      </c>
      <c r="AC389" s="109">
        <f t="shared" si="189"/>
        <v>3.0896551724137931</v>
      </c>
      <c r="AD389" s="107" t="s">
        <v>376</v>
      </c>
      <c r="AE389" s="68"/>
    </row>
    <row r="390" spans="1:31" ht="15.75" thickBot="1">
      <c r="A390" s="786"/>
      <c r="B390" s="778"/>
      <c r="C390" s="189">
        <v>1536</v>
      </c>
      <c r="D390" s="189">
        <v>1592</v>
      </c>
      <c r="E390" s="189">
        <v>1608</v>
      </c>
      <c r="F390" s="189">
        <v>1660</v>
      </c>
      <c r="G390" s="189">
        <v>1710</v>
      </c>
      <c r="H390" s="189">
        <v>1720</v>
      </c>
      <c r="I390" s="189">
        <v>1792</v>
      </c>
      <c r="J390" s="189">
        <v>1904</v>
      </c>
      <c r="K390" s="338">
        <v>2000</v>
      </c>
      <c r="L390" s="189">
        <v>2064</v>
      </c>
      <c r="M390" s="189">
        <v>2186</v>
      </c>
      <c r="N390" s="189">
        <v>2268</v>
      </c>
      <c r="O390" s="189">
        <v>2306</v>
      </c>
      <c r="P390" s="189">
        <v>2358</v>
      </c>
      <c r="Q390" s="189">
        <v>2440</v>
      </c>
      <c r="R390" s="189">
        <v>2458</v>
      </c>
      <c r="S390" s="189">
        <v>2468</v>
      </c>
      <c r="T390" s="189">
        <v>2566</v>
      </c>
      <c r="U390" s="189">
        <v>2576</v>
      </c>
      <c r="V390" s="189">
        <v>2664</v>
      </c>
      <c r="W390" s="189">
        <v>2666</v>
      </c>
      <c r="X390" s="189">
        <v>2674</v>
      </c>
      <c r="Y390" s="189">
        <v>2780</v>
      </c>
      <c r="Z390" s="189">
        <v>2790</v>
      </c>
      <c r="AA390" s="189">
        <v>2802</v>
      </c>
      <c r="AB390" s="189">
        <v>2900</v>
      </c>
      <c r="AC390" s="190">
        <v>2900</v>
      </c>
      <c r="AD390" s="107" t="s">
        <v>669</v>
      </c>
      <c r="AE390" s="68"/>
    </row>
    <row r="391" spans="1:31" ht="15">
      <c r="A391" s="869" t="s">
        <v>829</v>
      </c>
      <c r="B391" s="872" t="s">
        <v>309</v>
      </c>
      <c r="C391" s="414">
        <f>C393*$AE$391</f>
        <v>192.88636363636363</v>
      </c>
      <c r="D391" s="377">
        <f t="shared" si="190" ref="D391:AC391">D393*$AE$391</f>
        <v>219.54545454545453</v>
      </c>
      <c r="E391" s="377">
        <f t="shared" si="190"/>
        <v>241.50</v>
      </c>
      <c r="F391" s="377">
        <f t="shared" si="190"/>
        <v>271.29545454545456</v>
      </c>
      <c r="G391" s="377">
        <f t="shared" si="190"/>
        <v>291.68181818181819</v>
      </c>
      <c r="H391" s="377">
        <f t="shared" si="190"/>
        <v>307.36363636363637</v>
      </c>
      <c r="I391" s="377">
        <f t="shared" si="190"/>
        <v>362.25</v>
      </c>
      <c r="J391" s="377">
        <f t="shared" si="190"/>
        <v>407.72727272727275</v>
      </c>
      <c r="K391" s="377">
        <f t="shared" si="190"/>
        <v>453.20454545454538</v>
      </c>
      <c r="L391" s="377">
        <f t="shared" si="190"/>
        <v>506.5227272727272</v>
      </c>
      <c r="M391" s="377">
        <f t="shared" si="190"/>
        <v>533.18181818181813</v>
      </c>
      <c r="N391" s="377">
        <f t="shared" si="190"/>
        <v>573.9545454545455</v>
      </c>
      <c r="O391" s="377">
        <f t="shared" si="190"/>
        <v>600.61363636363626</v>
      </c>
      <c r="P391" s="377">
        <f t="shared" si="190"/>
        <v>627.27272727272725</v>
      </c>
      <c r="Q391" s="377">
        <f t="shared" si="190"/>
        <v>642.9545454545455</v>
      </c>
      <c r="R391" s="377">
        <f t="shared" si="190"/>
        <v>661.77272727272737</v>
      </c>
      <c r="S391" s="377">
        <f t="shared" si="190"/>
        <v>679.02272727272725</v>
      </c>
      <c r="T391" s="377">
        <f t="shared" si="190"/>
        <v>719.7954545454545</v>
      </c>
      <c r="U391" s="377">
        <f t="shared" si="190"/>
        <v>737.0454545454545</v>
      </c>
      <c r="V391" s="377">
        <f t="shared" si="190"/>
        <v>799.77272727272725</v>
      </c>
      <c r="W391" s="377">
        <f t="shared" si="190"/>
        <v>817.02272727272737</v>
      </c>
      <c r="X391" s="377">
        <f t="shared" si="190"/>
        <v>856.22727272727263</v>
      </c>
      <c r="Y391" s="377">
        <f t="shared" si="190"/>
        <v>909.5454545454545</v>
      </c>
      <c r="Z391" s="377">
        <f t="shared" si="190"/>
        <v>956.59090909090912</v>
      </c>
      <c r="AA391" s="377">
        <f t="shared" si="190"/>
        <v>978.5454545454545</v>
      </c>
      <c r="AB391" s="377">
        <f t="shared" si="190"/>
        <v>1050.6818181818182</v>
      </c>
      <c r="AC391" s="378">
        <f t="shared" si="190"/>
        <v>1102.4318181818182</v>
      </c>
      <c r="AD391" s="379" t="s">
        <v>377</v>
      </c>
      <c r="AE391" s="380">
        <v>138</v>
      </c>
    </row>
    <row r="392" spans="1:31" ht="15">
      <c r="A392" s="870"/>
      <c r="B392" s="873"/>
      <c r="C392" s="415">
        <f>$AC$2*2/C393</f>
        <v>14.308943089430894</v>
      </c>
      <c r="D392" s="381">
        <f t="shared" si="191" ref="D392:AC392">$AC$2*2/D393</f>
        <v>12.571428571428573</v>
      </c>
      <c r="E392" s="381">
        <f t="shared" si="191"/>
        <v>11.428571428571429</v>
      </c>
      <c r="F392" s="381">
        <f t="shared" si="191"/>
        <v>10.173410404624278</v>
      </c>
      <c r="G392" s="381">
        <f t="shared" si="191"/>
        <v>9.4623655913978482</v>
      </c>
      <c r="H392" s="381">
        <f t="shared" si="191"/>
        <v>8.9795918367346932</v>
      </c>
      <c r="I392" s="381">
        <f t="shared" si="191"/>
        <v>7.6190476190476186</v>
      </c>
      <c r="J392" s="381">
        <f t="shared" si="191"/>
        <v>6.7692307692307692</v>
      </c>
      <c r="K392" s="381">
        <f t="shared" si="191"/>
        <v>6.0899653979238764</v>
      </c>
      <c r="L392" s="381">
        <f t="shared" si="191"/>
        <v>5.4489164086687314</v>
      </c>
      <c r="M392" s="381">
        <f t="shared" si="191"/>
        <v>5.1764705882352944</v>
      </c>
      <c r="N392" s="381">
        <f t="shared" si="191"/>
        <v>4.8087431693989071</v>
      </c>
      <c r="O392" s="381">
        <f t="shared" si="191"/>
        <v>4.5953002610966065</v>
      </c>
      <c r="P392" s="381">
        <f t="shared" si="191"/>
        <v>4.4000000000000004</v>
      </c>
      <c r="Q392" s="381">
        <f t="shared" si="191"/>
        <v>4.2926829268292686</v>
      </c>
      <c r="R392" s="381">
        <f t="shared" si="191"/>
        <v>4.1706161137440754</v>
      </c>
      <c r="S392" s="381">
        <f t="shared" si="191"/>
        <v>4.0646651270207856</v>
      </c>
      <c r="T392" s="381">
        <f t="shared" si="191"/>
        <v>3.8344226579520697</v>
      </c>
      <c r="U392" s="381">
        <f t="shared" si="191"/>
        <v>3.7446808510638299</v>
      </c>
      <c r="V392" s="381">
        <f t="shared" si="191"/>
        <v>3.4509803921568629</v>
      </c>
      <c r="W392" s="381">
        <f t="shared" si="191"/>
        <v>3.3781190019193854</v>
      </c>
      <c r="X392" s="381">
        <f t="shared" si="191"/>
        <v>3.2234432234432235</v>
      </c>
      <c r="Y392" s="381">
        <f t="shared" si="191"/>
        <v>3.0344827586206895</v>
      </c>
      <c r="Z392" s="381">
        <f t="shared" si="191"/>
        <v>2.8852459016393444</v>
      </c>
      <c r="AA392" s="381">
        <f t="shared" si="191"/>
        <v>2.8205128205128207</v>
      </c>
      <c r="AB392" s="381">
        <f t="shared" si="191"/>
        <v>2.6268656716417911</v>
      </c>
      <c r="AC392" s="382">
        <f t="shared" si="191"/>
        <v>2.5035561877667143</v>
      </c>
      <c r="AD392" s="379" t="s">
        <v>376</v>
      </c>
      <c r="AE392" s="380"/>
    </row>
    <row r="393" spans="1:31" ht="15">
      <c r="A393" s="870"/>
      <c r="B393" s="873"/>
      <c r="C393" s="415">
        <f>0.5/4.4*C394</f>
        <v>1.3977272727272727</v>
      </c>
      <c r="D393" s="381">
        <f t="shared" si="192" ref="D393:AC393">0.5/4.4*D394</f>
        <v>1.5909090909090908</v>
      </c>
      <c r="E393" s="381">
        <f t="shared" si="192"/>
        <v>1.75</v>
      </c>
      <c r="F393" s="381">
        <f t="shared" si="192"/>
        <v>1.9659090909090908</v>
      </c>
      <c r="G393" s="381">
        <f t="shared" si="192"/>
        <v>2.1136363636363638</v>
      </c>
      <c r="H393" s="381">
        <f t="shared" si="192"/>
        <v>2.2272727272727275</v>
      </c>
      <c r="I393" s="381">
        <f t="shared" si="192"/>
        <v>2.625</v>
      </c>
      <c r="J393" s="381">
        <f t="shared" si="192"/>
        <v>2.9545454545454546</v>
      </c>
      <c r="K393" s="381">
        <f t="shared" si="192"/>
        <v>3.2840909090909087</v>
      </c>
      <c r="L393" s="381">
        <f t="shared" si="192"/>
        <v>3.670454545454545</v>
      </c>
      <c r="M393" s="381">
        <f t="shared" si="192"/>
        <v>3.8636363636363633</v>
      </c>
      <c r="N393" s="381">
        <f t="shared" si="192"/>
        <v>4.1590909090909092</v>
      </c>
      <c r="O393" s="381">
        <f t="shared" si="192"/>
        <v>4.3522727272727266</v>
      </c>
      <c r="P393" s="381">
        <f t="shared" si="192"/>
        <v>4.545454545454545</v>
      </c>
      <c r="Q393" s="381">
        <f t="shared" si="192"/>
        <v>4.6590909090909092</v>
      </c>
      <c r="R393" s="381">
        <f t="shared" si="192"/>
        <v>4.7954545454545459</v>
      </c>
      <c r="S393" s="381">
        <f t="shared" si="192"/>
        <v>4.920454545454545</v>
      </c>
      <c r="T393" s="381">
        <f t="shared" si="192"/>
        <v>5.2159090909090908</v>
      </c>
      <c r="U393" s="381">
        <f t="shared" si="192"/>
        <v>5.3409090909090908</v>
      </c>
      <c r="V393" s="381">
        <f t="shared" si="192"/>
        <v>5.795454545454545</v>
      </c>
      <c r="W393" s="381">
        <f t="shared" si="192"/>
        <v>5.9204545454545459</v>
      </c>
      <c r="X393" s="381">
        <f t="shared" si="192"/>
        <v>6.2045454545454541</v>
      </c>
      <c r="Y393" s="381">
        <f t="shared" si="192"/>
        <v>6.5909090909090908</v>
      </c>
      <c r="Z393" s="381">
        <f t="shared" si="192"/>
        <v>6.9318181818181817</v>
      </c>
      <c r="AA393" s="381">
        <f t="shared" si="192"/>
        <v>7.0909090909090908</v>
      </c>
      <c r="AB393" s="381">
        <f t="shared" si="192"/>
        <v>7.6136363636363633</v>
      </c>
      <c r="AC393" s="382">
        <f t="shared" si="192"/>
        <v>7.9886363636363633</v>
      </c>
      <c r="AD393" s="379" t="s">
        <v>820</v>
      </c>
      <c r="AE393" s="380"/>
    </row>
    <row r="394" spans="1:31" ht="15.75" thickBot="1">
      <c r="A394" s="871"/>
      <c r="B394" s="874"/>
      <c r="C394" s="416">
        <v>12.30</v>
      </c>
      <c r="D394" s="385">
        <v>14</v>
      </c>
      <c r="E394" s="385">
        <v>15.40</v>
      </c>
      <c r="F394" s="385">
        <v>17.30</v>
      </c>
      <c r="G394" s="385">
        <v>18.60</v>
      </c>
      <c r="H394" s="385">
        <v>19.60</v>
      </c>
      <c r="I394" s="385">
        <v>23.10</v>
      </c>
      <c r="J394" s="385">
        <v>26</v>
      </c>
      <c r="K394" s="385">
        <v>28.90</v>
      </c>
      <c r="L394" s="385">
        <v>32.299999999999997</v>
      </c>
      <c r="M394" s="385">
        <v>34</v>
      </c>
      <c r="N394" s="385">
        <v>36.60</v>
      </c>
      <c r="O394" s="385">
        <v>38.299999999999997</v>
      </c>
      <c r="P394" s="385">
        <v>40</v>
      </c>
      <c r="Q394" s="385">
        <v>41</v>
      </c>
      <c r="R394" s="385">
        <v>42.20</v>
      </c>
      <c r="S394" s="385">
        <v>43.30</v>
      </c>
      <c r="T394" s="385">
        <v>45.90</v>
      </c>
      <c r="U394" s="385">
        <v>47</v>
      </c>
      <c r="V394" s="385">
        <v>51</v>
      </c>
      <c r="W394" s="385">
        <v>52.10</v>
      </c>
      <c r="X394" s="385">
        <v>54.60</v>
      </c>
      <c r="Y394" s="385">
        <v>58</v>
      </c>
      <c r="Z394" s="385">
        <v>61</v>
      </c>
      <c r="AA394" s="385">
        <v>62.40</v>
      </c>
      <c r="AB394" s="385">
        <v>67</v>
      </c>
      <c r="AC394" s="401">
        <v>70.30</v>
      </c>
      <c r="AD394" s="379" t="s">
        <v>816</v>
      </c>
      <c r="AE394" s="380"/>
    </row>
    <row r="395" spans="1:31" ht="15">
      <c r="A395" s="784" t="s">
        <v>830</v>
      </c>
      <c r="B395" s="777" t="s">
        <v>310</v>
      </c>
      <c r="C395" s="417">
        <f>C397*$AE$396</f>
        <v>1113</v>
      </c>
      <c r="D395" s="417">
        <f t="shared" si="193" ref="D395:AC395">D397*$AE$396</f>
        <v>1180</v>
      </c>
      <c r="E395" s="417">
        <f t="shared" si="193"/>
        <v>0</v>
      </c>
      <c r="F395" s="417">
        <f t="shared" si="193"/>
        <v>1238</v>
      </c>
      <c r="G395" s="417">
        <f t="shared" si="193"/>
        <v>0</v>
      </c>
      <c r="H395" s="417">
        <f t="shared" si="193"/>
        <v>0</v>
      </c>
      <c r="I395" s="417">
        <f t="shared" si="193"/>
        <v>1508</v>
      </c>
      <c r="J395" s="417">
        <f t="shared" si="193"/>
        <v>1610.0000000000002</v>
      </c>
      <c r="K395" s="417">
        <f t="shared" si="193"/>
        <v>1770</v>
      </c>
      <c r="L395" s="417">
        <f t="shared" si="193"/>
        <v>0</v>
      </c>
      <c r="M395" s="417">
        <f t="shared" si="193"/>
        <v>2060</v>
      </c>
      <c r="N395" s="417">
        <f>N397*$AE$396</f>
        <v>0</v>
      </c>
      <c r="O395" s="417">
        <f t="shared" si="193"/>
        <v>0</v>
      </c>
      <c r="P395" s="417">
        <f t="shared" si="193"/>
        <v>0</v>
      </c>
      <c r="Q395" s="417">
        <f t="shared" si="193"/>
        <v>0</v>
      </c>
      <c r="R395" s="417">
        <f t="shared" si="193"/>
        <v>0</v>
      </c>
      <c r="S395" s="417">
        <f t="shared" si="193"/>
        <v>0</v>
      </c>
      <c r="T395" s="417">
        <f t="shared" si="193"/>
        <v>0</v>
      </c>
      <c r="U395" s="417">
        <f t="shared" si="193"/>
        <v>0</v>
      </c>
      <c r="V395" s="417">
        <f t="shared" si="193"/>
        <v>0</v>
      </c>
      <c r="W395" s="417">
        <f t="shared" si="193"/>
        <v>0</v>
      </c>
      <c r="X395" s="417">
        <f t="shared" si="193"/>
        <v>3000</v>
      </c>
      <c r="Y395" s="417">
        <f t="shared" si="193"/>
        <v>3180</v>
      </c>
      <c r="Z395" s="417">
        <f t="shared" si="193"/>
        <v>3200</v>
      </c>
      <c r="AA395" s="417">
        <f t="shared" si="193"/>
        <v>0</v>
      </c>
      <c r="AB395" s="417">
        <f t="shared" si="193"/>
        <v>0</v>
      </c>
      <c r="AC395" s="417">
        <f t="shared" si="193"/>
        <v>0</v>
      </c>
      <c r="AD395" s="107" t="s">
        <v>377</v>
      </c>
      <c r="AE395" s="68">
        <v>200</v>
      </c>
    </row>
    <row r="396" spans="1:32" ht="15">
      <c r="A396" s="785"/>
      <c r="B396" s="640"/>
      <c r="C396" s="97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13"/>
      <c r="AD396" s="107"/>
      <c r="AE396" s="68">
        <v>100</v>
      </c>
      <c r="AF396" t="s">
        <v>468</v>
      </c>
    </row>
    <row r="397" spans="1:31" ht="15.75" thickBot="1">
      <c r="A397" s="786"/>
      <c r="B397" s="778"/>
      <c r="C397" s="189">
        <v>11.13</v>
      </c>
      <c r="D397" s="189">
        <v>11.80</v>
      </c>
      <c r="E397" s="189"/>
      <c r="F397" s="189">
        <v>12.38</v>
      </c>
      <c r="G397" s="189"/>
      <c r="H397" s="189"/>
      <c r="I397" s="189">
        <v>15.08</v>
      </c>
      <c r="J397" s="189">
        <v>16.10</v>
      </c>
      <c r="K397" s="189">
        <v>17.70</v>
      </c>
      <c r="L397" s="189"/>
      <c r="M397" s="189">
        <v>20.60</v>
      </c>
      <c r="N397" s="189"/>
      <c r="O397" s="189"/>
      <c r="P397" s="189"/>
      <c r="Q397" s="189"/>
      <c r="R397" s="189"/>
      <c r="S397" s="189"/>
      <c r="T397" s="189"/>
      <c r="U397" s="189"/>
      <c r="V397" s="189"/>
      <c r="W397" s="189"/>
      <c r="X397" s="189">
        <v>30</v>
      </c>
      <c r="Y397" s="189">
        <v>31.80</v>
      </c>
      <c r="Z397" s="189">
        <v>32</v>
      </c>
      <c r="AA397" s="189"/>
      <c r="AB397" s="189"/>
      <c r="AC397" s="190"/>
      <c r="AD397" s="418" t="s">
        <v>391</v>
      </c>
      <c r="AE397" s="68"/>
    </row>
    <row r="398" spans="1:31" ht="15">
      <c r="A398" s="887" t="s">
        <v>831</v>
      </c>
      <c r="B398" s="890" t="s">
        <v>832</v>
      </c>
      <c r="C398" s="414">
        <f>C400*$AE$398</f>
        <v>754.40</v>
      </c>
      <c r="D398" s="419">
        <f t="shared" si="194" ref="D398:AC398">D400*$AE$398</f>
        <v>858.66666666666652</v>
      </c>
      <c r="E398" s="419">
        <f t="shared" si="194"/>
        <v>944.5333333333333</v>
      </c>
      <c r="F398" s="419">
        <f t="shared" si="194"/>
        <v>1061.0666666666666</v>
      </c>
      <c r="G398" s="419">
        <f t="shared" si="194"/>
        <v>1140.8000000000002</v>
      </c>
      <c r="H398" s="419">
        <f t="shared" si="194"/>
        <v>1202.1333333333334</v>
      </c>
      <c r="I398" s="419">
        <f t="shared" si="194"/>
        <v>1416.8000000000002</v>
      </c>
      <c r="J398" s="419">
        <f t="shared" si="194"/>
        <v>1594.6666666666667</v>
      </c>
      <c r="K398" s="419">
        <f t="shared" si="194"/>
        <v>1772.5333333333331</v>
      </c>
      <c r="L398" s="419">
        <f t="shared" si="194"/>
        <v>1981.0666666666666</v>
      </c>
      <c r="M398" s="419">
        <f t="shared" si="194"/>
        <v>2085.3333333333335</v>
      </c>
      <c r="N398" s="419">
        <f t="shared" si="194"/>
        <v>2244.7999999999997</v>
      </c>
      <c r="O398" s="419">
        <f t="shared" si="194"/>
        <v>2349.0666666666662</v>
      </c>
      <c r="P398" s="419">
        <f t="shared" si="194"/>
        <v>2453.3333333333335</v>
      </c>
      <c r="Q398" s="419">
        <f t="shared" si="194"/>
        <v>2514.6666666666665</v>
      </c>
      <c r="R398" s="419">
        <f t="shared" si="194"/>
        <v>2588.2666666666669</v>
      </c>
      <c r="S398" s="419">
        <f t="shared" si="194"/>
        <v>2655.7333333333331</v>
      </c>
      <c r="T398" s="419">
        <f t="shared" si="194"/>
        <v>2815.20</v>
      </c>
      <c r="U398" s="419">
        <f t="shared" si="194"/>
        <v>2882.6666666666665</v>
      </c>
      <c r="V398" s="419">
        <f t="shared" si="194"/>
        <v>3127.9999999999995</v>
      </c>
      <c r="W398" s="419">
        <f t="shared" si="194"/>
        <v>3195.4666666666667</v>
      </c>
      <c r="X398" s="419">
        <f t="shared" si="194"/>
        <v>3348.7999999999997</v>
      </c>
      <c r="Y398" s="419">
        <f t="shared" si="194"/>
        <v>3557.333333333333</v>
      </c>
      <c r="Z398" s="419">
        <f t="shared" si="194"/>
        <v>3741.3333333333335</v>
      </c>
      <c r="AA398" s="419">
        <f t="shared" si="194"/>
        <v>3827.20</v>
      </c>
      <c r="AB398" s="419">
        <f t="shared" si="194"/>
        <v>4109.333333333333</v>
      </c>
      <c r="AC398" s="420">
        <f t="shared" si="194"/>
        <v>4311.7333333333327</v>
      </c>
      <c r="AD398" s="379" t="s">
        <v>377</v>
      </c>
      <c r="AE398" s="380">
        <v>138</v>
      </c>
    </row>
    <row r="399" spans="1:31" ht="15">
      <c r="A399" s="888"/>
      <c r="B399" s="891"/>
      <c r="C399" s="415">
        <f>$AC$2*2/C400</f>
        <v>3.6585365853658538</v>
      </c>
      <c r="D399" s="421">
        <f t="shared" si="195" ref="D399:W399">$AC$2*2/D400</f>
        <v>3.2142857142857149</v>
      </c>
      <c r="E399" s="421">
        <f t="shared" si="195"/>
        <v>2.9220779220779223</v>
      </c>
      <c r="F399" s="421">
        <f t="shared" si="195"/>
        <v>2.601156069364162</v>
      </c>
      <c r="G399" s="421">
        <f t="shared" si="195"/>
        <v>2.419354838709677</v>
      </c>
      <c r="H399" s="421">
        <f t="shared" si="195"/>
        <v>2.2959183673469385</v>
      </c>
      <c r="I399" s="421">
        <f t="shared" si="195"/>
        <v>1.9480519480519478</v>
      </c>
      <c r="J399" s="421">
        <f t="shared" si="195"/>
        <v>1.7307692307692308</v>
      </c>
      <c r="K399" s="421">
        <f t="shared" si="195"/>
        <v>1.5570934256055364</v>
      </c>
      <c r="L399" s="421">
        <f t="shared" si="195"/>
        <v>1.3931888544891642</v>
      </c>
      <c r="M399" s="421">
        <f t="shared" si="195"/>
        <v>1.3235294117647058</v>
      </c>
      <c r="N399" s="421">
        <f t="shared" si="195"/>
        <v>1.2295081967213115</v>
      </c>
      <c r="O399" s="421">
        <f t="shared" si="195"/>
        <v>1.1749347258485643</v>
      </c>
      <c r="P399" s="421">
        <f t="shared" si="195"/>
        <v>1.125</v>
      </c>
      <c r="Q399" s="421">
        <f t="shared" si="195"/>
        <v>1.0975609756097562</v>
      </c>
      <c r="R399" s="421">
        <f t="shared" si="195"/>
        <v>1.066350710900474</v>
      </c>
      <c r="S399" s="421">
        <f t="shared" si="195"/>
        <v>1.0392609699769053</v>
      </c>
      <c r="T399" s="421">
        <f t="shared" si="195"/>
        <v>0.98039215686274517</v>
      </c>
      <c r="U399" s="421">
        <f t="shared" si="195"/>
        <v>0.95744680851063824</v>
      </c>
      <c r="V399" s="421">
        <f t="shared" si="195"/>
        <v>0.88235294117647067</v>
      </c>
      <c r="W399" s="421">
        <f t="shared" si="195"/>
        <v>0.8637236084452975</v>
      </c>
      <c r="X399" s="421">
        <f>$AC$2*3/X400</f>
        <v>1.2362637362637363</v>
      </c>
      <c r="Y399" s="421">
        <f t="shared" si="196" ref="Y399:AC399">$AC$2*3/Y400</f>
        <v>1.163793103448276</v>
      </c>
      <c r="Z399" s="421">
        <f t="shared" si="196"/>
        <v>1.1065573770491803</v>
      </c>
      <c r="AA399" s="421">
        <f t="shared" si="196"/>
        <v>1.0817307692307694</v>
      </c>
      <c r="AB399" s="421">
        <f t="shared" si="196"/>
        <v>1.0074626865671643</v>
      </c>
      <c r="AC399" s="421">
        <f t="shared" si="196"/>
        <v>0.96017069701280244</v>
      </c>
      <c r="AD399" s="379" t="s">
        <v>376</v>
      </c>
      <c r="AE399" s="380"/>
    </row>
    <row r="400" spans="1:31" ht="15">
      <c r="A400" s="888"/>
      <c r="B400" s="891"/>
      <c r="C400" s="422">
        <f>4/9*C401</f>
        <v>5.4666666666666668</v>
      </c>
      <c r="D400" s="423">
        <f t="shared" si="197" ref="D400:AC400">4/9*D401</f>
        <v>6.2222222222222214</v>
      </c>
      <c r="E400" s="423">
        <f t="shared" si="197"/>
        <v>6.8444444444444441</v>
      </c>
      <c r="F400" s="423">
        <f t="shared" si="197"/>
        <v>7.6888888888888891</v>
      </c>
      <c r="G400" s="423">
        <f t="shared" si="197"/>
        <v>8.2666666666666675</v>
      </c>
      <c r="H400" s="423">
        <f t="shared" si="197"/>
        <v>8.7111111111111121</v>
      </c>
      <c r="I400" s="423">
        <f t="shared" si="197"/>
        <v>10.266666666666667</v>
      </c>
      <c r="J400" s="423">
        <f t="shared" si="197"/>
        <v>11.555555555555555</v>
      </c>
      <c r="K400" s="423">
        <f t="shared" si="197"/>
        <v>12.844444444444443</v>
      </c>
      <c r="L400" s="423">
        <f t="shared" si="197"/>
        <v>14.355555555555554</v>
      </c>
      <c r="M400" s="423">
        <f t="shared" si="197"/>
        <v>15.111111111111111</v>
      </c>
      <c r="N400" s="423">
        <f t="shared" si="197"/>
        <v>16.266666666666666</v>
      </c>
      <c r="O400" s="423">
        <f t="shared" si="197"/>
        <v>17.022222222222219</v>
      </c>
      <c r="P400" s="423">
        <f t="shared" si="197"/>
        <v>17.777777777777779</v>
      </c>
      <c r="Q400" s="423">
        <f t="shared" si="197"/>
        <v>18.222222222222221</v>
      </c>
      <c r="R400" s="423">
        <f t="shared" si="197"/>
        <v>18.755555555555556</v>
      </c>
      <c r="S400" s="423">
        <f t="shared" si="197"/>
        <v>19.244444444444444</v>
      </c>
      <c r="T400" s="423">
        <f t="shared" si="197"/>
        <v>20.40</v>
      </c>
      <c r="U400" s="423">
        <f t="shared" si="197"/>
        <v>20.888888888888889</v>
      </c>
      <c r="V400" s="423">
        <f t="shared" si="197"/>
        <v>22.666666666666664</v>
      </c>
      <c r="W400" s="423">
        <f t="shared" si="197"/>
        <v>23.155555555555555</v>
      </c>
      <c r="X400" s="423">
        <f t="shared" si="197"/>
        <v>24.266666666666666</v>
      </c>
      <c r="Y400" s="423">
        <f t="shared" si="197"/>
        <v>25.777777777777775</v>
      </c>
      <c r="Z400" s="423">
        <f t="shared" si="197"/>
        <v>27.111111111111111</v>
      </c>
      <c r="AA400" s="423">
        <f t="shared" si="197"/>
        <v>27.733333333333331</v>
      </c>
      <c r="AB400" s="423">
        <f t="shared" si="197"/>
        <v>29.777777777777775</v>
      </c>
      <c r="AC400" s="424">
        <f t="shared" si="197"/>
        <v>31.24444444444444</v>
      </c>
      <c r="AD400" s="379" t="s">
        <v>820</v>
      </c>
      <c r="AE400" s="380"/>
    </row>
    <row r="401" spans="1:31" ht="15.75" thickBot="1">
      <c r="A401" s="889"/>
      <c r="B401" s="892"/>
      <c r="C401" s="416">
        <v>12.30</v>
      </c>
      <c r="D401" s="425">
        <v>14</v>
      </c>
      <c r="E401" s="425">
        <v>15.40</v>
      </c>
      <c r="F401" s="425">
        <v>17.30</v>
      </c>
      <c r="G401" s="425">
        <v>18.60</v>
      </c>
      <c r="H401" s="425">
        <v>19.60</v>
      </c>
      <c r="I401" s="425">
        <v>23.10</v>
      </c>
      <c r="J401" s="425">
        <v>26</v>
      </c>
      <c r="K401" s="425">
        <v>28.90</v>
      </c>
      <c r="L401" s="425">
        <v>32.299999999999997</v>
      </c>
      <c r="M401" s="425">
        <v>34</v>
      </c>
      <c r="N401" s="425">
        <v>36.60</v>
      </c>
      <c r="O401" s="425">
        <v>38.299999999999997</v>
      </c>
      <c r="P401" s="425">
        <v>40</v>
      </c>
      <c r="Q401" s="425">
        <v>41</v>
      </c>
      <c r="R401" s="425">
        <v>42.20</v>
      </c>
      <c r="S401" s="425">
        <v>43.30</v>
      </c>
      <c r="T401" s="425">
        <v>45.90</v>
      </c>
      <c r="U401" s="425">
        <v>47</v>
      </c>
      <c r="V401" s="425">
        <v>51</v>
      </c>
      <c r="W401" s="425">
        <v>52.10</v>
      </c>
      <c r="X401" s="425">
        <v>54.60</v>
      </c>
      <c r="Y401" s="425">
        <v>58</v>
      </c>
      <c r="Z401" s="425">
        <v>61</v>
      </c>
      <c r="AA401" s="425">
        <v>62.40</v>
      </c>
      <c r="AB401" s="425">
        <v>67</v>
      </c>
      <c r="AC401" s="426">
        <v>70.30</v>
      </c>
      <c r="AD401" s="379" t="s">
        <v>816</v>
      </c>
      <c r="AE401" s="11"/>
    </row>
  </sheetData>
  <autoFilter ref="A5:AG5"/>
  <mergeCells count="240">
    <mergeCell ref="A398:A401"/>
    <mergeCell ref="B398:B401"/>
    <mergeCell ref="I384:AC385"/>
    <mergeCell ref="A386:A390"/>
    <mergeCell ref="B386:B390"/>
    <mergeCell ref="A391:A394"/>
    <mergeCell ref="B391:B394"/>
    <mergeCell ref="A395:A397"/>
    <mergeCell ref="B395:B397"/>
    <mergeCell ref="A372:A375"/>
    <mergeCell ref="B372:B375"/>
    <mergeCell ref="A376:A379"/>
    <mergeCell ref="B376:B379"/>
    <mergeCell ref="A380:A383"/>
    <mergeCell ref="B380:B383"/>
    <mergeCell ref="A361:A362"/>
    <mergeCell ref="B361:B362"/>
    <mergeCell ref="A364:A368"/>
    <mergeCell ref="B364:B368"/>
    <mergeCell ref="A369:A371"/>
    <mergeCell ref="B369:B371"/>
    <mergeCell ref="A345:A346"/>
    <mergeCell ref="B345:B346"/>
    <mergeCell ref="A353:A357"/>
    <mergeCell ref="B353:B357"/>
    <mergeCell ref="A358:A359"/>
    <mergeCell ref="B358:B359"/>
    <mergeCell ref="N342:X342"/>
    <mergeCell ref="Y342:AC342"/>
    <mergeCell ref="A343:A344"/>
    <mergeCell ref="B343:B344"/>
    <mergeCell ref="N343:AC343"/>
    <mergeCell ref="N344:X344"/>
    <mergeCell ref="Y344:AC344"/>
    <mergeCell ref="A334:A335"/>
    <mergeCell ref="B334:B335"/>
    <mergeCell ref="C334:AC334"/>
    <mergeCell ref="A337:A340"/>
    <mergeCell ref="B337:B340"/>
    <mergeCell ref="A341:A342"/>
    <mergeCell ref="B341:B342"/>
    <mergeCell ref="C341:M344"/>
    <mergeCell ref="N341:X341"/>
    <mergeCell ref="Y341:AC341"/>
    <mergeCell ref="A309:A317"/>
    <mergeCell ref="B309:B317"/>
    <mergeCell ref="A318:A326"/>
    <mergeCell ref="B318:B326"/>
    <mergeCell ref="A328:A332"/>
    <mergeCell ref="B328:B332"/>
    <mergeCell ref="A303:A304"/>
    <mergeCell ref="B303:B304"/>
    <mergeCell ref="C305:H305"/>
    <mergeCell ref="C306:H306"/>
    <mergeCell ref="I306:AC306"/>
    <mergeCell ref="A307:A308"/>
    <mergeCell ref="B307:B308"/>
    <mergeCell ref="A293:A297"/>
    <mergeCell ref="B293:B297"/>
    <mergeCell ref="A298:A300"/>
    <mergeCell ref="B298:B300"/>
    <mergeCell ref="A301:A302"/>
    <mergeCell ref="B301:B302"/>
    <mergeCell ref="A284:A286"/>
    <mergeCell ref="B284:B286"/>
    <mergeCell ref="A287:A288"/>
    <mergeCell ref="B287:B288"/>
    <mergeCell ref="A289:A291"/>
    <mergeCell ref="B289:B291"/>
    <mergeCell ref="A277:A279"/>
    <mergeCell ref="B277:B279"/>
    <mergeCell ref="C280:W280"/>
    <mergeCell ref="X280:AC280"/>
    <mergeCell ref="C281:W281"/>
    <mergeCell ref="X281:AC281"/>
    <mergeCell ref="A264:A266"/>
    <mergeCell ref="B264:B266"/>
    <mergeCell ref="A267:A268"/>
    <mergeCell ref="B267:B268"/>
    <mergeCell ref="A274:A275"/>
    <mergeCell ref="B274:B275"/>
    <mergeCell ref="A255:A256"/>
    <mergeCell ref="B255:B256"/>
    <mergeCell ref="C257:W257"/>
    <mergeCell ref="C258:K258"/>
    <mergeCell ref="L258:AC258"/>
    <mergeCell ref="A259:A263"/>
    <mergeCell ref="B259:B263"/>
    <mergeCell ref="A243:A245"/>
    <mergeCell ref="B243:B245"/>
    <mergeCell ref="A246:A249"/>
    <mergeCell ref="B246:B249"/>
    <mergeCell ref="A250:A254"/>
    <mergeCell ref="B250:B254"/>
    <mergeCell ref="A223:A226"/>
    <mergeCell ref="B223:B226"/>
    <mergeCell ref="C227:AC227"/>
    <mergeCell ref="A228:A229"/>
    <mergeCell ref="B228:B229"/>
    <mergeCell ref="A234:A235"/>
    <mergeCell ref="B234:B235"/>
    <mergeCell ref="C207:AC207"/>
    <mergeCell ref="C208:AC208"/>
    <mergeCell ref="L213:AC213"/>
    <mergeCell ref="A214:A218"/>
    <mergeCell ref="B214:B218"/>
    <mergeCell ref="A220:A221"/>
    <mergeCell ref="B220:B221"/>
    <mergeCell ref="C196:X197"/>
    <mergeCell ref="A198:A200"/>
    <mergeCell ref="B198:B200"/>
    <mergeCell ref="A201:A203"/>
    <mergeCell ref="B201:B203"/>
    <mergeCell ref="A204:A206"/>
    <mergeCell ref="B204:B206"/>
    <mergeCell ref="C204:AC206"/>
    <mergeCell ref="A183:A184"/>
    <mergeCell ref="B183:B184"/>
    <mergeCell ref="A186:A190"/>
    <mergeCell ref="B186:B190"/>
    <mergeCell ref="A191:A195"/>
    <mergeCell ref="B191:B195"/>
    <mergeCell ref="A168:A172"/>
    <mergeCell ref="B168:B172"/>
    <mergeCell ref="A173:A178"/>
    <mergeCell ref="B173:B178"/>
    <mergeCell ref="C179:AC179"/>
    <mergeCell ref="A180:A182"/>
    <mergeCell ref="B180:B182"/>
    <mergeCell ref="A155:A157"/>
    <mergeCell ref="B155:B157"/>
    <mergeCell ref="A158:A160"/>
    <mergeCell ref="B158:B160"/>
    <mergeCell ref="A161:A165"/>
    <mergeCell ref="B161:B165"/>
    <mergeCell ref="A148:A149"/>
    <mergeCell ref="B148:B149"/>
    <mergeCell ref="A150:A151"/>
    <mergeCell ref="B150:B151"/>
    <mergeCell ref="A152:A153"/>
    <mergeCell ref="B152:B153"/>
    <mergeCell ref="C140:AC140"/>
    <mergeCell ref="A141:A142"/>
    <mergeCell ref="B141:B142"/>
    <mergeCell ref="C141:AC142"/>
    <mergeCell ref="A143:A147"/>
    <mergeCell ref="B143:B147"/>
    <mergeCell ref="A122:A126"/>
    <mergeCell ref="B122:B126"/>
    <mergeCell ref="A128:A133"/>
    <mergeCell ref="B128:B133"/>
    <mergeCell ref="C128:J133"/>
    <mergeCell ref="A134:A139"/>
    <mergeCell ref="B134:B139"/>
    <mergeCell ref="A106:A110"/>
    <mergeCell ref="B106:B110"/>
    <mergeCell ref="A111:A115"/>
    <mergeCell ref="B111:B115"/>
    <mergeCell ref="C116:AC116"/>
    <mergeCell ref="A117:A121"/>
    <mergeCell ref="B117:B121"/>
    <mergeCell ref="A99:A100"/>
    <mergeCell ref="B99:B100"/>
    <mergeCell ref="C99:AC100"/>
    <mergeCell ref="C101:AC101"/>
    <mergeCell ref="C103:AC103"/>
    <mergeCell ref="A104:A105"/>
    <mergeCell ref="B104:B105"/>
    <mergeCell ref="C104:K105"/>
    <mergeCell ref="A87:A91"/>
    <mergeCell ref="B87:B91"/>
    <mergeCell ref="C87:C90"/>
    <mergeCell ref="A92:A96"/>
    <mergeCell ref="B92:B96"/>
    <mergeCell ref="A97:A98"/>
    <mergeCell ref="B97:B98"/>
    <mergeCell ref="C97:K98"/>
    <mergeCell ref="A77:A81"/>
    <mergeCell ref="B77:B81"/>
    <mergeCell ref="A82:A83"/>
    <mergeCell ref="B82:B83"/>
    <mergeCell ref="C82:X83"/>
    <mergeCell ref="A84:A86"/>
    <mergeCell ref="B84:B86"/>
    <mergeCell ref="C84:AC85"/>
    <mergeCell ref="A65:A68"/>
    <mergeCell ref="B65:B68"/>
    <mergeCell ref="A69:A72"/>
    <mergeCell ref="B69:B72"/>
    <mergeCell ref="C69:AC72"/>
    <mergeCell ref="A73:A76"/>
    <mergeCell ref="B73:B76"/>
    <mergeCell ref="A56:A59"/>
    <mergeCell ref="B56:B59"/>
    <mergeCell ref="R56:AC59"/>
    <mergeCell ref="A62:A64"/>
    <mergeCell ref="B62:B64"/>
    <mergeCell ref="C62:C64"/>
    <mergeCell ref="F62:F64"/>
    <mergeCell ref="J62:J64"/>
    <mergeCell ref="A50:A52"/>
    <mergeCell ref="B50:B52"/>
    <mergeCell ref="C50:Q52"/>
    <mergeCell ref="A53:A55"/>
    <mergeCell ref="B53:B55"/>
    <mergeCell ref="C53:Q55"/>
    <mergeCell ref="A38:A40"/>
    <mergeCell ref="B38:B40"/>
    <mergeCell ref="C38:P40"/>
    <mergeCell ref="A41:A45"/>
    <mergeCell ref="B41:B45"/>
    <mergeCell ref="A46:A49"/>
    <mergeCell ref="B46:B49"/>
    <mergeCell ref="C46:Q49"/>
    <mergeCell ref="A33:A34"/>
    <mergeCell ref="B33:B34"/>
    <mergeCell ref="C33:Q34"/>
    <mergeCell ref="C35:Q35"/>
    <mergeCell ref="R35:AC35"/>
    <mergeCell ref="A36:A37"/>
    <mergeCell ref="B36:B37"/>
    <mergeCell ref="C36:Q37"/>
    <mergeCell ref="A23:A25"/>
    <mergeCell ref="B23:B25"/>
    <mergeCell ref="C23:AC25"/>
    <mergeCell ref="A26:A31"/>
    <mergeCell ref="B26:B31"/>
    <mergeCell ref="C31:AC31"/>
    <mergeCell ref="A17:A19"/>
    <mergeCell ref="B17:B19"/>
    <mergeCell ref="C17:AC19"/>
    <mergeCell ref="A20:A22"/>
    <mergeCell ref="B20:B22"/>
    <mergeCell ref="C20:AC22"/>
    <mergeCell ref="A7:A9"/>
    <mergeCell ref="B7:B9"/>
    <mergeCell ref="A10:A13"/>
    <mergeCell ref="B10:B13"/>
    <mergeCell ref="A14:A16"/>
    <mergeCell ref="B14:B16"/>
  </mergeCells>
  <printOptions horizontalCentered="1"/>
  <pageMargins left="0.2362204724409449" right="0.2362204724409449" top="0.2362204724409449" bottom="0.1968503937007874" header="0.31496062992125984" footer="0.31496062992125984"/>
  <pageSetup fitToHeight="0" orientation="landscape" paperSize="8" scale="65" r:id="rId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2"/>
  <sheetViews>
    <sheetView zoomScale="85" zoomScaleNormal="85" workbookViewId="0" topLeftCell="A1">
      <pane ySplit="4" topLeftCell="A192" activePane="bottomLeft" state="frozen"/>
      <selection pane="topLeft" activeCell="A1" sqref="A1"/>
      <selection pane="bottomLeft" activeCell="A199" sqref="A199:XFD200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5.285714285714285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44508</v>
      </c>
    </row>
    <row r="2" spans="2:9" ht="31.5">
      <c r="B2" s="492" t="s">
        <v>1041</v>
      </c>
      <c r="F2" s="429" t="s">
        <v>22</v>
      </c>
      <c r="G2" s="268">
        <f>560/1000</f>
        <v>0.56000000000000005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SUM(M6:M17)</f>
        <v>379.0453333333333</v>
      </c>
      <c r="N5" s="263"/>
      <c r="O5" s="264">
        <f>SUM(O6:O17)</f>
        <v>2.1536666666666671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7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8</v>
      </c>
      <c r="L6" s="465">
        <f t="shared" si="1" ref="L6:L17">J6*K6</f>
        <v>0.156</v>
      </c>
      <c r="M6" s="466">
        <f t="shared" si="2" ref="M6:M17">L6*N6</f>
        <v>27.456</v>
      </c>
      <c r="N6" s="466">
        <v>176</v>
      </c>
      <c r="O6" s="456">
        <f t="shared" si="3" ref="O6:O17">J6/I6*K6</f>
        <v>0.156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3</v>
      </c>
      <c r="L9" s="465">
        <f t="shared" si="1"/>
        <v>0.051500000000000004</v>
      </c>
      <c r="M9" s="466">
        <f t="shared" si="2"/>
        <v>9.0640000000000001</v>
      </c>
      <c r="N9" s="466">
        <v>176</v>
      </c>
      <c r="O9" s="456">
        <f t="shared" si="3"/>
        <v>0.051500000000000004</v>
      </c>
    </row>
    <row r="10" spans="1:15" s="457" customFormat="1" ht="15">
      <c r="A10" s="459" t="s">
        <v>839</v>
      </c>
      <c r="B10" s="494" t="s">
        <v>920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495.86776859504135</v>
      </c>
      <c r="H10" s="462">
        <v>10</v>
      </c>
      <c r="I10" s="463">
        <v>1</v>
      </c>
      <c r="J10" s="464">
        <f>1.21/60</f>
        <v>0.020166666666666666</v>
      </c>
      <c r="K10" s="461">
        <v>6</v>
      </c>
      <c r="L10" s="465">
        <f t="shared" si="1"/>
        <v>0.121</v>
      </c>
      <c r="M10" s="466">
        <f t="shared" si="2"/>
        <v>21.295999999999999</v>
      </c>
      <c r="N10" s="466">
        <v>176</v>
      </c>
      <c r="O10" s="456">
        <f t="shared" si="3"/>
        <v>0.121</v>
      </c>
    </row>
    <row r="11" spans="1:15" s="457" customFormat="1" ht="15">
      <c r="A11" s="459" t="s">
        <v>840</v>
      </c>
      <c r="B11" s="494" t="s">
        <v>853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29.239766081871348</v>
      </c>
      <c r="H11" s="462">
        <v>10</v>
      </c>
      <c r="I11" s="463">
        <v>1</v>
      </c>
      <c r="J11" s="464">
        <f>20.52/60</f>
        <v>0.34199999999999997</v>
      </c>
      <c r="K11" s="461">
        <v>1</v>
      </c>
      <c r="L11" s="465">
        <f t="shared" si="1"/>
        <v>0.34199999999999997</v>
      </c>
      <c r="M11" s="466">
        <f t="shared" si="2"/>
        <v>60.191999999999993</v>
      </c>
      <c r="N11" s="466">
        <v>176</v>
      </c>
      <c r="O11" s="456">
        <f t="shared" si="3"/>
        <v>0.34199999999999997</v>
      </c>
    </row>
    <row r="12" spans="1:15" s="457" customFormat="1" ht="15">
      <c r="A12" s="459" t="s">
        <v>841</v>
      </c>
      <c r="B12" s="494" t="s">
        <v>857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322.58064516129036</v>
      </c>
      <c r="H12" s="462">
        <v>10</v>
      </c>
      <c r="I12" s="463">
        <v>1</v>
      </c>
      <c r="J12" s="464">
        <f>1.86/60</f>
        <v>0.030999999999999996</v>
      </c>
      <c r="K12" s="461">
        <v>1</v>
      </c>
      <c r="L12" s="465">
        <f t="shared" si="1"/>
        <v>0.030999999999999996</v>
      </c>
      <c r="M12" s="466">
        <f t="shared" si="2"/>
        <v>5.4559999999999995</v>
      </c>
      <c r="N12" s="466">
        <v>176</v>
      </c>
      <c r="O12" s="456">
        <f t="shared" si="3"/>
        <v>0.030999999999999996</v>
      </c>
    </row>
    <row r="13" spans="1:15" s="457" customFormat="1" ht="15">
      <c r="A13" s="459" t="s">
        <v>842</v>
      </c>
      <c r="B13" s="494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0.038833333333333338</v>
      </c>
      <c r="K13" s="461">
        <v>23</v>
      </c>
      <c r="L13" s="465">
        <f t="shared" si="1"/>
        <v>0.89316666666666678</v>
      </c>
      <c r="M13" s="466">
        <f t="shared" si="2"/>
        <v>157.19733333333335</v>
      </c>
      <c r="N13" s="466">
        <v>176</v>
      </c>
      <c r="O13" s="456">
        <f t="shared" si="3"/>
        <v>0.89316666666666678</v>
      </c>
    </row>
    <row r="14" spans="1:15" s="457" customFormat="1" ht="15">
      <c r="A14" s="459" t="s">
        <v>843</v>
      </c>
      <c r="B14" s="494" t="s">
        <v>1024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169.01408450704224</v>
      </c>
      <c r="H14" s="462">
        <v>10</v>
      </c>
      <c r="I14" s="463">
        <v>1</v>
      </c>
      <c r="J14" s="464">
        <f>3.55/60</f>
        <v>0.059166666666666666</v>
      </c>
      <c r="K14" s="461">
        <v>2</v>
      </c>
      <c r="L14" s="465">
        <f t="shared" si="1"/>
        <v>0.11833333333333333</v>
      </c>
      <c r="M14" s="466">
        <f t="shared" si="2"/>
        <v>20.826666666666668</v>
      </c>
      <c r="N14" s="466">
        <v>176</v>
      </c>
      <c r="O14" s="456">
        <f t="shared" si="3"/>
        <v>0.11833333333333333</v>
      </c>
    </row>
    <row r="15" spans="1:15" s="457" customFormat="1" ht="15">
      <c r="A15" s="459" t="s">
        <v>844</v>
      </c>
      <c r="B15" s="494" t="s">
        <v>854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631.57894736842115</v>
      </c>
      <c r="H15" s="462">
        <v>10</v>
      </c>
      <c r="I15" s="463">
        <v>1</v>
      </c>
      <c r="J15" s="464">
        <f>0.95/60</f>
        <v>0.015833333333333331</v>
      </c>
      <c r="K15" s="461">
        <v>8</v>
      </c>
      <c r="L15" s="465">
        <f t="shared" si="1"/>
        <v>0.12666666666666665</v>
      </c>
      <c r="M15" s="466">
        <f t="shared" si="2"/>
        <v>22.293333333333329</v>
      </c>
      <c r="N15" s="466">
        <v>176</v>
      </c>
      <c r="O15" s="456">
        <f t="shared" si="3"/>
        <v>0.12666666666666665</v>
      </c>
    </row>
    <row r="16" spans="1:15" s="457" customFormat="1" ht="15">
      <c r="A16" s="459" t="s">
        <v>845</v>
      </c>
      <c r="B16" s="494" t="s">
        <v>855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454.5454545454545</v>
      </c>
      <c r="H16" s="462">
        <v>10</v>
      </c>
      <c r="I16" s="463">
        <v>1</v>
      </c>
      <c r="J16" s="464">
        <f>1.32/60</f>
        <v>0.022000000000000002</v>
      </c>
      <c r="K16" s="461">
        <v>4</v>
      </c>
      <c r="L16" s="465">
        <f t="shared" si="1"/>
        <v>0.088000000000000009</v>
      </c>
      <c r="M16" s="466">
        <f t="shared" si="2"/>
        <v>15.488000000000001</v>
      </c>
      <c r="N16" s="466">
        <v>176</v>
      </c>
      <c r="O16" s="456">
        <f t="shared" si="3"/>
        <v>0.088000000000000009</v>
      </c>
    </row>
    <row r="17" spans="1:15" s="457" customFormat="1" ht="15">
      <c r="A17" s="459" t="s">
        <v>846</v>
      </c>
      <c r="B17" s="494" t="s">
        <v>861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857.14285714285722</v>
      </c>
      <c r="H17" s="462">
        <v>10</v>
      </c>
      <c r="I17" s="463">
        <v>1</v>
      </c>
      <c r="J17" s="464">
        <f>0.7/60</f>
        <v>0.011666666666666665</v>
      </c>
      <c r="K17" s="461">
        <v>2</v>
      </c>
      <c r="L17" s="465">
        <f t="shared" si="1"/>
        <v>0.023333333333333331</v>
      </c>
      <c r="M17" s="466">
        <f t="shared" si="2"/>
        <v>4.1066666666666665</v>
      </c>
      <c r="N17" s="466">
        <v>176</v>
      </c>
      <c r="O17" s="456">
        <f t="shared" si="3"/>
        <v>0.023333333333333331</v>
      </c>
    </row>
    <row r="18" spans="1:15" ht="15">
      <c r="A18" s="39"/>
      <c r="B18" s="649" t="s">
        <v>130</v>
      </c>
      <c r="C18" s="649"/>
      <c r="D18" s="649"/>
      <c r="E18" s="649"/>
      <c r="F18" s="649"/>
      <c r="G18" s="649"/>
      <c r="H18" s="649"/>
      <c r="I18" s="649"/>
      <c r="J18" s="649"/>
      <c r="K18" s="649"/>
      <c r="L18" s="265"/>
      <c r="M18" s="262">
        <f>SUM(M19:M46)</f>
        <v>3059.852856030845</v>
      </c>
      <c r="N18" s="430"/>
      <c r="O18" s="264">
        <f>SUM(O19:O46)</f>
        <v>13.147018797262474</v>
      </c>
    </row>
    <row r="19" spans="1:15" s="0" customFormat="1" ht="15">
      <c r="A19" s="57" t="s">
        <v>143</v>
      </c>
      <c r="B19" s="56" t="s">
        <v>144</v>
      </c>
      <c r="C19" s="13" t="s">
        <v>1025</v>
      </c>
      <c r="D19" s="13">
        <v>105</v>
      </c>
      <c r="E19" s="13"/>
      <c r="F19" s="17" t="s">
        <v>353</v>
      </c>
      <c r="G19" s="469">
        <v>20.70</v>
      </c>
      <c r="H19" s="252">
        <v>10</v>
      </c>
      <c r="I19" s="16">
        <v>1</v>
      </c>
      <c r="J19" s="253">
        <f>H19/G19*I19</f>
        <v>0.48309178743961356</v>
      </c>
      <c r="K19" s="52">
        <v>1</v>
      </c>
      <c r="L19" s="26">
        <f t="shared" si="4" ref="L19:L46">J19*K19</f>
        <v>0.48309178743961356</v>
      </c>
      <c r="M19" s="37">
        <f>L19*N19</f>
        <v>96.618357487922708</v>
      </c>
      <c r="N19" s="85">
        <v>200</v>
      </c>
      <c r="O19" s="8">
        <f>J19/I19*K19</f>
        <v>0.48309178743961356</v>
      </c>
    </row>
    <row r="20" spans="1:15" s="0" customFormat="1" ht="15">
      <c r="A20" s="642" t="s">
        <v>146</v>
      </c>
      <c r="B20" s="639" t="s">
        <v>411</v>
      </c>
      <c r="C20" s="13" t="s">
        <v>1026</v>
      </c>
      <c r="D20" s="54">
        <v>109</v>
      </c>
      <c r="E20" s="645" t="s">
        <v>911</v>
      </c>
      <c r="F20" s="17" t="s">
        <v>10</v>
      </c>
      <c r="G20" s="16">
        <v>40</v>
      </c>
      <c r="H20" s="252">
        <v>10</v>
      </c>
      <c r="I20" s="16">
        <v>1</v>
      </c>
      <c r="J20" s="253">
        <f t="shared" si="5" ref="J20:J46">H20/G20*I20</f>
        <v>0.25</v>
      </c>
      <c r="K20" s="260">
        <f>750/1000+0.1</f>
        <v>0.85</v>
      </c>
      <c r="L20" s="26">
        <f t="shared" si="4"/>
        <v>0.2125</v>
      </c>
      <c r="M20" s="43">
        <f t="shared" si="6" ref="M20:M46">L20*N20</f>
        <v>42.50</v>
      </c>
      <c r="N20" s="85">
        <v>200</v>
      </c>
      <c r="O20" s="8">
        <f t="shared" si="7" ref="O20:O46">J20/I20*K20</f>
        <v>0.2125</v>
      </c>
    </row>
    <row r="21" spans="1:15" s="0" customFormat="1" ht="15">
      <c r="A21" s="647"/>
      <c r="B21" s="641"/>
      <c r="C21" s="13" t="s">
        <v>1027</v>
      </c>
      <c r="D21" s="90">
        <v>109</v>
      </c>
      <c r="E21" s="647"/>
      <c r="F21" s="17" t="s">
        <v>10</v>
      </c>
      <c r="G21" s="16">
        <v>27</v>
      </c>
      <c r="H21" s="252">
        <v>10</v>
      </c>
      <c r="I21" s="16">
        <v>1</v>
      </c>
      <c r="J21" s="253">
        <f t="shared" si="5"/>
        <v>0.37037037037037035</v>
      </c>
      <c r="K21" s="260">
        <f>750/1000+0.2</f>
        <v>0.95</v>
      </c>
      <c r="L21" s="26">
        <f t="shared" si="4"/>
        <v>0.3518518518518518</v>
      </c>
      <c r="M21" s="43">
        <f t="shared" si="6"/>
        <v>70.370370370370367</v>
      </c>
      <c r="N21" s="85">
        <v>200</v>
      </c>
      <c r="O21" s="8">
        <f t="shared" si="7"/>
        <v>0.3518518518518518</v>
      </c>
    </row>
    <row r="22" spans="1:15" s="0" customFormat="1" ht="15">
      <c r="A22" s="650" t="s">
        <v>148</v>
      </c>
      <c r="B22" s="638" t="s">
        <v>412</v>
      </c>
      <c r="C22" s="13" t="s">
        <v>1028</v>
      </c>
      <c r="D22" s="13">
        <v>107</v>
      </c>
      <c r="E22" s="637" t="s">
        <v>43</v>
      </c>
      <c r="F22" s="17" t="s">
        <v>10</v>
      </c>
      <c r="G22" s="16">
        <v>40</v>
      </c>
      <c r="H22" s="252">
        <v>10</v>
      </c>
      <c r="I22" s="16">
        <v>1</v>
      </c>
      <c r="J22" s="253">
        <f t="shared" si="5"/>
        <v>0.25</v>
      </c>
      <c r="K22" s="30">
        <f>(750)/1000+0.1</f>
        <v>0.85</v>
      </c>
      <c r="L22" s="26">
        <f t="shared" si="4"/>
        <v>0.2125</v>
      </c>
      <c r="M22" s="37">
        <f t="shared" si="6"/>
        <v>42.50</v>
      </c>
      <c r="N22" s="85">
        <v>200</v>
      </c>
      <c r="O22" s="8">
        <f t="shared" si="7"/>
        <v>0.2125</v>
      </c>
    </row>
    <row r="23" spans="1:15" s="0" customFormat="1" ht="15">
      <c r="A23" s="650"/>
      <c r="B23" s="638"/>
      <c r="C23" s="13" t="s">
        <v>1029</v>
      </c>
      <c r="D23" s="13">
        <v>107</v>
      </c>
      <c r="E23" s="637"/>
      <c r="F23" s="17" t="s">
        <v>10</v>
      </c>
      <c r="G23" s="16">
        <v>25</v>
      </c>
      <c r="H23" s="252">
        <v>10</v>
      </c>
      <c r="I23" s="16">
        <v>1</v>
      </c>
      <c r="J23" s="253">
        <f t="shared" si="5"/>
        <v>0.40</v>
      </c>
      <c r="K23" s="30">
        <f>(750)/1000</f>
        <v>0.75</v>
      </c>
      <c r="L23" s="26">
        <f t="shared" si="8" ref="L23">J23*K23</f>
        <v>0.30000000000000004</v>
      </c>
      <c r="M23" s="37">
        <f t="shared" si="9" ref="M23">L23*N23</f>
        <v>52.800000000000011</v>
      </c>
      <c r="N23" s="85">
        <v>176</v>
      </c>
      <c r="O23" s="8">
        <f t="shared" si="7"/>
        <v>0.30000000000000004</v>
      </c>
    </row>
    <row r="24" spans="1:15" s="0" customFormat="1" ht="15">
      <c r="A24" s="650"/>
      <c r="B24" s="638"/>
      <c r="C24" s="13" t="s">
        <v>1030</v>
      </c>
      <c r="D24" s="13">
        <v>107</v>
      </c>
      <c r="E24" s="637"/>
      <c r="F24" s="17" t="s">
        <v>10</v>
      </c>
      <c r="G24" s="16">
        <v>28.50</v>
      </c>
      <c r="H24" s="252">
        <v>10</v>
      </c>
      <c r="I24" s="16">
        <v>1</v>
      </c>
      <c r="J24" s="253">
        <f t="shared" si="5"/>
        <v>0.35087719298245612</v>
      </c>
      <c r="K24" s="30">
        <f>(750)/1000+0.1</f>
        <v>0.85</v>
      </c>
      <c r="L24" s="26">
        <f t="shared" si="4"/>
        <v>0.2982456140350877</v>
      </c>
      <c r="M24" s="37">
        <f t="shared" si="6"/>
        <v>59.649122807017541</v>
      </c>
      <c r="N24" s="85">
        <v>200</v>
      </c>
      <c r="O24" s="8">
        <f t="shared" si="7"/>
        <v>0.2982456140350877</v>
      </c>
    </row>
    <row r="25" spans="1:15" s="0" customFormat="1" ht="30">
      <c r="A25" s="57" t="s">
        <v>421</v>
      </c>
      <c r="B25" s="91" t="s">
        <v>149</v>
      </c>
      <c r="C25" s="13" t="s">
        <v>1025</v>
      </c>
      <c r="D25" s="13">
        <v>105</v>
      </c>
      <c r="E25" s="13"/>
      <c r="F25" s="17" t="s">
        <v>353</v>
      </c>
      <c r="G25" s="469">
        <f>20.7/0.65</f>
        <v>31.846153846153843</v>
      </c>
      <c r="H25" s="252">
        <v>10</v>
      </c>
      <c r="I25" s="16">
        <v>1</v>
      </c>
      <c r="J25" s="253">
        <f t="shared" si="5"/>
        <v>0.3140096618357488</v>
      </c>
      <c r="K25" s="52">
        <v>1</v>
      </c>
      <c r="L25" s="26">
        <f t="shared" si="4"/>
        <v>0.3140096618357488</v>
      </c>
      <c r="M25" s="37">
        <f t="shared" si="6"/>
        <v>62.80193236714976</v>
      </c>
      <c r="N25" s="43">
        <v>200</v>
      </c>
      <c r="O25" s="8">
        <f t="shared" si="7"/>
        <v>0.3140096618357488</v>
      </c>
    </row>
    <row r="26" spans="1:15" s="0" customFormat="1" ht="30">
      <c r="A26" s="529" t="s">
        <v>1662</v>
      </c>
      <c r="B26" s="522" t="s">
        <v>1661</v>
      </c>
      <c r="C26" s="523" t="s">
        <v>9</v>
      </c>
      <c r="D26" s="523">
        <v>109</v>
      </c>
      <c r="E26" s="523"/>
      <c r="F26" s="524" t="s">
        <v>10</v>
      </c>
      <c r="G26" s="525">
        <v>33</v>
      </c>
      <c r="H26" s="526">
        <v>10</v>
      </c>
      <c r="I26" s="527">
        <v>1</v>
      </c>
      <c r="J26" s="528">
        <f t="shared" si="5"/>
        <v>0.30303030303030304</v>
      </c>
      <c r="K26" s="525">
        <f>(350*2)/1000</f>
        <v>0.70</v>
      </c>
      <c r="L26" s="267">
        <f t="shared" si="4"/>
        <v>0.21212121212121213</v>
      </c>
      <c r="M26" s="266">
        <f t="shared" si="6"/>
        <v>32.242424242424242</v>
      </c>
      <c r="N26" s="433">
        <v>152</v>
      </c>
      <c r="O26" s="267">
        <f t="shared" si="7"/>
        <v>0.21212121212121213</v>
      </c>
    </row>
    <row r="27" spans="1:15" ht="15">
      <c r="A27" s="57" t="s">
        <v>152</v>
      </c>
      <c r="B27" s="56" t="s">
        <v>153</v>
      </c>
      <c r="C27" s="13" t="s">
        <v>154</v>
      </c>
      <c r="D27" s="13">
        <v>124</v>
      </c>
      <c r="E27" s="13"/>
      <c r="F27" s="13" t="s">
        <v>354</v>
      </c>
      <c r="G27" s="442">
        <v>15.50</v>
      </c>
      <c r="H27" s="440">
        <v>10</v>
      </c>
      <c r="I27" s="28">
        <v>1</v>
      </c>
      <c r="J27" s="441">
        <f t="shared" si="5"/>
        <v>0.64516129032258063</v>
      </c>
      <c r="K27" s="432">
        <v>1</v>
      </c>
      <c r="L27" s="267">
        <f t="shared" si="4"/>
        <v>0.64516129032258063</v>
      </c>
      <c r="M27" s="433">
        <f t="shared" si="6"/>
        <v>129.03225806451613</v>
      </c>
      <c r="N27" s="434">
        <v>200</v>
      </c>
      <c r="O27" s="435">
        <f t="shared" si="7"/>
        <v>0.64516129032258063</v>
      </c>
    </row>
    <row r="28" spans="1:15" ht="30">
      <c r="A28" s="57" t="s">
        <v>155</v>
      </c>
      <c r="B28" s="56" t="s">
        <v>156</v>
      </c>
      <c r="C28" s="13" t="s">
        <v>157</v>
      </c>
      <c r="D28" s="13" t="s">
        <v>1329</v>
      </c>
      <c r="E28" s="13"/>
      <c r="F28" s="13" t="s">
        <v>354</v>
      </c>
      <c r="G28" s="442">
        <v>6.70</v>
      </c>
      <c r="H28" s="440">
        <v>10</v>
      </c>
      <c r="I28" s="28">
        <v>1</v>
      </c>
      <c r="J28" s="441">
        <f t="shared" si="5"/>
        <v>1.4925373134328357</v>
      </c>
      <c r="K28" s="432">
        <v>1</v>
      </c>
      <c r="L28" s="267">
        <f t="shared" si="4"/>
        <v>1.4925373134328357</v>
      </c>
      <c r="M28" s="433">
        <f t="shared" si="6"/>
        <v>298.50746268656712</v>
      </c>
      <c r="N28" s="434">
        <v>200</v>
      </c>
      <c r="O28" s="435">
        <f t="shared" si="7"/>
        <v>1.4925373134328357</v>
      </c>
    </row>
    <row r="29" spans="1:15" ht="30">
      <c r="A29" s="57" t="s">
        <v>158</v>
      </c>
      <c r="B29" s="56" t="s">
        <v>159</v>
      </c>
      <c r="C29" s="13" t="s">
        <v>160</v>
      </c>
      <c r="D29" s="13" t="s">
        <v>1331</v>
      </c>
      <c r="E29" s="13" t="s">
        <v>161</v>
      </c>
      <c r="F29" s="13" t="s">
        <v>10</v>
      </c>
      <c r="G29" s="439">
        <v>15.40</v>
      </c>
      <c r="H29" s="440">
        <v>10</v>
      </c>
      <c r="I29" s="28">
        <v>1</v>
      </c>
      <c r="J29" s="441">
        <f t="shared" si="5"/>
        <v>0.64935064935064934</v>
      </c>
      <c r="K29" s="436">
        <f>(61/1000)*3.1415*4</f>
        <v>0.76652600000000004</v>
      </c>
      <c r="L29" s="435">
        <f t="shared" si="4"/>
        <v>0.49774415584415588</v>
      </c>
      <c r="M29" s="266">
        <f t="shared" si="6"/>
        <v>99.548831168831171</v>
      </c>
      <c r="N29" s="433">
        <v>200</v>
      </c>
      <c r="O29" s="435">
        <f t="shared" si="7"/>
        <v>0.49774415584415588</v>
      </c>
    </row>
    <row r="30" spans="1:15" ht="15">
      <c r="A30" s="57" t="s">
        <v>427</v>
      </c>
      <c r="B30" s="56" t="s">
        <v>428</v>
      </c>
      <c r="C30" s="13" t="s">
        <v>24</v>
      </c>
      <c r="D30" s="13">
        <v>110</v>
      </c>
      <c r="E30" s="13"/>
      <c r="F30" s="4" t="s">
        <v>38</v>
      </c>
      <c r="G30" s="442">
        <v>15.50</v>
      </c>
      <c r="H30" s="440">
        <v>10</v>
      </c>
      <c r="I30" s="28">
        <v>2</v>
      </c>
      <c r="J30" s="441">
        <f t="shared" si="5"/>
        <v>1.2903225806451613</v>
      </c>
      <c r="K30" s="28">
        <v>1</v>
      </c>
      <c r="L30" s="267">
        <f t="shared" si="4"/>
        <v>1.2903225806451613</v>
      </c>
      <c r="M30" s="433">
        <f t="shared" si="6"/>
        <v>258.06451612903226</v>
      </c>
      <c r="N30" s="434">
        <v>200</v>
      </c>
      <c r="O30" s="435">
        <f t="shared" si="7"/>
        <v>0.64516129032258063</v>
      </c>
    </row>
    <row r="31" spans="1:15" ht="15">
      <c r="A31" s="637" t="s">
        <v>162</v>
      </c>
      <c r="B31" s="638" t="s">
        <v>429</v>
      </c>
      <c r="C31" s="13" t="s">
        <v>160</v>
      </c>
      <c r="D31" s="13">
        <v>109</v>
      </c>
      <c r="E31" s="645" t="s">
        <v>911</v>
      </c>
      <c r="F31" s="13" t="s">
        <v>10</v>
      </c>
      <c r="G31" s="28">
        <v>40</v>
      </c>
      <c r="H31" s="440">
        <v>10</v>
      </c>
      <c r="I31" s="28">
        <v>1</v>
      </c>
      <c r="J31" s="441">
        <f t="shared" si="5"/>
        <v>0.25</v>
      </c>
      <c r="K31" s="436">
        <f>530/1000*3.1415</f>
        <v>1.6649950000000002</v>
      </c>
      <c r="L31" s="267">
        <f t="shared" si="4"/>
        <v>0.41624875000000006</v>
      </c>
      <c r="M31" s="433">
        <f t="shared" si="6"/>
        <v>83.249750000000006</v>
      </c>
      <c r="N31" s="434">
        <v>200</v>
      </c>
      <c r="O31" s="435">
        <f t="shared" si="7"/>
        <v>0.41624875000000006</v>
      </c>
    </row>
    <row r="32" spans="1:15" ht="15">
      <c r="A32" s="637"/>
      <c r="B32" s="638"/>
      <c r="C32" s="13" t="s">
        <v>9</v>
      </c>
      <c r="D32" s="13">
        <v>109</v>
      </c>
      <c r="E32" s="647"/>
      <c r="F32" s="13" t="s">
        <v>10</v>
      </c>
      <c r="G32" s="28">
        <v>27</v>
      </c>
      <c r="H32" s="440">
        <v>10</v>
      </c>
      <c r="I32" s="28">
        <v>1</v>
      </c>
      <c r="J32" s="441">
        <f t="shared" si="5"/>
        <v>0.37037037037037035</v>
      </c>
      <c r="K32" s="436">
        <f>530/1000*3.1415</f>
        <v>1.6649950000000002</v>
      </c>
      <c r="L32" s="267">
        <f t="shared" si="4"/>
        <v>0.61666481481481483</v>
      </c>
      <c r="M32" s="433">
        <f t="shared" si="6"/>
        <v>123.33296296296297</v>
      </c>
      <c r="N32" s="434">
        <v>200</v>
      </c>
      <c r="O32" s="435">
        <f t="shared" si="7"/>
        <v>0.61666481481481483</v>
      </c>
    </row>
    <row r="33" spans="1:15" ht="15">
      <c r="A33" s="642" t="s">
        <v>430</v>
      </c>
      <c r="B33" s="639" t="s">
        <v>431</v>
      </c>
      <c r="C33" s="13" t="s">
        <v>160</v>
      </c>
      <c r="D33" s="54">
        <v>107</v>
      </c>
      <c r="E33" s="645" t="s">
        <v>43</v>
      </c>
      <c r="F33" s="13" t="s">
        <v>10</v>
      </c>
      <c r="G33" s="28">
        <v>40</v>
      </c>
      <c r="H33" s="440">
        <v>10</v>
      </c>
      <c r="I33" s="28">
        <v>1</v>
      </c>
      <c r="J33" s="441">
        <f t="shared" si="5"/>
        <v>0.25</v>
      </c>
      <c r="K33" s="436">
        <f>530/1000*3.1415</f>
        <v>1.6649950000000002</v>
      </c>
      <c r="L33" s="267">
        <f t="shared" si="4"/>
        <v>0.41624875000000006</v>
      </c>
      <c r="M33" s="433">
        <f t="shared" si="6"/>
        <v>83.249750000000006</v>
      </c>
      <c r="N33" s="434">
        <v>200</v>
      </c>
      <c r="O33" s="435">
        <f t="shared" si="7"/>
        <v>0.41624875000000006</v>
      </c>
    </row>
    <row r="34" spans="1:15" ht="15">
      <c r="A34" s="643"/>
      <c r="B34" s="640"/>
      <c r="C34" s="13" t="s">
        <v>511</v>
      </c>
      <c r="D34" s="274">
        <v>107</v>
      </c>
      <c r="E34" s="646"/>
      <c r="F34" s="13" t="s">
        <v>10</v>
      </c>
      <c r="G34" s="28">
        <v>25</v>
      </c>
      <c r="H34" s="440">
        <v>10</v>
      </c>
      <c r="I34" s="28">
        <v>1</v>
      </c>
      <c r="J34" s="453">
        <f t="shared" si="5"/>
        <v>0.40</v>
      </c>
      <c r="K34" s="436">
        <f>530*3.1415/1000</f>
        <v>1.6649950000000002</v>
      </c>
      <c r="L34" s="267">
        <f t="shared" si="4"/>
        <v>0.66599800000000009</v>
      </c>
      <c r="M34" s="433">
        <f t="shared" si="6"/>
        <v>117.21564800000002</v>
      </c>
      <c r="N34" s="434">
        <v>176</v>
      </c>
      <c r="O34" s="435">
        <f t="shared" si="7"/>
        <v>0.66599800000000009</v>
      </c>
    </row>
    <row r="35" spans="1:15" ht="15">
      <c r="A35" s="644"/>
      <c r="B35" s="641"/>
      <c r="C35" s="13" t="s">
        <v>313</v>
      </c>
      <c r="D35" s="90">
        <v>107</v>
      </c>
      <c r="E35" s="647"/>
      <c r="F35" s="13" t="s">
        <v>10</v>
      </c>
      <c r="G35" s="28">
        <v>28.50</v>
      </c>
      <c r="H35" s="440">
        <v>10</v>
      </c>
      <c r="I35" s="28">
        <v>1</v>
      </c>
      <c r="J35" s="453">
        <f t="shared" si="5"/>
        <v>0.35087719298245612</v>
      </c>
      <c r="K35" s="436">
        <f>530*3.1415/1000</f>
        <v>1.6649950000000002</v>
      </c>
      <c r="L35" s="267">
        <f t="shared" si="4"/>
        <v>0.58420877192982457</v>
      </c>
      <c r="M35" s="433">
        <f t="shared" si="6"/>
        <v>116.84175438596492</v>
      </c>
      <c r="N35" s="434">
        <v>200</v>
      </c>
      <c r="O35" s="435">
        <f t="shared" si="7"/>
        <v>0.58420877192982457</v>
      </c>
    </row>
    <row r="36" spans="1:15" ht="15">
      <c r="A36" s="57" t="s">
        <v>629</v>
      </c>
      <c r="B36" s="56" t="s">
        <v>1031</v>
      </c>
      <c r="C36" s="13" t="s">
        <v>862</v>
      </c>
      <c r="D36" s="13">
        <v>224</v>
      </c>
      <c r="E36" s="13"/>
      <c r="F36" s="17"/>
      <c r="G36" s="28">
        <f>(600-25)/10</f>
        <v>57.50</v>
      </c>
      <c r="H36" s="440">
        <v>10</v>
      </c>
      <c r="I36" s="28">
        <v>2</v>
      </c>
      <c r="J36" s="441">
        <f t="shared" si="5"/>
        <v>0.34782608695652173</v>
      </c>
      <c r="K36" s="28">
        <v>1</v>
      </c>
      <c r="L36" s="267">
        <f t="shared" si="4"/>
        <v>0.34782608695652173</v>
      </c>
      <c r="M36" s="433">
        <f t="shared" si="6"/>
        <v>69.565217391304344</v>
      </c>
      <c r="N36" s="434">
        <v>200</v>
      </c>
      <c r="O36" s="435">
        <f t="shared" si="7"/>
        <v>0.17391304347826086</v>
      </c>
    </row>
    <row r="37" spans="1:15" ht="15">
      <c r="A37" s="637" t="s">
        <v>314</v>
      </c>
      <c r="B37" s="638" t="s">
        <v>107</v>
      </c>
      <c r="C37" s="13" t="s">
        <v>24</v>
      </c>
      <c r="D37" s="13">
        <v>110</v>
      </c>
      <c r="E37" s="13"/>
      <c r="F37" s="4" t="s">
        <v>40</v>
      </c>
      <c r="G37" s="442">
        <v>20</v>
      </c>
      <c r="H37" s="440">
        <v>10</v>
      </c>
      <c r="I37" s="28">
        <v>2</v>
      </c>
      <c r="J37" s="441">
        <f t="shared" si="5"/>
        <v>1</v>
      </c>
      <c r="K37" s="28">
        <v>1</v>
      </c>
      <c r="L37" s="267">
        <f t="shared" si="4"/>
        <v>1</v>
      </c>
      <c r="M37" s="433">
        <f t="shared" si="6"/>
        <v>200</v>
      </c>
      <c r="N37" s="434">
        <v>200</v>
      </c>
      <c r="O37" s="435">
        <f t="shared" si="7"/>
        <v>0.50</v>
      </c>
    </row>
    <row r="38" spans="1:15" ht="15">
      <c r="A38" s="637"/>
      <c r="B38" s="638"/>
      <c r="C38" s="13" t="s">
        <v>25</v>
      </c>
      <c r="D38" s="13">
        <v>110</v>
      </c>
      <c r="E38" s="13" t="s">
        <v>41</v>
      </c>
      <c r="F38" s="13" t="s">
        <v>10</v>
      </c>
      <c r="G38" s="28">
        <v>40</v>
      </c>
      <c r="H38" s="440">
        <v>10</v>
      </c>
      <c r="I38" s="28">
        <v>1</v>
      </c>
      <c r="J38" s="441">
        <f t="shared" si="5"/>
        <v>0.25</v>
      </c>
      <c r="K38" s="436">
        <f>530/1000*3.1415*2</f>
        <v>3.3299900000000004</v>
      </c>
      <c r="L38" s="267">
        <f t="shared" si="4"/>
        <v>0.83249750000000011</v>
      </c>
      <c r="M38" s="433">
        <f t="shared" si="6"/>
        <v>166.49950000000001</v>
      </c>
      <c r="N38" s="434">
        <v>200</v>
      </c>
      <c r="O38" s="435">
        <f t="shared" si="7"/>
        <v>0.83249750000000011</v>
      </c>
    </row>
    <row r="39" spans="1:15" ht="15">
      <c r="A39" s="57" t="s">
        <v>1285</v>
      </c>
      <c r="B39" s="56" t="s">
        <v>1537</v>
      </c>
      <c r="C39" s="13" t="s">
        <v>1535</v>
      </c>
      <c r="D39" s="13">
        <v>105</v>
      </c>
      <c r="E39" s="13"/>
      <c r="F39" s="13" t="s">
        <v>353</v>
      </c>
      <c r="G39" s="442">
        <v>29.10</v>
      </c>
      <c r="H39" s="440">
        <v>10</v>
      </c>
      <c r="I39" s="28">
        <v>1</v>
      </c>
      <c r="J39" s="441">
        <f t="shared" si="5"/>
        <v>0.3436426116838488</v>
      </c>
      <c r="K39" s="432">
        <v>1</v>
      </c>
      <c r="L39" s="435">
        <f t="shared" si="4"/>
        <v>0.3436426116838488</v>
      </c>
      <c r="M39" s="266">
        <f t="shared" si="6"/>
        <v>68.728522336769757</v>
      </c>
      <c r="N39" s="433">
        <v>200</v>
      </c>
      <c r="O39" s="435">
        <f t="shared" si="7"/>
        <v>0.3436426116838488</v>
      </c>
    </row>
    <row r="40" spans="1:15" ht="15">
      <c r="A40" s="57" t="s">
        <v>648</v>
      </c>
      <c r="B40" s="567" t="s">
        <v>1538</v>
      </c>
      <c r="C40" s="13" t="s">
        <v>1536</v>
      </c>
      <c r="D40" s="13">
        <v>108</v>
      </c>
      <c r="E40" s="13"/>
      <c r="F40" s="13" t="s">
        <v>10</v>
      </c>
      <c r="G40" s="28">
        <v>40</v>
      </c>
      <c r="H40" s="440">
        <v>10</v>
      </c>
      <c r="I40" s="28">
        <v>1</v>
      </c>
      <c r="J40" s="453">
        <f t="shared" si="5"/>
        <v>0.25</v>
      </c>
      <c r="K40" s="436">
        <f>154*2/1000</f>
        <v>0.308</v>
      </c>
      <c r="L40" s="267">
        <f t="shared" si="4"/>
        <v>0.076999999999999999</v>
      </c>
      <c r="M40" s="433">
        <f t="shared" si="6"/>
        <v>15.40</v>
      </c>
      <c r="N40" s="434">
        <v>200</v>
      </c>
      <c r="O40" s="435">
        <f t="shared" si="7"/>
        <v>0.076999999999999999</v>
      </c>
    </row>
    <row r="41" spans="1:15" ht="15">
      <c r="A41" s="57" t="s">
        <v>1288</v>
      </c>
      <c r="B41" s="56" t="s">
        <v>1539</v>
      </c>
      <c r="C41" s="13" t="s">
        <v>1535</v>
      </c>
      <c r="D41" s="13">
        <v>105</v>
      </c>
      <c r="E41" s="13"/>
      <c r="F41" s="13" t="s">
        <v>353</v>
      </c>
      <c r="G41" s="442">
        <f>29.1/0.65</f>
        <v>44.769230769230766</v>
      </c>
      <c r="H41" s="440">
        <v>10</v>
      </c>
      <c r="I41" s="28">
        <v>1</v>
      </c>
      <c r="J41" s="441">
        <f t="shared" si="5"/>
        <v>0.22336769759450173</v>
      </c>
      <c r="K41" s="432">
        <v>1</v>
      </c>
      <c r="L41" s="435">
        <f t="shared" si="4"/>
        <v>0.22336769759450173</v>
      </c>
      <c r="M41" s="266">
        <f t="shared" si="6"/>
        <v>44.673539518900348</v>
      </c>
      <c r="N41" s="433">
        <v>200</v>
      </c>
      <c r="O41" s="435">
        <f t="shared" si="7"/>
        <v>0.22336769759450173</v>
      </c>
    </row>
    <row r="42" spans="1:15" ht="15">
      <c r="A42" s="57" t="s">
        <v>176</v>
      </c>
      <c r="B42" s="56" t="s">
        <v>1544</v>
      </c>
      <c r="C42" s="13" t="s">
        <v>154</v>
      </c>
      <c r="D42" s="13">
        <v>124</v>
      </c>
      <c r="E42" s="13"/>
      <c r="F42" s="13" t="s">
        <v>354</v>
      </c>
      <c r="G42" s="442">
        <v>18</v>
      </c>
      <c r="H42" s="440">
        <v>10</v>
      </c>
      <c r="I42" s="28">
        <v>1</v>
      </c>
      <c r="J42" s="441">
        <f t="shared" si="5"/>
        <v>0.55555555555555558</v>
      </c>
      <c r="K42" s="432">
        <v>1</v>
      </c>
      <c r="L42" s="267">
        <f t="shared" si="4"/>
        <v>0.55555555555555558</v>
      </c>
      <c r="M42" s="433">
        <f t="shared" si="6"/>
        <v>111.11111111111111</v>
      </c>
      <c r="N42" s="434">
        <v>200</v>
      </c>
      <c r="O42" s="435">
        <f t="shared" si="7"/>
        <v>0.55555555555555558</v>
      </c>
    </row>
    <row r="43" spans="1:15" ht="30">
      <c r="A43" s="57" t="s">
        <v>1289</v>
      </c>
      <c r="B43" s="56" t="s">
        <v>1540</v>
      </c>
      <c r="C43" s="13" t="s">
        <v>24</v>
      </c>
      <c r="D43" s="13">
        <v>117</v>
      </c>
      <c r="E43" s="13"/>
      <c r="F43" s="4" t="s">
        <v>38</v>
      </c>
      <c r="G43" s="442">
        <v>20</v>
      </c>
      <c r="H43" s="440">
        <v>10</v>
      </c>
      <c r="I43" s="28">
        <v>2</v>
      </c>
      <c r="J43" s="441">
        <f t="shared" si="5"/>
        <v>1</v>
      </c>
      <c r="K43" s="28">
        <v>1</v>
      </c>
      <c r="L43" s="267">
        <f t="shared" si="4"/>
        <v>1</v>
      </c>
      <c r="M43" s="433">
        <f t="shared" si="6"/>
        <v>200</v>
      </c>
      <c r="N43" s="434">
        <v>200</v>
      </c>
      <c r="O43" s="435">
        <f t="shared" si="7"/>
        <v>0.50</v>
      </c>
    </row>
    <row r="44" spans="1:15" ht="30">
      <c r="A44" s="13" t="s">
        <v>1290</v>
      </c>
      <c r="B44" s="56" t="s">
        <v>1541</v>
      </c>
      <c r="C44" s="13" t="s">
        <v>160</v>
      </c>
      <c r="D44" s="13">
        <v>117</v>
      </c>
      <c r="E44" s="13" t="s">
        <v>869</v>
      </c>
      <c r="F44" s="13" t="s">
        <v>10</v>
      </c>
      <c r="G44" s="28">
        <v>40</v>
      </c>
      <c r="H44" s="440">
        <v>10</v>
      </c>
      <c r="I44" s="28">
        <v>1</v>
      </c>
      <c r="J44" s="441">
        <f t="shared" si="5"/>
        <v>0.25</v>
      </c>
      <c r="K44" s="436">
        <f>457*3.1415*2/1000</f>
        <v>2.8713310000000001</v>
      </c>
      <c r="L44" s="267">
        <f t="shared" si="4"/>
        <v>0.71783275000000002</v>
      </c>
      <c r="M44" s="433">
        <f t="shared" si="6"/>
        <v>143.56655000000001</v>
      </c>
      <c r="N44" s="434">
        <v>200</v>
      </c>
      <c r="O44" s="435">
        <f t="shared" si="7"/>
        <v>0.71783275000000002</v>
      </c>
    </row>
    <row r="45" spans="1:15" ht="30">
      <c r="A45" s="57" t="s">
        <v>1291</v>
      </c>
      <c r="B45" s="56" t="s">
        <v>1542</v>
      </c>
      <c r="C45" s="13" t="s">
        <v>24</v>
      </c>
      <c r="D45" s="13">
        <v>110</v>
      </c>
      <c r="E45" s="13"/>
      <c r="F45" s="4" t="s">
        <v>38</v>
      </c>
      <c r="G45" s="442">
        <v>20</v>
      </c>
      <c r="H45" s="440">
        <v>10</v>
      </c>
      <c r="I45" s="28">
        <v>2</v>
      </c>
      <c r="J45" s="441">
        <f t="shared" si="5"/>
        <v>1</v>
      </c>
      <c r="K45" s="28">
        <v>1</v>
      </c>
      <c r="L45" s="267">
        <f t="shared" si="4"/>
        <v>1</v>
      </c>
      <c r="M45" s="433">
        <f t="shared" si="6"/>
        <v>200</v>
      </c>
      <c r="N45" s="434">
        <v>200</v>
      </c>
      <c r="O45" s="435">
        <f t="shared" si="7"/>
        <v>0.50</v>
      </c>
    </row>
    <row r="46" spans="1:15" ht="30">
      <c r="A46" s="13" t="s">
        <v>177</v>
      </c>
      <c r="B46" s="56" t="s">
        <v>1543</v>
      </c>
      <c r="C46" s="13" t="s">
        <v>160</v>
      </c>
      <c r="D46" s="13">
        <v>110</v>
      </c>
      <c r="E46" s="13" t="s">
        <v>869</v>
      </c>
      <c r="F46" s="13" t="s">
        <v>10</v>
      </c>
      <c r="G46" s="28">
        <v>40</v>
      </c>
      <c r="H46" s="440">
        <v>10</v>
      </c>
      <c r="I46" s="28">
        <v>1</v>
      </c>
      <c r="J46" s="441">
        <f t="shared" si="5"/>
        <v>0.25</v>
      </c>
      <c r="K46" s="436">
        <f>457*3.1415/1000</f>
        <v>1.4356655</v>
      </c>
      <c r="L46" s="267">
        <f t="shared" si="4"/>
        <v>0.35891637500000001</v>
      </c>
      <c r="M46" s="433">
        <f t="shared" si="6"/>
        <v>71.783275000000003</v>
      </c>
      <c r="N46" s="434">
        <v>200</v>
      </c>
      <c r="O46" s="435">
        <f t="shared" si="7"/>
        <v>0.35891637500000001</v>
      </c>
    </row>
    <row r="47" spans="1:15" ht="15">
      <c r="A47" s="39"/>
      <c r="B47" s="649" t="s">
        <v>131</v>
      </c>
      <c r="C47" s="649"/>
      <c r="D47" s="649"/>
      <c r="E47" s="649"/>
      <c r="F47" s="649"/>
      <c r="G47" s="649"/>
      <c r="H47" s="649"/>
      <c r="I47" s="649"/>
      <c r="J47" s="649"/>
      <c r="K47" s="649"/>
      <c r="L47" s="267"/>
      <c r="M47" s="262">
        <f>SUM(M48:M60)</f>
        <v>1613.417078988869</v>
      </c>
      <c r="N47" s="263"/>
      <c r="O47" s="264">
        <f>SUM(O48:O60)</f>
        <v>6.3140123514660838</v>
      </c>
    </row>
    <row r="48" spans="1:15" ht="15">
      <c r="A48" s="57" t="s">
        <v>182</v>
      </c>
      <c r="B48" s="56" t="s">
        <v>183</v>
      </c>
      <c r="C48" s="13" t="s">
        <v>1032</v>
      </c>
      <c r="D48" s="13">
        <v>105</v>
      </c>
      <c r="E48" s="13"/>
      <c r="F48" s="13" t="s">
        <v>353</v>
      </c>
      <c r="G48" s="436">
        <v>15.175</v>
      </c>
      <c r="H48" s="440">
        <v>10</v>
      </c>
      <c r="I48" s="28">
        <v>1</v>
      </c>
      <c r="J48" s="441">
        <f t="shared" si="10" ref="J48:J60">H48/G48*I48</f>
        <v>0.65897858319604607</v>
      </c>
      <c r="K48" s="432">
        <v>1</v>
      </c>
      <c r="L48" s="435">
        <f t="shared" si="11" ref="L48:L60">J48*K48</f>
        <v>0.65897858319604607</v>
      </c>
      <c r="M48" s="266">
        <f t="shared" si="12" ref="M48:M60">L48*N48</f>
        <v>131.79571663920922</v>
      </c>
      <c r="N48" s="433">
        <v>200</v>
      </c>
      <c r="O48" s="435">
        <f t="shared" si="13" ref="O48:O60">J48/I48*K48</f>
        <v>0.65897858319604607</v>
      </c>
    </row>
    <row r="49" spans="1:15" ht="30">
      <c r="A49" s="57" t="s">
        <v>185</v>
      </c>
      <c r="B49" s="56" t="s">
        <v>186</v>
      </c>
      <c r="C49" s="13" t="s">
        <v>187</v>
      </c>
      <c r="D49" s="13">
        <v>105</v>
      </c>
      <c r="E49" s="13"/>
      <c r="F49" s="13" t="s">
        <v>522</v>
      </c>
      <c r="G49" s="28">
        <v>55</v>
      </c>
      <c r="H49" s="440">
        <v>10</v>
      </c>
      <c r="I49" s="28">
        <v>1</v>
      </c>
      <c r="J49" s="441">
        <f t="shared" si="10"/>
        <v>0.18181818181818182</v>
      </c>
      <c r="K49" s="432">
        <v>3</v>
      </c>
      <c r="L49" s="435">
        <f t="shared" si="11"/>
        <v>0.54545454545454541</v>
      </c>
      <c r="M49" s="266">
        <f t="shared" si="12"/>
        <v>109.09090909090908</v>
      </c>
      <c r="N49" s="433">
        <v>200</v>
      </c>
      <c r="O49" s="435">
        <f t="shared" si="13"/>
        <v>0.54545454545454541</v>
      </c>
    </row>
    <row r="50" spans="1:15" ht="15">
      <c r="A50" s="650" t="s">
        <v>188</v>
      </c>
      <c r="B50" s="655" t="s">
        <v>438</v>
      </c>
      <c r="C50" s="13" t="s">
        <v>1033</v>
      </c>
      <c r="D50" s="13">
        <v>109</v>
      </c>
      <c r="E50" s="637" t="s">
        <v>36</v>
      </c>
      <c r="F50" s="13" t="s">
        <v>10</v>
      </c>
      <c r="G50" s="28">
        <v>40</v>
      </c>
      <c r="H50" s="440">
        <v>10</v>
      </c>
      <c r="I50" s="28">
        <v>1</v>
      </c>
      <c r="J50" s="453">
        <f t="shared" si="10"/>
        <v>0.25</v>
      </c>
      <c r="K50" s="436">
        <f>(955)/1000+0.1</f>
        <v>1.0549999999999999</v>
      </c>
      <c r="L50" s="267">
        <f t="shared" si="11"/>
        <v>0.26374999999999998</v>
      </c>
      <c r="M50" s="433">
        <f t="shared" si="12"/>
        <v>52.75</v>
      </c>
      <c r="N50" s="434">
        <v>200</v>
      </c>
      <c r="O50" s="435">
        <f t="shared" si="13"/>
        <v>0.26374999999999998</v>
      </c>
    </row>
    <row r="51" spans="1:15" ht="15">
      <c r="A51" s="652"/>
      <c r="B51" s="654"/>
      <c r="C51" s="13" t="s">
        <v>1034</v>
      </c>
      <c r="D51" s="13">
        <v>109</v>
      </c>
      <c r="E51" s="637"/>
      <c r="F51" s="13" t="s">
        <v>10</v>
      </c>
      <c r="G51" s="28">
        <v>27</v>
      </c>
      <c r="H51" s="440">
        <v>10</v>
      </c>
      <c r="I51" s="28">
        <v>1</v>
      </c>
      <c r="J51" s="441">
        <f t="shared" si="10"/>
        <v>0.37037037037037035</v>
      </c>
      <c r="K51" s="436">
        <f>(955)/1000+0.1</f>
        <v>1.0549999999999999</v>
      </c>
      <c r="L51" s="435">
        <f t="shared" si="11"/>
        <v>0.39074074074074072</v>
      </c>
      <c r="M51" s="266">
        <f t="shared" si="12"/>
        <v>78.148148148148138</v>
      </c>
      <c r="N51" s="433">
        <v>200</v>
      </c>
      <c r="O51" s="435">
        <f t="shared" si="13"/>
        <v>0.39074074074074072</v>
      </c>
    </row>
    <row r="52" spans="1:15" ht="15">
      <c r="A52" s="642" t="s">
        <v>437</v>
      </c>
      <c r="B52" s="639" t="s">
        <v>439</v>
      </c>
      <c r="C52" s="13" t="s">
        <v>1033</v>
      </c>
      <c r="D52" s="54">
        <v>107</v>
      </c>
      <c r="E52" s="645" t="s">
        <v>43</v>
      </c>
      <c r="F52" s="13" t="s">
        <v>10</v>
      </c>
      <c r="G52" s="28">
        <v>40</v>
      </c>
      <c r="H52" s="440">
        <v>10</v>
      </c>
      <c r="I52" s="28">
        <v>1</v>
      </c>
      <c r="J52" s="441">
        <f t="shared" si="10"/>
        <v>0.25</v>
      </c>
      <c r="K52" s="436">
        <f>955/1000+0.1</f>
        <v>1.0549999999999999</v>
      </c>
      <c r="L52" s="267">
        <f t="shared" si="11"/>
        <v>0.26374999999999998</v>
      </c>
      <c r="M52" s="433">
        <f t="shared" si="12"/>
        <v>52.75</v>
      </c>
      <c r="N52" s="434">
        <v>200</v>
      </c>
      <c r="O52" s="435">
        <f t="shared" si="13"/>
        <v>0.26374999999999998</v>
      </c>
    </row>
    <row r="53" spans="1:15" ht="15">
      <c r="A53" s="643"/>
      <c r="B53" s="640"/>
      <c r="C53" s="13" t="s">
        <v>1035</v>
      </c>
      <c r="D53" s="274">
        <v>107</v>
      </c>
      <c r="E53" s="646"/>
      <c r="F53" s="13" t="s">
        <v>10</v>
      </c>
      <c r="G53" s="28">
        <v>25</v>
      </c>
      <c r="H53" s="440">
        <v>10</v>
      </c>
      <c r="I53" s="28">
        <v>1</v>
      </c>
      <c r="J53" s="453">
        <f t="shared" si="10"/>
        <v>0.40</v>
      </c>
      <c r="K53" s="436">
        <f>(955)/1000</f>
        <v>0.955</v>
      </c>
      <c r="L53" s="267">
        <f t="shared" si="11"/>
        <v>0.38200000000000001</v>
      </c>
      <c r="M53" s="433">
        <f t="shared" si="12"/>
        <v>67.231999999999999</v>
      </c>
      <c r="N53" s="434">
        <v>176</v>
      </c>
      <c r="O53" s="435">
        <f t="shared" si="13"/>
        <v>0.38200000000000001</v>
      </c>
    </row>
    <row r="54" spans="1:15" ht="15">
      <c r="A54" s="644"/>
      <c r="B54" s="641"/>
      <c r="C54" s="13" t="s">
        <v>1036</v>
      </c>
      <c r="D54" s="90">
        <v>107</v>
      </c>
      <c r="E54" s="647"/>
      <c r="F54" s="13" t="s">
        <v>10</v>
      </c>
      <c r="G54" s="28">
        <v>28.50</v>
      </c>
      <c r="H54" s="440">
        <v>10</v>
      </c>
      <c r="I54" s="28">
        <v>1</v>
      </c>
      <c r="J54" s="453">
        <f t="shared" si="10"/>
        <v>0.35087719298245612</v>
      </c>
      <c r="K54" s="436">
        <f>(955)/1000+0.1</f>
        <v>1.0549999999999999</v>
      </c>
      <c r="L54" s="267">
        <f t="shared" si="11"/>
        <v>0.37017543859649121</v>
      </c>
      <c r="M54" s="433">
        <f t="shared" si="12"/>
        <v>74.035087719298247</v>
      </c>
      <c r="N54" s="434">
        <v>200</v>
      </c>
      <c r="O54" s="435">
        <f t="shared" si="13"/>
        <v>0.37017543859649121</v>
      </c>
    </row>
    <row r="55" spans="1:15" ht="15">
      <c r="A55" s="57" t="s">
        <v>348</v>
      </c>
      <c r="B55" s="56" t="s">
        <v>1007</v>
      </c>
      <c r="C55" s="13" t="s">
        <v>523</v>
      </c>
      <c r="D55" s="13">
        <v>224</v>
      </c>
      <c r="E55" s="13"/>
      <c r="F55" s="13"/>
      <c r="G55" s="28">
        <v>60</v>
      </c>
      <c r="H55" s="440">
        <v>10</v>
      </c>
      <c r="I55" s="28">
        <v>1</v>
      </c>
      <c r="J55" s="441">
        <f t="shared" si="10"/>
        <v>0.16666666666666666</v>
      </c>
      <c r="K55" s="432">
        <v>3</v>
      </c>
      <c r="L55" s="435">
        <f t="shared" si="11"/>
        <v>0.50</v>
      </c>
      <c r="M55" s="266">
        <f t="shared" si="12"/>
        <v>100</v>
      </c>
      <c r="N55" s="433">
        <v>200</v>
      </c>
      <c r="O55" s="435">
        <f t="shared" si="13"/>
        <v>0.50</v>
      </c>
    </row>
    <row r="56" spans="1:15" ht="15">
      <c r="A56" s="57" t="s">
        <v>325</v>
      </c>
      <c r="B56" s="56" t="s">
        <v>327</v>
      </c>
      <c r="C56" s="13" t="s">
        <v>326</v>
      </c>
      <c r="D56" s="13">
        <v>112</v>
      </c>
      <c r="E56" s="13"/>
      <c r="F56" s="13" t="s">
        <v>513</v>
      </c>
      <c r="G56" s="28">
        <v>20</v>
      </c>
      <c r="H56" s="440">
        <v>10</v>
      </c>
      <c r="I56" s="28">
        <v>2</v>
      </c>
      <c r="J56" s="441">
        <f t="shared" si="10"/>
        <v>1</v>
      </c>
      <c r="K56" s="432">
        <v>1</v>
      </c>
      <c r="L56" s="435">
        <f t="shared" si="11"/>
        <v>1</v>
      </c>
      <c r="M56" s="266">
        <f t="shared" si="12"/>
        <v>200</v>
      </c>
      <c r="N56" s="433">
        <v>200</v>
      </c>
      <c r="O56" s="435">
        <f t="shared" si="13"/>
        <v>0.50</v>
      </c>
    </row>
    <row r="57" spans="1:15" ht="15">
      <c r="A57" s="637" t="s">
        <v>197</v>
      </c>
      <c r="B57" s="638" t="s">
        <v>110</v>
      </c>
      <c r="C57" s="13" t="s">
        <v>47</v>
      </c>
      <c r="D57" s="13">
        <v>112</v>
      </c>
      <c r="E57" s="13"/>
      <c r="F57" s="4" t="s">
        <v>111</v>
      </c>
      <c r="G57" s="28">
        <v>20</v>
      </c>
      <c r="H57" s="440">
        <v>10</v>
      </c>
      <c r="I57" s="28">
        <v>2</v>
      </c>
      <c r="J57" s="441">
        <f t="shared" si="10"/>
        <v>1</v>
      </c>
      <c r="K57" s="28">
        <v>1</v>
      </c>
      <c r="L57" s="267">
        <f t="shared" si="11"/>
        <v>1</v>
      </c>
      <c r="M57" s="433">
        <f t="shared" si="12"/>
        <v>200</v>
      </c>
      <c r="N57" s="434">
        <v>200</v>
      </c>
      <c r="O57" s="435">
        <f t="shared" si="13"/>
        <v>0.50</v>
      </c>
    </row>
    <row r="58" spans="1:15" ht="15">
      <c r="A58" s="637"/>
      <c r="B58" s="638"/>
      <c r="C58" s="13" t="s">
        <v>48</v>
      </c>
      <c r="D58" s="13">
        <v>112</v>
      </c>
      <c r="E58" s="13" t="s">
        <v>46</v>
      </c>
      <c r="F58" s="13" t="s">
        <v>10</v>
      </c>
      <c r="G58" s="28">
        <v>40</v>
      </c>
      <c r="H58" s="440">
        <v>10</v>
      </c>
      <c r="I58" s="28">
        <v>1</v>
      </c>
      <c r="J58" s="441">
        <f t="shared" si="10"/>
        <v>0.25</v>
      </c>
      <c r="K58" s="436">
        <f>((1280*2+147)+618+618*2)/1000</f>
        <v>4.5609999999999999</v>
      </c>
      <c r="L58" s="267">
        <f t="shared" si="11"/>
        <v>1.14025</v>
      </c>
      <c r="M58" s="433">
        <f t="shared" si="12"/>
        <v>228.05</v>
      </c>
      <c r="N58" s="434">
        <v>200</v>
      </c>
      <c r="O58" s="435">
        <f t="shared" si="13"/>
        <v>1.14025</v>
      </c>
    </row>
    <row r="59" spans="1:15" ht="15">
      <c r="A59" s="54" t="s">
        <v>888</v>
      </c>
      <c r="B59" s="56" t="s">
        <v>1037</v>
      </c>
      <c r="C59" s="13" t="s">
        <v>862</v>
      </c>
      <c r="D59" s="13">
        <v>224</v>
      </c>
      <c r="E59" s="13"/>
      <c r="F59" s="17"/>
      <c r="G59" s="28">
        <f>(600-25)/10</f>
        <v>57.50</v>
      </c>
      <c r="H59" s="440">
        <v>10</v>
      </c>
      <c r="I59" s="28">
        <v>2</v>
      </c>
      <c r="J59" s="441">
        <f t="shared" si="10"/>
        <v>0.34782608695652173</v>
      </c>
      <c r="K59" s="28">
        <v>1</v>
      </c>
      <c r="L59" s="267">
        <f t="shared" si="11"/>
        <v>0.34782608695652173</v>
      </c>
      <c r="M59" s="433">
        <f t="shared" si="12"/>
        <v>69.565217391304344</v>
      </c>
      <c r="N59" s="434">
        <v>200</v>
      </c>
      <c r="O59" s="435">
        <f t="shared" si="13"/>
        <v>0.17391304347826086</v>
      </c>
    </row>
    <row r="60" spans="1:15" ht="15">
      <c r="A60" s="13" t="s">
        <v>199</v>
      </c>
      <c r="B60" s="27" t="s">
        <v>890</v>
      </c>
      <c r="C60" s="13" t="s">
        <v>47</v>
      </c>
      <c r="D60" s="13">
        <v>112</v>
      </c>
      <c r="E60" s="13"/>
      <c r="F60" s="4" t="s">
        <v>870</v>
      </c>
      <c r="G60" s="28">
        <v>16</v>
      </c>
      <c r="H60" s="440">
        <v>10</v>
      </c>
      <c r="I60" s="28">
        <v>2</v>
      </c>
      <c r="J60" s="441">
        <f t="shared" si="10"/>
        <v>1.25</v>
      </c>
      <c r="K60" s="28">
        <v>1</v>
      </c>
      <c r="L60" s="267">
        <f t="shared" si="11"/>
        <v>1.25</v>
      </c>
      <c r="M60" s="433">
        <f t="shared" si="12"/>
        <v>250</v>
      </c>
      <c r="N60" s="434">
        <v>200</v>
      </c>
      <c r="O60" s="435">
        <f t="shared" si="13"/>
        <v>0.625</v>
      </c>
    </row>
    <row r="61" spans="1:15" ht="15">
      <c r="A61" s="39"/>
      <c r="B61" s="649" t="s">
        <v>132</v>
      </c>
      <c r="C61" s="649"/>
      <c r="D61" s="649"/>
      <c r="E61" s="649"/>
      <c r="F61" s="649"/>
      <c r="G61" s="649"/>
      <c r="H61" s="649"/>
      <c r="I61" s="649"/>
      <c r="J61" s="649"/>
      <c r="K61" s="649"/>
      <c r="L61" s="267"/>
      <c r="M61" s="262">
        <f>SUM(M62:M73)</f>
        <v>4708.979943742017</v>
      </c>
      <c r="N61" s="263"/>
      <c r="O61" s="264">
        <f>SUM(O62:O73)</f>
        <v>17.1300092316228</v>
      </c>
    </row>
    <row r="62" spans="1:15" ht="15">
      <c r="A62" s="650" t="s">
        <v>200</v>
      </c>
      <c r="B62" s="638" t="s">
        <v>871</v>
      </c>
      <c r="C62" s="13" t="s">
        <v>872</v>
      </c>
      <c r="D62" s="13">
        <v>224</v>
      </c>
      <c r="E62" s="13"/>
      <c r="F62" s="13" t="s">
        <v>353</v>
      </c>
      <c r="G62" s="442">
        <f>600/10</f>
        <v>60</v>
      </c>
      <c r="H62" s="440">
        <v>10</v>
      </c>
      <c r="I62" s="28">
        <v>1</v>
      </c>
      <c r="J62" s="441">
        <f t="shared" si="14" ref="J62:J73">H62/G62*I62</f>
        <v>0.16666666666666666</v>
      </c>
      <c r="K62" s="432">
        <v>2</v>
      </c>
      <c r="L62" s="435">
        <f t="shared" si="15" ref="L62:L65">J62*K62</f>
        <v>0.33333333333333331</v>
      </c>
      <c r="M62" s="266">
        <f t="shared" si="16" ref="M62:M73">L62*N62</f>
        <v>66.666666666666657</v>
      </c>
      <c r="N62" s="433">
        <v>200</v>
      </c>
      <c r="O62" s="435">
        <f t="shared" si="17" ref="O62:O73">J62/I62*K62</f>
        <v>0.33333333333333331</v>
      </c>
    </row>
    <row r="63" spans="1:15" ht="15">
      <c r="A63" s="650"/>
      <c r="B63" s="638"/>
      <c r="C63" s="13" t="s">
        <v>874</v>
      </c>
      <c r="D63" s="13">
        <v>224</v>
      </c>
      <c r="E63" s="13"/>
      <c r="F63" s="13" t="s">
        <v>353</v>
      </c>
      <c r="G63" s="442">
        <v>120</v>
      </c>
      <c r="H63" s="440">
        <v>10</v>
      </c>
      <c r="I63" s="28">
        <v>1</v>
      </c>
      <c r="J63" s="441">
        <f t="shared" si="14"/>
        <v>0.083333333333333329</v>
      </c>
      <c r="K63" s="432">
        <v>2</v>
      </c>
      <c r="L63" s="435">
        <f t="shared" si="15"/>
        <v>0.16666666666666666</v>
      </c>
      <c r="M63" s="266">
        <f t="shared" si="16"/>
        <v>33.333333333333329</v>
      </c>
      <c r="N63" s="433">
        <v>200</v>
      </c>
      <c r="O63" s="435">
        <f t="shared" si="17"/>
        <v>0.16666666666666666</v>
      </c>
    </row>
    <row r="64" spans="1:15" ht="15">
      <c r="A64" s="650"/>
      <c r="B64" s="638"/>
      <c r="C64" s="13" t="s">
        <v>873</v>
      </c>
      <c r="D64" s="13">
        <v>224</v>
      </c>
      <c r="E64" s="13"/>
      <c r="F64" s="13" t="s">
        <v>353</v>
      </c>
      <c r="G64" s="442">
        <f>600/5</f>
        <v>120</v>
      </c>
      <c r="H64" s="440">
        <v>10</v>
      </c>
      <c r="I64" s="28">
        <v>1</v>
      </c>
      <c r="J64" s="441">
        <f t="shared" si="14"/>
        <v>0.083333333333333329</v>
      </c>
      <c r="K64" s="432">
        <v>2</v>
      </c>
      <c r="L64" s="435">
        <f t="shared" si="15"/>
        <v>0.16666666666666666</v>
      </c>
      <c r="M64" s="266">
        <f t="shared" si="16"/>
        <v>33.333333333333329</v>
      </c>
      <c r="N64" s="433">
        <v>200</v>
      </c>
      <c r="O64" s="435">
        <f t="shared" si="17"/>
        <v>0.16666666666666666</v>
      </c>
    </row>
    <row r="65" spans="1:15" ht="15">
      <c r="A65" s="57" t="s">
        <v>662</v>
      </c>
      <c r="B65" s="56" t="s">
        <v>1039</v>
      </c>
      <c r="C65" s="13" t="s">
        <v>862</v>
      </c>
      <c r="D65" s="13">
        <v>224</v>
      </c>
      <c r="E65" s="13"/>
      <c r="F65" s="17"/>
      <c r="G65" s="442">
        <f>(600-25)/10</f>
        <v>57.50</v>
      </c>
      <c r="H65" s="440">
        <v>10</v>
      </c>
      <c r="I65" s="28">
        <v>2</v>
      </c>
      <c r="J65" s="441">
        <f t="shared" si="14"/>
        <v>0.34782608695652173</v>
      </c>
      <c r="K65" s="28">
        <v>1</v>
      </c>
      <c r="L65" s="267">
        <f t="shared" si="15"/>
        <v>0.34782608695652173</v>
      </c>
      <c r="M65" s="433">
        <f t="shared" si="16"/>
        <v>69.565217391304344</v>
      </c>
      <c r="N65" s="434">
        <v>200</v>
      </c>
      <c r="O65" s="435">
        <f t="shared" si="17"/>
        <v>0.17391304347826086</v>
      </c>
    </row>
    <row r="66" spans="1:15" ht="15">
      <c r="A66" s="13" t="s">
        <v>205</v>
      </c>
      <c r="B66" s="27" t="s">
        <v>875</v>
      </c>
      <c r="C66" s="13" t="s">
        <v>138</v>
      </c>
      <c r="D66" s="13">
        <v>117</v>
      </c>
      <c r="E66" s="13"/>
      <c r="F66" s="4" t="s">
        <v>13</v>
      </c>
      <c r="G66" s="442">
        <f>1.9*1.4</f>
        <v>2.6599999999999997</v>
      </c>
      <c r="H66" s="440">
        <v>10</v>
      </c>
      <c r="I66" s="28">
        <v>2</v>
      </c>
      <c r="J66" s="441">
        <f t="shared" si="14"/>
        <v>7.5187969924812039</v>
      </c>
      <c r="K66" s="28">
        <v>1</v>
      </c>
      <c r="L66" s="267">
        <f>J66*K66</f>
        <v>7.5187969924812039</v>
      </c>
      <c r="M66" s="433">
        <f t="shared" si="16"/>
        <v>1503.7593984962407</v>
      </c>
      <c r="N66" s="434">
        <v>200</v>
      </c>
      <c r="O66" s="435">
        <f t="shared" si="17"/>
        <v>3.759398496240602</v>
      </c>
    </row>
    <row r="67" spans="1:15" ht="15">
      <c r="A67" s="13" t="s">
        <v>877</v>
      </c>
      <c r="B67" s="27" t="s">
        <v>876</v>
      </c>
      <c r="C67" s="13" t="s">
        <v>160</v>
      </c>
      <c r="D67" s="13">
        <v>117</v>
      </c>
      <c r="E67" s="13"/>
      <c r="F67" s="4" t="s">
        <v>13</v>
      </c>
      <c r="G67" s="442">
        <v>40</v>
      </c>
      <c r="H67" s="440">
        <v>10</v>
      </c>
      <c r="I67" s="28">
        <v>1</v>
      </c>
      <c r="J67" s="441">
        <f t="shared" si="14"/>
        <v>0.25</v>
      </c>
      <c r="K67" s="442">
        <f>(2844+2503+2470+816+16*3.1415*8+219*3.1415+30*3)/1000</f>
        <v>9.8131004999999991</v>
      </c>
      <c r="L67" s="267">
        <f>J67*K67</f>
        <v>2.4532751249999998</v>
      </c>
      <c r="M67" s="433">
        <f t="shared" si="16"/>
        <v>490.65502499999997</v>
      </c>
      <c r="N67" s="434">
        <v>200</v>
      </c>
      <c r="O67" s="435">
        <f t="shared" si="17"/>
        <v>2.4532751249999998</v>
      </c>
    </row>
    <row r="68" spans="1:15" ht="15">
      <c r="A68" s="13" t="s">
        <v>206</v>
      </c>
      <c r="B68" s="27" t="s">
        <v>94</v>
      </c>
      <c r="C68" s="13" t="s">
        <v>160</v>
      </c>
      <c r="D68" s="13">
        <v>114</v>
      </c>
      <c r="E68" s="13"/>
      <c r="F68" s="4" t="s">
        <v>13</v>
      </c>
      <c r="G68" s="442">
        <v>40</v>
      </c>
      <c r="H68" s="440">
        <v>10</v>
      </c>
      <c r="I68" s="28">
        <v>1</v>
      </c>
      <c r="J68" s="441">
        <f t="shared" si="14"/>
        <v>0.25</v>
      </c>
      <c r="K68" s="442">
        <f>(2844*2+120*3+16*3.1415*8+219*3.1415+2154+2660+2698+19*3.1415*2+23*3.1415*2+2470)/1000</f>
        <v>17.383986499999999</v>
      </c>
      <c r="L68" s="267">
        <f>J68*K68</f>
        <v>4.3459966249999997</v>
      </c>
      <c r="M68" s="433">
        <f t="shared" si="16"/>
        <v>869.19932499999993</v>
      </c>
      <c r="N68" s="434">
        <v>200</v>
      </c>
      <c r="O68" s="435">
        <f t="shared" si="17"/>
        <v>4.3459966249999997</v>
      </c>
    </row>
    <row r="69" spans="1:15" ht="15">
      <c r="A69" s="13" t="s">
        <v>207</v>
      </c>
      <c r="B69" s="56" t="s">
        <v>55</v>
      </c>
      <c r="C69" s="13" t="s">
        <v>29</v>
      </c>
      <c r="D69" s="13">
        <v>120</v>
      </c>
      <c r="E69" s="13"/>
      <c r="F69" s="13" t="s">
        <v>13</v>
      </c>
      <c r="G69" s="442">
        <v>16</v>
      </c>
      <c r="H69" s="440">
        <v>10</v>
      </c>
      <c r="I69" s="28">
        <v>1</v>
      </c>
      <c r="J69" s="441">
        <f t="shared" si="14"/>
        <v>0.625</v>
      </c>
      <c r="K69" s="28">
        <v>1</v>
      </c>
      <c r="L69" s="267">
        <f t="shared" si="18" ref="L69:L72">J69*K69</f>
        <v>0.625</v>
      </c>
      <c r="M69" s="433">
        <f t="shared" si="16"/>
        <v>110</v>
      </c>
      <c r="N69" s="434">
        <v>176</v>
      </c>
      <c r="O69" s="435">
        <f t="shared" si="17"/>
        <v>0.625</v>
      </c>
    </row>
    <row r="70" spans="1:15" ht="15">
      <c r="A70" s="13" t="s">
        <v>208</v>
      </c>
      <c r="B70" s="56" t="s">
        <v>56</v>
      </c>
      <c r="C70" s="13" t="s">
        <v>29</v>
      </c>
      <c r="D70" s="13">
        <v>120</v>
      </c>
      <c r="E70" s="13"/>
      <c r="F70" s="13" t="s">
        <v>13</v>
      </c>
      <c r="G70" s="442">
        <v>16</v>
      </c>
      <c r="H70" s="440">
        <v>10</v>
      </c>
      <c r="I70" s="28">
        <v>1</v>
      </c>
      <c r="J70" s="441">
        <f t="shared" si="14"/>
        <v>0.625</v>
      </c>
      <c r="K70" s="28">
        <v>1</v>
      </c>
      <c r="L70" s="267">
        <f t="shared" si="18"/>
        <v>0.625</v>
      </c>
      <c r="M70" s="433">
        <f t="shared" si="16"/>
        <v>110</v>
      </c>
      <c r="N70" s="434">
        <v>176</v>
      </c>
      <c r="O70" s="435">
        <f t="shared" si="17"/>
        <v>0.625</v>
      </c>
    </row>
    <row r="71" spans="1:16" ht="30">
      <c r="A71" s="13" t="s">
        <v>209</v>
      </c>
      <c r="B71" s="27" t="s">
        <v>892</v>
      </c>
      <c r="C71" s="13" t="s">
        <v>14</v>
      </c>
      <c r="D71" s="13">
        <v>119</v>
      </c>
      <c r="E71" s="13"/>
      <c r="F71" s="13" t="s">
        <v>58</v>
      </c>
      <c r="G71" s="442">
        <v>61</v>
      </c>
      <c r="H71" s="440">
        <v>10</v>
      </c>
      <c r="I71" s="28">
        <v>1</v>
      </c>
      <c r="J71" s="441">
        <f t="shared" si="14"/>
        <v>0.16393442622950818</v>
      </c>
      <c r="K71" s="28">
        <v>1.28</v>
      </c>
      <c r="L71" s="267">
        <f t="shared" si="18"/>
        <v>0.20983606557377049</v>
      </c>
      <c r="M71" s="433">
        <f t="shared" si="16"/>
        <v>41.967213114754095</v>
      </c>
      <c r="N71" s="434">
        <v>200</v>
      </c>
      <c r="O71" s="435">
        <f t="shared" si="17"/>
        <v>0.20983606557377049</v>
      </c>
      <c r="P71" s="22"/>
    </row>
    <row r="72" spans="1:16" ht="30">
      <c r="A72" s="13" t="s">
        <v>210</v>
      </c>
      <c r="B72" s="27" t="s">
        <v>114</v>
      </c>
      <c r="C72" s="13" t="s">
        <v>54</v>
      </c>
      <c r="D72" s="13">
        <v>116</v>
      </c>
      <c r="E72" s="13"/>
      <c r="F72" s="13" t="s">
        <v>13</v>
      </c>
      <c r="G72" s="442">
        <v>3.80</v>
      </c>
      <c r="H72" s="440">
        <v>10</v>
      </c>
      <c r="I72" s="28">
        <v>2</v>
      </c>
      <c r="J72" s="441">
        <f t="shared" si="14"/>
        <v>5.2631578947368425</v>
      </c>
      <c r="K72" s="28">
        <v>1</v>
      </c>
      <c r="L72" s="267">
        <f t="shared" si="18"/>
        <v>5.2631578947368425</v>
      </c>
      <c r="M72" s="433">
        <f t="shared" si="16"/>
        <v>1052.6315789473686</v>
      </c>
      <c r="N72" s="434">
        <v>200</v>
      </c>
      <c r="O72" s="435">
        <f t="shared" si="17"/>
        <v>2.6315789473684212</v>
      </c>
      <c r="P72" s="22"/>
    </row>
    <row r="73" spans="1:15" ht="30">
      <c r="A73" s="13" t="s">
        <v>211</v>
      </c>
      <c r="B73" s="56" t="s">
        <v>60</v>
      </c>
      <c r="C73" s="13" t="s">
        <v>14</v>
      </c>
      <c r="D73" s="13">
        <v>226</v>
      </c>
      <c r="E73" s="13"/>
      <c r="F73" s="4" t="s">
        <v>58</v>
      </c>
      <c r="G73" s="442">
        <v>6.10</v>
      </c>
      <c r="H73" s="440">
        <v>10</v>
      </c>
      <c r="I73" s="28">
        <v>1</v>
      </c>
      <c r="J73" s="441">
        <f t="shared" si="14"/>
        <v>1.639344262295082</v>
      </c>
      <c r="K73" s="28">
        <v>1</v>
      </c>
      <c r="L73" s="267">
        <f>J73*K73</f>
        <v>1.639344262295082</v>
      </c>
      <c r="M73" s="433">
        <f t="shared" si="16"/>
        <v>327.86885245901641</v>
      </c>
      <c r="N73" s="434">
        <v>200</v>
      </c>
      <c r="O73" s="435">
        <f t="shared" si="17"/>
        <v>1.639344262295082</v>
      </c>
    </row>
    <row r="74" spans="1:15" ht="15">
      <c r="A74" s="39"/>
      <c r="B74" s="649" t="s">
        <v>140</v>
      </c>
      <c r="C74" s="649"/>
      <c r="D74" s="649"/>
      <c r="E74" s="649"/>
      <c r="F74" s="649"/>
      <c r="G74" s="649"/>
      <c r="H74" s="649"/>
      <c r="I74" s="649"/>
      <c r="J74" s="649"/>
      <c r="K74" s="649"/>
      <c r="L74" s="267"/>
      <c r="M74" s="262">
        <f>SUM(M75:M80)</f>
        <v>2050.2962072115611</v>
      </c>
      <c r="N74" s="263"/>
      <c r="O74" s="264">
        <f>SUM(O75:O80)</f>
        <v>6.7023523514064554</v>
      </c>
    </row>
    <row r="75" spans="1:15" ht="15">
      <c r="A75" s="57" t="s">
        <v>893</v>
      </c>
      <c r="B75" s="27" t="s">
        <v>881</v>
      </c>
      <c r="C75" s="13" t="s">
        <v>880</v>
      </c>
      <c r="D75" s="13">
        <v>224</v>
      </c>
      <c r="E75" s="13"/>
      <c r="F75" s="13" t="s">
        <v>353</v>
      </c>
      <c r="G75" s="436">
        <f>600/20</f>
        <v>30</v>
      </c>
      <c r="H75" s="440">
        <v>10</v>
      </c>
      <c r="I75" s="28">
        <v>1</v>
      </c>
      <c r="J75" s="441">
        <f t="shared" si="19" ref="J75:J80">H75/G75*I75</f>
        <v>0.33333333333333331</v>
      </c>
      <c r="K75" s="432">
        <v>1</v>
      </c>
      <c r="L75" s="435">
        <f t="shared" si="20" ref="L75:L80">J75*K75</f>
        <v>0.33333333333333331</v>
      </c>
      <c r="M75" s="266">
        <f t="shared" si="21" ref="M75:M80">L75*N75</f>
        <v>66.666666666666657</v>
      </c>
      <c r="N75" s="433">
        <v>200</v>
      </c>
      <c r="O75" s="435">
        <f t="shared" si="22" ref="O75:O80">J75/I75*K75</f>
        <v>0.33333333333333331</v>
      </c>
    </row>
    <row r="76" spans="1:15" ht="15">
      <c r="A76" s="57" t="s">
        <v>212</v>
      </c>
      <c r="B76" s="56" t="s">
        <v>1037</v>
      </c>
      <c r="C76" s="13" t="s">
        <v>862</v>
      </c>
      <c r="D76" s="13">
        <v>224</v>
      </c>
      <c r="E76" s="13"/>
      <c r="F76" s="17"/>
      <c r="G76" s="28">
        <f>(600-25)/10</f>
        <v>57.50</v>
      </c>
      <c r="H76" s="440">
        <v>10</v>
      </c>
      <c r="I76" s="28">
        <v>2</v>
      </c>
      <c r="J76" s="441">
        <f t="shared" si="19"/>
        <v>0.34782608695652173</v>
      </c>
      <c r="K76" s="28">
        <v>1</v>
      </c>
      <c r="L76" s="267">
        <f t="shared" si="20"/>
        <v>0.34782608695652173</v>
      </c>
      <c r="M76" s="433">
        <f t="shared" si="21"/>
        <v>69.565217391304344</v>
      </c>
      <c r="N76" s="434">
        <v>200</v>
      </c>
      <c r="O76" s="435">
        <f t="shared" si="22"/>
        <v>0.17391304347826086</v>
      </c>
    </row>
    <row r="77" spans="1:15" ht="15">
      <c r="A77" s="57" t="s">
        <v>878</v>
      </c>
      <c r="B77" s="27" t="s">
        <v>882</v>
      </c>
      <c r="C77" s="13" t="s">
        <v>917</v>
      </c>
      <c r="D77" s="13">
        <v>117</v>
      </c>
      <c r="E77" s="13"/>
      <c r="F77" s="13" t="s">
        <v>353</v>
      </c>
      <c r="G77" s="28">
        <v>60</v>
      </c>
      <c r="H77" s="440">
        <v>10</v>
      </c>
      <c r="I77" s="28">
        <v>1</v>
      </c>
      <c r="J77" s="441">
        <f t="shared" si="19"/>
        <v>0.16666666666666666</v>
      </c>
      <c r="K77" s="432">
        <v>1</v>
      </c>
      <c r="L77" s="435">
        <f t="shared" si="20"/>
        <v>0.16666666666666666</v>
      </c>
      <c r="M77" s="266">
        <f t="shared" si="21"/>
        <v>33.333333333333329</v>
      </c>
      <c r="N77" s="433">
        <v>200</v>
      </c>
      <c r="O77" s="435">
        <f t="shared" si="22"/>
        <v>0.16666666666666666</v>
      </c>
    </row>
    <row r="78" spans="1:15" ht="15">
      <c r="A78" s="57" t="s">
        <v>214</v>
      </c>
      <c r="B78" s="56" t="s">
        <v>883</v>
      </c>
      <c r="C78" s="13" t="s">
        <v>33</v>
      </c>
      <c r="D78" s="13">
        <v>118</v>
      </c>
      <c r="E78" s="13"/>
      <c r="F78" s="13" t="s">
        <v>510</v>
      </c>
      <c r="G78" s="28">
        <v>40</v>
      </c>
      <c r="H78" s="440">
        <v>10</v>
      </c>
      <c r="I78" s="28">
        <v>2</v>
      </c>
      <c r="J78" s="441">
        <f t="shared" si="19"/>
        <v>0.50</v>
      </c>
      <c r="K78" s="432">
        <v>2</v>
      </c>
      <c r="L78" s="267">
        <f t="shared" si="20"/>
        <v>1</v>
      </c>
      <c r="M78" s="433">
        <f t="shared" si="21"/>
        <v>200</v>
      </c>
      <c r="N78" s="434">
        <v>200</v>
      </c>
      <c r="O78" s="435">
        <f t="shared" si="22"/>
        <v>0.50</v>
      </c>
    </row>
    <row r="79" spans="1:15" ht="15">
      <c r="A79" s="13" t="s">
        <v>219</v>
      </c>
      <c r="B79" s="56" t="s">
        <v>91</v>
      </c>
      <c r="C79" s="13" t="s">
        <v>54</v>
      </c>
      <c r="D79" s="13">
        <v>118</v>
      </c>
      <c r="E79" s="13"/>
      <c r="F79" s="4" t="s">
        <v>59</v>
      </c>
      <c r="G79" s="436">
        <v>3.4780000000000002</v>
      </c>
      <c r="H79" s="440">
        <v>10</v>
      </c>
      <c r="I79" s="28">
        <v>2</v>
      </c>
      <c r="J79" s="441">
        <f t="shared" si="19"/>
        <v>5.7504312823461756</v>
      </c>
      <c r="K79" s="432">
        <v>1</v>
      </c>
      <c r="L79" s="267">
        <f t="shared" si="20"/>
        <v>5.7504312823461756</v>
      </c>
      <c r="M79" s="433">
        <f t="shared" si="21"/>
        <v>1150.0862564692352</v>
      </c>
      <c r="N79" s="434">
        <v>200</v>
      </c>
      <c r="O79" s="435">
        <f t="shared" si="22"/>
        <v>2.8752156411730878</v>
      </c>
    </row>
    <row r="80" spans="1:15" ht="15">
      <c r="A80" s="13" t="s">
        <v>220</v>
      </c>
      <c r="B80" s="56" t="s">
        <v>92</v>
      </c>
      <c r="C80" s="13" t="s">
        <v>54</v>
      </c>
      <c r="D80" s="13">
        <v>118</v>
      </c>
      <c r="E80" s="13"/>
      <c r="F80" s="4" t="s">
        <v>59</v>
      </c>
      <c r="G80" s="436">
        <v>3.7690000000000001</v>
      </c>
      <c r="H80" s="440">
        <v>10</v>
      </c>
      <c r="I80" s="28">
        <v>1</v>
      </c>
      <c r="J80" s="441">
        <f t="shared" si="19"/>
        <v>2.6532236667551072</v>
      </c>
      <c r="K80" s="432">
        <v>1</v>
      </c>
      <c r="L80" s="267">
        <f t="shared" si="20"/>
        <v>2.6532236667551072</v>
      </c>
      <c r="M80" s="433">
        <f t="shared" si="21"/>
        <v>530.6447333510215</v>
      </c>
      <c r="N80" s="434">
        <v>200</v>
      </c>
      <c r="O80" s="435">
        <f t="shared" si="22"/>
        <v>2.6532236667551072</v>
      </c>
    </row>
    <row r="81" spans="1:15" ht="15">
      <c r="A81" s="39"/>
      <c r="B81" s="649" t="s">
        <v>135</v>
      </c>
      <c r="C81" s="649"/>
      <c r="D81" s="649"/>
      <c r="E81" s="649"/>
      <c r="F81" s="649"/>
      <c r="G81" s="649"/>
      <c r="H81" s="649"/>
      <c r="I81" s="649"/>
      <c r="J81" s="649"/>
      <c r="K81" s="649"/>
      <c r="L81" s="435"/>
      <c r="M81" s="262">
        <f>SUM(M82:M84)</f>
        <v>542.1416234887738</v>
      </c>
      <c r="N81" s="263"/>
      <c r="O81" s="264">
        <f>SUM(O82:O84)</f>
        <v>1.4607081174438687</v>
      </c>
    </row>
    <row r="82" spans="1:15" ht="15">
      <c r="A82" s="13" t="s">
        <v>136</v>
      </c>
      <c r="B82" s="56" t="s">
        <v>137</v>
      </c>
      <c r="C82" s="13" t="s">
        <v>138</v>
      </c>
      <c r="D82" s="13">
        <v>117</v>
      </c>
      <c r="E82" s="13"/>
      <c r="F82" s="4" t="s">
        <v>139</v>
      </c>
      <c r="G82" s="28">
        <v>10</v>
      </c>
      <c r="H82" s="440">
        <v>10</v>
      </c>
      <c r="I82" s="28">
        <v>2</v>
      </c>
      <c r="J82" s="441">
        <f>H82/G82*I82</f>
        <v>2</v>
      </c>
      <c r="K82" s="28">
        <v>1</v>
      </c>
      <c r="L82" s="435">
        <f t="shared" si="23" ref="L82:L84">J82*K82</f>
        <v>2</v>
      </c>
      <c r="M82" s="266">
        <f>L82*N82</f>
        <v>400</v>
      </c>
      <c r="N82" s="433">
        <v>200</v>
      </c>
      <c r="O82" s="435">
        <f>J82/I82*K82</f>
        <v>1</v>
      </c>
    </row>
    <row r="83" spans="1:15" ht="15">
      <c r="A83" s="13" t="s">
        <v>346</v>
      </c>
      <c r="B83" s="56" t="s">
        <v>347</v>
      </c>
      <c r="C83" s="13" t="s">
        <v>14</v>
      </c>
      <c r="D83" s="13">
        <v>226</v>
      </c>
      <c r="E83" s="13"/>
      <c r="F83" s="13" t="s">
        <v>58</v>
      </c>
      <c r="G83" s="28">
        <v>23.16</v>
      </c>
      <c r="H83" s="440">
        <v>10</v>
      </c>
      <c r="I83" s="28">
        <v>1</v>
      </c>
      <c r="J83" s="441">
        <f>H83/G83*I83</f>
        <v>0.43177892918825561</v>
      </c>
      <c r="K83" s="28">
        <f>0.122*4</f>
        <v>0.48799999999999999</v>
      </c>
      <c r="L83" s="435">
        <f t="shared" si="23"/>
        <v>0.21070811744386872</v>
      </c>
      <c r="M83" s="266">
        <f>L83*N83</f>
        <v>42.141623488773746</v>
      </c>
      <c r="N83" s="433">
        <v>200</v>
      </c>
      <c r="O83" s="435">
        <f>J83/I83*K83</f>
        <v>0.21070811744386872</v>
      </c>
    </row>
    <row r="84" spans="1:15" ht="15">
      <c r="A84" s="13" t="s">
        <v>344</v>
      </c>
      <c r="B84" s="56" t="s">
        <v>345</v>
      </c>
      <c r="C84" s="13" t="s">
        <v>24</v>
      </c>
      <c r="D84" s="13">
        <v>219</v>
      </c>
      <c r="E84" s="13"/>
      <c r="F84" s="4" t="s">
        <v>139</v>
      </c>
      <c r="G84" s="28">
        <v>40</v>
      </c>
      <c r="H84" s="440">
        <v>10</v>
      </c>
      <c r="I84" s="28">
        <v>2</v>
      </c>
      <c r="J84" s="441">
        <f>H84/G84*I84</f>
        <v>0.50</v>
      </c>
      <c r="K84" s="28">
        <v>1</v>
      </c>
      <c r="L84" s="435">
        <f t="shared" si="23"/>
        <v>0.50</v>
      </c>
      <c r="M84" s="266">
        <f>L84*N84</f>
        <v>100</v>
      </c>
      <c r="N84" s="433">
        <v>200</v>
      </c>
      <c r="O84" s="435">
        <f>J84/I84*K84</f>
        <v>0.25</v>
      </c>
    </row>
    <row r="85" spans="1:15" ht="15">
      <c r="A85" s="39"/>
      <c r="B85" s="649" t="s">
        <v>133</v>
      </c>
      <c r="C85" s="649"/>
      <c r="D85" s="649"/>
      <c r="E85" s="649"/>
      <c r="F85" s="649"/>
      <c r="G85" s="649"/>
      <c r="H85" s="649"/>
      <c r="I85" s="649"/>
      <c r="J85" s="649"/>
      <c r="K85" s="649"/>
      <c r="L85" s="267"/>
      <c r="M85" s="262">
        <f>SUM(M86:M130)</f>
        <v>12143.403958069403</v>
      </c>
      <c r="N85" s="263"/>
      <c r="O85" s="264">
        <f>SUM(O86:O130)</f>
        <v>37.628460709895748</v>
      </c>
    </row>
    <row r="86" spans="1:15" ht="15">
      <c r="A86" s="13" t="s">
        <v>221</v>
      </c>
      <c r="B86" s="56" t="s">
        <v>715</v>
      </c>
      <c r="C86" s="13" t="s">
        <v>24</v>
      </c>
      <c r="D86" s="13">
        <v>112</v>
      </c>
      <c r="E86" s="13"/>
      <c r="F86" s="13" t="s">
        <v>11</v>
      </c>
      <c r="G86" s="432">
        <v>10</v>
      </c>
      <c r="H86" s="440">
        <v>10</v>
      </c>
      <c r="I86" s="28">
        <v>2</v>
      </c>
      <c r="J86" s="441">
        <f t="shared" si="24" ref="J86:J130">H86/G86*I86</f>
        <v>2</v>
      </c>
      <c r="K86" s="28">
        <v>1</v>
      </c>
      <c r="L86" s="267">
        <f t="shared" si="25" ref="L86:L130">J86*K86</f>
        <v>2</v>
      </c>
      <c r="M86" s="433">
        <f t="shared" si="26" ref="M86:M130">L86*N86</f>
        <v>400</v>
      </c>
      <c r="N86" s="434">
        <v>200</v>
      </c>
      <c r="O86" s="435">
        <f t="shared" si="27" ref="O86:O130">J86/I86*K86</f>
        <v>1</v>
      </c>
    </row>
    <row r="87" spans="1:15" ht="30">
      <c r="A87" s="13" t="s">
        <v>225</v>
      </c>
      <c r="B87" s="27" t="s">
        <v>230</v>
      </c>
      <c r="C87" s="13" t="s">
        <v>226</v>
      </c>
      <c r="D87" s="13">
        <v>302</v>
      </c>
      <c r="E87" s="13"/>
      <c r="F87" s="13" t="s">
        <v>227</v>
      </c>
      <c r="G87" s="28">
        <f>600/2.5</f>
        <v>240</v>
      </c>
      <c r="H87" s="440">
        <v>10</v>
      </c>
      <c r="I87" s="28">
        <v>2</v>
      </c>
      <c r="J87" s="441">
        <f t="shared" si="24"/>
        <v>0.083333333333333329</v>
      </c>
      <c r="K87" s="28">
        <v>23</v>
      </c>
      <c r="L87" s="435">
        <f t="shared" si="25"/>
        <v>1.9166666666666665</v>
      </c>
      <c r="M87" s="433">
        <f t="shared" si="26"/>
        <v>383.33333333333331</v>
      </c>
      <c r="N87" s="433">
        <v>200</v>
      </c>
      <c r="O87" s="435">
        <f t="shared" si="27"/>
        <v>0.95833333333333326</v>
      </c>
    </row>
    <row r="88" spans="1:15" ht="30">
      <c r="A88" s="13" t="s">
        <v>228</v>
      </c>
      <c r="B88" s="27" t="s">
        <v>1282</v>
      </c>
      <c r="C88" s="13" t="s">
        <v>24</v>
      </c>
      <c r="D88" s="13">
        <v>110</v>
      </c>
      <c r="E88" s="13"/>
      <c r="F88" s="13" t="s">
        <v>63</v>
      </c>
      <c r="G88" s="28">
        <f>10*40</f>
        <v>400</v>
      </c>
      <c r="H88" s="440">
        <v>10</v>
      </c>
      <c r="I88" s="28">
        <v>2</v>
      </c>
      <c r="J88" s="441">
        <f t="shared" si="24"/>
        <v>0.05</v>
      </c>
      <c r="K88" s="28">
        <v>23</v>
      </c>
      <c r="L88" s="435">
        <f t="shared" si="25"/>
        <v>1.1500000000000001</v>
      </c>
      <c r="M88" s="433">
        <f t="shared" si="26"/>
        <v>174.80</v>
      </c>
      <c r="N88" s="433">
        <v>152</v>
      </c>
      <c r="O88" s="435">
        <f t="shared" si="27"/>
        <v>0.57500000000000007</v>
      </c>
    </row>
    <row r="89" spans="1:15" ht="15">
      <c r="A89" s="13" t="s">
        <v>232</v>
      </c>
      <c r="B89" s="27" t="s">
        <v>61</v>
      </c>
      <c r="C89" s="13" t="s">
        <v>62</v>
      </c>
      <c r="D89" s="13">
        <v>112</v>
      </c>
      <c r="E89" s="13"/>
      <c r="F89" s="13" t="s">
        <v>63</v>
      </c>
      <c r="G89" s="28">
        <v>200</v>
      </c>
      <c r="H89" s="440">
        <v>10</v>
      </c>
      <c r="I89" s="28">
        <v>2</v>
      </c>
      <c r="J89" s="441">
        <f t="shared" si="24"/>
        <v>0.10000000000000001</v>
      </c>
      <c r="K89" s="28">
        <v>23</v>
      </c>
      <c r="L89" s="267">
        <f t="shared" si="25"/>
        <v>2.3000000000000003</v>
      </c>
      <c r="M89" s="433">
        <f t="shared" si="26"/>
        <v>349.60</v>
      </c>
      <c r="N89" s="434">
        <v>152</v>
      </c>
      <c r="O89" s="435">
        <f t="shared" si="27"/>
        <v>1.1500000000000001</v>
      </c>
    </row>
    <row r="90" spans="1:15" ht="15">
      <c r="A90" s="13" t="s">
        <v>536</v>
      </c>
      <c r="B90" s="27" t="s">
        <v>537</v>
      </c>
      <c r="C90" s="13" t="s">
        <v>538</v>
      </c>
      <c r="D90" s="13">
        <v>115</v>
      </c>
      <c r="E90" s="13"/>
      <c r="F90" s="13" t="s">
        <v>63</v>
      </c>
      <c r="G90" s="28">
        <v>1200</v>
      </c>
      <c r="H90" s="440">
        <v>10</v>
      </c>
      <c r="I90" s="28">
        <v>1</v>
      </c>
      <c r="J90" s="441">
        <f t="shared" si="24"/>
        <v>0.0083333333333333332</v>
      </c>
      <c r="K90" s="28">
        <v>23</v>
      </c>
      <c r="L90" s="267">
        <f t="shared" si="25"/>
        <v>0.19166666666666665</v>
      </c>
      <c r="M90" s="433">
        <f t="shared" si="26"/>
        <v>38.333333333333329</v>
      </c>
      <c r="N90" s="434">
        <v>200</v>
      </c>
      <c r="O90" s="435">
        <f t="shared" si="27"/>
        <v>0.19166666666666665</v>
      </c>
    </row>
    <row r="91" spans="1:15" ht="30">
      <c r="A91" s="13" t="s">
        <v>233</v>
      </c>
      <c r="B91" s="27" t="s">
        <v>66</v>
      </c>
      <c r="C91" s="13" t="s">
        <v>48</v>
      </c>
      <c r="D91" s="13">
        <v>112</v>
      </c>
      <c r="E91" s="13"/>
      <c r="F91" s="13" t="s">
        <v>67</v>
      </c>
      <c r="G91" s="28">
        <v>80</v>
      </c>
      <c r="H91" s="440">
        <v>10</v>
      </c>
      <c r="I91" s="28">
        <v>2</v>
      </c>
      <c r="J91" s="441">
        <f t="shared" si="24"/>
        <v>0.25</v>
      </c>
      <c r="K91" s="28">
        <v>4</v>
      </c>
      <c r="L91" s="267">
        <f t="shared" si="25"/>
        <v>1</v>
      </c>
      <c r="M91" s="433">
        <f t="shared" si="26"/>
        <v>200</v>
      </c>
      <c r="N91" s="434">
        <v>200</v>
      </c>
      <c r="O91" s="435">
        <f t="shared" si="27"/>
        <v>0.50</v>
      </c>
    </row>
    <row r="92" spans="1:15" ht="15">
      <c r="A92" s="637" t="s">
        <v>234</v>
      </c>
      <c r="B92" s="648" t="s">
        <v>235</v>
      </c>
      <c r="C92" s="13" t="s">
        <v>72</v>
      </c>
      <c r="D92" s="13">
        <v>115</v>
      </c>
      <c r="E92" s="13"/>
      <c r="F92" s="13" t="s">
        <v>236</v>
      </c>
      <c r="G92" s="28">
        <v>30</v>
      </c>
      <c r="H92" s="440">
        <v>10</v>
      </c>
      <c r="I92" s="28">
        <v>2</v>
      </c>
      <c r="J92" s="441">
        <f t="shared" si="24"/>
        <v>0.66666666666666663</v>
      </c>
      <c r="K92" s="28">
        <v>2</v>
      </c>
      <c r="L92" s="267">
        <f t="shared" si="25"/>
        <v>1.3333333333333333</v>
      </c>
      <c r="M92" s="433">
        <f t="shared" si="26"/>
        <v>266.66666666666663</v>
      </c>
      <c r="N92" s="434">
        <v>200</v>
      </c>
      <c r="O92" s="435">
        <f t="shared" si="27"/>
        <v>0.66666666666666663</v>
      </c>
    </row>
    <row r="93" spans="1:15" ht="15">
      <c r="A93" s="637"/>
      <c r="B93" s="648"/>
      <c r="C93" s="13" t="s">
        <v>48</v>
      </c>
      <c r="D93" s="13">
        <v>115</v>
      </c>
      <c r="E93" s="13" t="s">
        <v>529</v>
      </c>
      <c r="F93" s="13" t="s">
        <v>10</v>
      </c>
      <c r="G93" s="28">
        <v>40</v>
      </c>
      <c r="H93" s="440">
        <v>10</v>
      </c>
      <c r="I93" s="28">
        <v>1</v>
      </c>
      <c r="J93" s="441">
        <f t="shared" si="24"/>
        <v>0.25</v>
      </c>
      <c r="K93" s="442">
        <f>(907+902+898)/1000</f>
        <v>2.7069999999999999</v>
      </c>
      <c r="L93" s="267">
        <f t="shared" si="25"/>
        <v>0.67674999999999996</v>
      </c>
      <c r="M93" s="433">
        <f t="shared" si="26"/>
        <v>135.34999999999999</v>
      </c>
      <c r="N93" s="434">
        <v>200</v>
      </c>
      <c r="O93" s="435">
        <f t="shared" si="27"/>
        <v>0.67674999999999996</v>
      </c>
    </row>
    <row r="94" spans="1:15" ht="15">
      <c r="A94" s="13" t="s">
        <v>237</v>
      </c>
      <c r="B94" s="56" t="s">
        <v>238</v>
      </c>
      <c r="C94" s="13" t="s">
        <v>69</v>
      </c>
      <c r="D94" s="13">
        <v>110</v>
      </c>
      <c r="E94" s="13"/>
      <c r="F94" s="13" t="s">
        <v>34</v>
      </c>
      <c r="G94" s="28">
        <v>10</v>
      </c>
      <c r="H94" s="440">
        <v>10</v>
      </c>
      <c r="I94" s="28">
        <v>2</v>
      </c>
      <c r="J94" s="441">
        <f t="shared" si="24"/>
        <v>2</v>
      </c>
      <c r="K94" s="28">
        <v>1</v>
      </c>
      <c r="L94" s="267">
        <f t="shared" si="25"/>
        <v>2</v>
      </c>
      <c r="M94" s="433">
        <f t="shared" si="26"/>
        <v>400</v>
      </c>
      <c r="N94" s="434">
        <v>200</v>
      </c>
      <c r="O94" s="435">
        <f t="shared" si="27"/>
        <v>1</v>
      </c>
    </row>
    <row r="95" spans="1:15" ht="30">
      <c r="A95" s="13" t="s">
        <v>896</v>
      </c>
      <c r="B95" s="56" t="s">
        <v>894</v>
      </c>
      <c r="C95" s="13" t="s">
        <v>138</v>
      </c>
      <c r="D95" s="13">
        <v>110</v>
      </c>
      <c r="E95" s="13"/>
      <c r="F95" s="13" t="s">
        <v>12</v>
      </c>
      <c r="G95" s="28">
        <v>20</v>
      </c>
      <c r="H95" s="440">
        <v>10</v>
      </c>
      <c r="I95" s="28">
        <v>2</v>
      </c>
      <c r="J95" s="441">
        <f t="shared" si="24"/>
        <v>1</v>
      </c>
      <c r="K95" s="28">
        <v>1</v>
      </c>
      <c r="L95" s="267">
        <f t="shared" si="25"/>
        <v>1</v>
      </c>
      <c r="M95" s="433">
        <f t="shared" si="26"/>
        <v>200</v>
      </c>
      <c r="N95" s="434">
        <v>200</v>
      </c>
      <c r="O95" s="435">
        <f t="shared" si="27"/>
        <v>0.50</v>
      </c>
    </row>
    <row r="96" spans="1:15" ht="30">
      <c r="A96" s="13" t="s">
        <v>243</v>
      </c>
      <c r="B96" s="56" t="s">
        <v>244</v>
      </c>
      <c r="C96" s="13" t="s">
        <v>25</v>
      </c>
      <c r="D96" s="13">
        <v>110</v>
      </c>
      <c r="E96" s="13" t="s">
        <v>53</v>
      </c>
      <c r="F96" s="13" t="s">
        <v>10</v>
      </c>
      <c r="G96" s="28">
        <v>40</v>
      </c>
      <c r="H96" s="440">
        <v>10</v>
      </c>
      <c r="I96" s="28">
        <v>1</v>
      </c>
      <c r="J96" s="441">
        <f t="shared" si="24"/>
        <v>0.25</v>
      </c>
      <c r="K96" s="28">
        <f>2.881*2</f>
        <v>5.7620000000000005</v>
      </c>
      <c r="L96" s="267">
        <f t="shared" si="25"/>
        <v>1.4405000000000001</v>
      </c>
      <c r="M96" s="433">
        <f t="shared" si="26"/>
        <v>288.10000000000002</v>
      </c>
      <c r="N96" s="434">
        <v>200</v>
      </c>
      <c r="O96" s="435">
        <f t="shared" si="27"/>
        <v>1.4405000000000001</v>
      </c>
    </row>
    <row r="97" spans="1:15" ht="15">
      <c r="A97" s="13" t="s">
        <v>237</v>
      </c>
      <c r="B97" s="56" t="s">
        <v>71</v>
      </c>
      <c r="C97" s="13" t="s">
        <v>68</v>
      </c>
      <c r="D97" s="13">
        <v>110</v>
      </c>
      <c r="E97" s="13"/>
      <c r="F97" s="13" t="s">
        <v>34</v>
      </c>
      <c r="G97" s="28">
        <v>20</v>
      </c>
      <c r="H97" s="440">
        <v>10</v>
      </c>
      <c r="I97" s="28">
        <v>2</v>
      </c>
      <c r="J97" s="441">
        <f t="shared" si="24"/>
        <v>1</v>
      </c>
      <c r="K97" s="28">
        <v>1</v>
      </c>
      <c r="L97" s="267">
        <f t="shared" si="25"/>
        <v>1</v>
      </c>
      <c r="M97" s="433">
        <f t="shared" si="26"/>
        <v>200</v>
      </c>
      <c r="N97" s="434">
        <v>200</v>
      </c>
      <c r="O97" s="435">
        <f t="shared" si="27"/>
        <v>0.50</v>
      </c>
    </row>
    <row r="98" spans="1:15" ht="30">
      <c r="A98" s="13" t="s">
        <v>897</v>
      </c>
      <c r="B98" s="56" t="s">
        <v>895</v>
      </c>
      <c r="C98" s="13" t="s">
        <v>138</v>
      </c>
      <c r="D98" s="13">
        <v>110</v>
      </c>
      <c r="E98" s="13"/>
      <c r="F98" s="13" t="s">
        <v>12</v>
      </c>
      <c r="G98" s="28">
        <v>20</v>
      </c>
      <c r="H98" s="440">
        <v>10</v>
      </c>
      <c r="I98" s="28">
        <v>2</v>
      </c>
      <c r="J98" s="441">
        <f t="shared" si="24"/>
        <v>1</v>
      </c>
      <c r="K98" s="28">
        <v>1</v>
      </c>
      <c r="L98" s="267">
        <f t="shared" si="25"/>
        <v>1</v>
      </c>
      <c r="M98" s="433">
        <f t="shared" si="26"/>
        <v>200</v>
      </c>
      <c r="N98" s="434">
        <v>200</v>
      </c>
      <c r="O98" s="435">
        <f t="shared" si="27"/>
        <v>0.50</v>
      </c>
    </row>
    <row r="99" spans="1:15" ht="30">
      <c r="A99" s="13" t="s">
        <v>249</v>
      </c>
      <c r="B99" s="56" t="s">
        <v>248</v>
      </c>
      <c r="C99" s="13" t="s">
        <v>25</v>
      </c>
      <c r="D99" s="13">
        <v>110</v>
      </c>
      <c r="E99" s="13" t="s">
        <v>53</v>
      </c>
      <c r="F99" s="13" t="s">
        <v>10</v>
      </c>
      <c r="G99" s="28">
        <v>40</v>
      </c>
      <c r="H99" s="440">
        <v>10</v>
      </c>
      <c r="I99" s="28">
        <v>1</v>
      </c>
      <c r="J99" s="441">
        <f t="shared" si="24"/>
        <v>0.25</v>
      </c>
      <c r="K99" s="28">
        <f>2.881*2</f>
        <v>5.7620000000000005</v>
      </c>
      <c r="L99" s="267">
        <f t="shared" si="25"/>
        <v>1.4405000000000001</v>
      </c>
      <c r="M99" s="433">
        <f t="shared" si="26"/>
        <v>288.10000000000002</v>
      </c>
      <c r="N99" s="434">
        <v>200</v>
      </c>
      <c r="O99" s="435">
        <f t="shared" si="27"/>
        <v>1.4405000000000001</v>
      </c>
    </row>
    <row r="100" spans="1:15" ht="15">
      <c r="A100" s="13" t="s">
        <v>237</v>
      </c>
      <c r="B100" s="56" t="s">
        <v>71</v>
      </c>
      <c r="C100" s="13" t="s">
        <v>68</v>
      </c>
      <c r="D100" s="13">
        <v>110</v>
      </c>
      <c r="E100" s="13"/>
      <c r="F100" s="13" t="s">
        <v>34</v>
      </c>
      <c r="G100" s="28">
        <v>20</v>
      </c>
      <c r="H100" s="440">
        <v>10</v>
      </c>
      <c r="I100" s="28">
        <v>2</v>
      </c>
      <c r="J100" s="441">
        <f t="shared" si="24"/>
        <v>1</v>
      </c>
      <c r="K100" s="28">
        <v>1</v>
      </c>
      <c r="L100" s="267">
        <f t="shared" si="25"/>
        <v>1</v>
      </c>
      <c r="M100" s="433">
        <f t="shared" si="26"/>
        <v>200</v>
      </c>
      <c r="N100" s="434">
        <v>200</v>
      </c>
      <c r="O100" s="435">
        <f t="shared" si="27"/>
        <v>0.50</v>
      </c>
    </row>
    <row r="101" spans="1:15" ht="30">
      <c r="A101" s="13" t="s">
        <v>239</v>
      </c>
      <c r="B101" s="56" t="s">
        <v>240</v>
      </c>
      <c r="C101" s="13" t="s">
        <v>25</v>
      </c>
      <c r="D101" s="13">
        <v>113</v>
      </c>
      <c r="E101" s="13"/>
      <c r="F101" s="13" t="s">
        <v>63</v>
      </c>
      <c r="G101" s="432">
        <v>112</v>
      </c>
      <c r="H101" s="440">
        <v>10</v>
      </c>
      <c r="I101" s="28">
        <v>1</v>
      </c>
      <c r="J101" s="441">
        <f t="shared" si="24"/>
        <v>0.089285714285714288</v>
      </c>
      <c r="K101" s="28">
        <v>23</v>
      </c>
      <c r="L101" s="267">
        <f t="shared" si="25"/>
        <v>2.0535714285714288</v>
      </c>
      <c r="M101" s="433">
        <f t="shared" si="26"/>
        <v>533.92857142857144</v>
      </c>
      <c r="N101" s="434">
        <v>260</v>
      </c>
      <c r="O101" s="435">
        <f t="shared" si="27"/>
        <v>2.0535714285714288</v>
      </c>
    </row>
    <row r="102" spans="1:15" ht="30">
      <c r="A102" s="13" t="s">
        <v>317</v>
      </c>
      <c r="B102" s="56" t="s">
        <v>316</v>
      </c>
      <c r="C102" s="13" t="s">
        <v>25</v>
      </c>
      <c r="D102" s="13">
        <v>113</v>
      </c>
      <c r="E102" s="13" t="s">
        <v>70</v>
      </c>
      <c r="F102" s="13" t="s">
        <v>10</v>
      </c>
      <c r="G102" s="28">
        <v>40</v>
      </c>
      <c r="H102" s="440">
        <v>10</v>
      </c>
      <c r="I102" s="28">
        <v>1</v>
      </c>
      <c r="J102" s="441">
        <f t="shared" si="24"/>
        <v>0.25</v>
      </c>
      <c r="K102" s="436">
        <f>530/1000*3.1415</f>
        <v>1.6649950000000002</v>
      </c>
      <c r="L102" s="267">
        <f t="shared" si="25"/>
        <v>0.41624875000000006</v>
      </c>
      <c r="M102" s="433">
        <f t="shared" si="26"/>
        <v>83.249750000000006</v>
      </c>
      <c r="N102" s="434">
        <v>200</v>
      </c>
      <c r="O102" s="435">
        <f t="shared" si="27"/>
        <v>0.41624875000000006</v>
      </c>
    </row>
    <row r="103" spans="1:15" ht="30">
      <c r="A103" s="13" t="s">
        <v>245</v>
      </c>
      <c r="B103" s="56" t="s">
        <v>246</v>
      </c>
      <c r="C103" s="13" t="s">
        <v>25</v>
      </c>
      <c r="D103" s="13">
        <v>113</v>
      </c>
      <c r="E103" s="13"/>
      <c r="F103" s="13" t="s">
        <v>63</v>
      </c>
      <c r="G103" s="432">
        <v>112</v>
      </c>
      <c r="H103" s="440">
        <v>10</v>
      </c>
      <c r="I103" s="28">
        <v>1</v>
      </c>
      <c r="J103" s="441">
        <f t="shared" si="24"/>
        <v>0.089285714285714288</v>
      </c>
      <c r="K103" s="28">
        <v>23</v>
      </c>
      <c r="L103" s="267">
        <f t="shared" si="25"/>
        <v>2.0535714285714288</v>
      </c>
      <c r="M103" s="433">
        <f t="shared" si="26"/>
        <v>533.92857142857144</v>
      </c>
      <c r="N103" s="434">
        <v>260</v>
      </c>
      <c r="O103" s="435">
        <f t="shared" si="27"/>
        <v>2.0535714285714288</v>
      </c>
    </row>
    <row r="104" spans="1:15" ht="15">
      <c r="A104" s="13" t="s">
        <v>741</v>
      </c>
      <c r="B104" s="56" t="s">
        <v>1281</v>
      </c>
      <c r="C104" s="13" t="s">
        <v>33</v>
      </c>
      <c r="D104" s="13">
        <v>115</v>
      </c>
      <c r="E104" s="13"/>
      <c r="F104" s="13"/>
      <c r="G104" s="28">
        <v>10</v>
      </c>
      <c r="H104" s="440">
        <v>10</v>
      </c>
      <c r="I104" s="28">
        <v>1</v>
      </c>
      <c r="J104" s="441">
        <f t="shared" si="28" ref="J104">H104/G104*I104</f>
        <v>1</v>
      </c>
      <c r="K104" s="28">
        <v>1</v>
      </c>
      <c r="L104" s="267">
        <f t="shared" si="29" ref="L104">J104*K104</f>
        <v>1</v>
      </c>
      <c r="M104" s="433">
        <f t="shared" si="30" ref="M104">L104*N104</f>
        <v>200</v>
      </c>
      <c r="N104" s="434">
        <v>200</v>
      </c>
      <c r="O104" s="435">
        <f t="shared" si="31" ref="O104">J104/I104*K104</f>
        <v>1</v>
      </c>
    </row>
    <row r="105" spans="1:15" ht="15">
      <c r="A105" s="637" t="s">
        <v>254</v>
      </c>
      <c r="B105" s="638" t="s">
        <v>884</v>
      </c>
      <c r="C105" s="13" t="s">
        <v>76</v>
      </c>
      <c r="D105" s="13">
        <v>115</v>
      </c>
      <c r="E105" s="13"/>
      <c r="F105" s="13" t="s">
        <v>78</v>
      </c>
      <c r="G105" s="28">
        <v>20</v>
      </c>
      <c r="H105" s="440">
        <v>10</v>
      </c>
      <c r="I105" s="28">
        <v>2</v>
      </c>
      <c r="J105" s="441">
        <f t="shared" si="24"/>
        <v>1</v>
      </c>
      <c r="K105" s="28">
        <v>2</v>
      </c>
      <c r="L105" s="267">
        <f t="shared" si="25"/>
        <v>2</v>
      </c>
      <c r="M105" s="433">
        <f t="shared" si="26"/>
        <v>400</v>
      </c>
      <c r="N105" s="434">
        <v>200</v>
      </c>
      <c r="O105" s="435">
        <f t="shared" si="27"/>
        <v>1</v>
      </c>
    </row>
    <row r="106" spans="1:15" ht="15">
      <c r="A106" s="637"/>
      <c r="B106" s="638"/>
      <c r="C106" s="13" t="s">
        <v>77</v>
      </c>
      <c r="D106" s="13">
        <v>115</v>
      </c>
      <c r="E106" s="13" t="s">
        <v>79</v>
      </c>
      <c r="F106" s="13" t="s">
        <v>10</v>
      </c>
      <c r="G106" s="28">
        <v>40</v>
      </c>
      <c r="H106" s="440">
        <v>10</v>
      </c>
      <c r="I106" s="28">
        <v>1</v>
      </c>
      <c r="J106" s="441">
        <f t="shared" si="24"/>
        <v>0.25</v>
      </c>
      <c r="K106" s="442">
        <f>(116*2*4+130*4)/1000</f>
        <v>1.448</v>
      </c>
      <c r="L106" s="267">
        <f t="shared" si="25"/>
        <v>0.36199999999999999</v>
      </c>
      <c r="M106" s="433">
        <f t="shared" si="26"/>
        <v>72.399999999999991</v>
      </c>
      <c r="N106" s="434">
        <v>200</v>
      </c>
      <c r="O106" s="435">
        <f t="shared" si="27"/>
        <v>0.36199999999999999</v>
      </c>
    </row>
    <row r="107" spans="1:15" ht="15">
      <c r="A107" s="637" t="s">
        <v>257</v>
      </c>
      <c r="B107" s="638" t="s">
        <v>258</v>
      </c>
      <c r="C107" s="13" t="s">
        <v>318</v>
      </c>
      <c r="D107" s="13">
        <v>107</v>
      </c>
      <c r="E107" s="13" t="s">
        <v>260</v>
      </c>
      <c r="F107" s="13" t="s">
        <v>261</v>
      </c>
      <c r="G107" s="28">
        <v>64</v>
      </c>
      <c r="H107" s="440">
        <v>10</v>
      </c>
      <c r="I107" s="28">
        <v>2</v>
      </c>
      <c r="J107" s="441">
        <f t="shared" si="24"/>
        <v>0.3125</v>
      </c>
      <c r="K107" s="28">
        <v>2</v>
      </c>
      <c r="L107" s="435">
        <f t="shared" si="25"/>
        <v>0.625</v>
      </c>
      <c r="M107" s="266">
        <f t="shared" si="26"/>
        <v>125</v>
      </c>
      <c r="N107" s="433">
        <v>200</v>
      </c>
      <c r="O107" s="435">
        <f t="shared" si="27"/>
        <v>0.3125</v>
      </c>
    </row>
    <row r="108" spans="1:15" ht="15">
      <c r="A108" s="637"/>
      <c r="B108" s="638"/>
      <c r="C108" s="13" t="s">
        <v>319</v>
      </c>
      <c r="D108" s="13">
        <v>107</v>
      </c>
      <c r="E108" s="13" t="s">
        <v>260</v>
      </c>
      <c r="F108" s="13" t="s">
        <v>261</v>
      </c>
      <c r="G108" s="28">
        <v>110</v>
      </c>
      <c r="H108" s="440">
        <v>10</v>
      </c>
      <c r="I108" s="28">
        <v>2</v>
      </c>
      <c r="J108" s="441">
        <f t="shared" si="24"/>
        <v>0.18181818181818182</v>
      </c>
      <c r="K108" s="28">
        <v>4</v>
      </c>
      <c r="L108" s="435">
        <f t="shared" si="25"/>
        <v>0.72727272727272729</v>
      </c>
      <c r="M108" s="266">
        <f t="shared" si="26"/>
        <v>145.45454545454547</v>
      </c>
      <c r="N108" s="433">
        <v>200</v>
      </c>
      <c r="O108" s="435">
        <f t="shared" si="27"/>
        <v>0.36363636363636365</v>
      </c>
    </row>
    <row r="109" spans="1:15" ht="15">
      <c r="A109" s="637" t="s">
        <v>265</v>
      </c>
      <c r="B109" s="638" t="s">
        <v>266</v>
      </c>
      <c r="C109" s="13" t="s">
        <v>76</v>
      </c>
      <c r="D109" s="13">
        <v>107</v>
      </c>
      <c r="E109" s="13"/>
      <c r="F109" s="13" t="s">
        <v>82</v>
      </c>
      <c r="G109" s="28">
        <v>10</v>
      </c>
      <c r="H109" s="440">
        <v>10</v>
      </c>
      <c r="I109" s="28">
        <v>2</v>
      </c>
      <c r="J109" s="441">
        <f t="shared" si="24"/>
        <v>2</v>
      </c>
      <c r="K109" s="28">
        <v>1</v>
      </c>
      <c r="L109" s="267">
        <f t="shared" si="25"/>
        <v>2</v>
      </c>
      <c r="M109" s="433">
        <f t="shared" si="26"/>
        <v>400</v>
      </c>
      <c r="N109" s="434">
        <v>200</v>
      </c>
      <c r="O109" s="435">
        <f t="shared" si="27"/>
        <v>1</v>
      </c>
    </row>
    <row r="110" spans="1:15" ht="15">
      <c r="A110" s="637"/>
      <c r="B110" s="638"/>
      <c r="C110" s="13" t="s">
        <v>77</v>
      </c>
      <c r="D110" s="13">
        <v>116</v>
      </c>
      <c r="E110" s="13" t="s">
        <v>264</v>
      </c>
      <c r="F110" s="13" t="s">
        <v>10</v>
      </c>
      <c r="G110" s="28">
        <v>40</v>
      </c>
      <c r="H110" s="440">
        <v>10</v>
      </c>
      <c r="I110" s="28">
        <v>1</v>
      </c>
      <c r="J110" s="441">
        <f t="shared" si="24"/>
        <v>0.25</v>
      </c>
      <c r="K110" s="442">
        <f>(76*3.1415*3)*2/1000</f>
        <v>1.4325240000000001</v>
      </c>
      <c r="L110" s="267">
        <f t="shared" si="25"/>
        <v>0.35813100000000003</v>
      </c>
      <c r="M110" s="433">
        <f t="shared" si="26"/>
        <v>71.626200000000011</v>
      </c>
      <c r="N110" s="434">
        <v>200</v>
      </c>
      <c r="O110" s="435">
        <f t="shared" si="27"/>
        <v>0.35813100000000003</v>
      </c>
    </row>
    <row r="111" spans="1:15" ht="30">
      <c r="A111" s="13" t="s">
        <v>267</v>
      </c>
      <c r="B111" s="27" t="s">
        <v>519</v>
      </c>
      <c r="C111" s="13" t="s">
        <v>77</v>
      </c>
      <c r="D111" s="13">
        <v>116</v>
      </c>
      <c r="E111" s="13"/>
      <c r="F111" s="13" t="s">
        <v>67</v>
      </c>
      <c r="G111" s="28">
        <v>10</v>
      </c>
      <c r="H111" s="440">
        <v>10</v>
      </c>
      <c r="I111" s="28">
        <v>2</v>
      </c>
      <c r="J111" s="441">
        <f t="shared" si="24"/>
        <v>2</v>
      </c>
      <c r="K111" s="28">
        <v>1</v>
      </c>
      <c r="L111" s="267">
        <f t="shared" si="25"/>
        <v>2</v>
      </c>
      <c r="M111" s="433">
        <f t="shared" si="26"/>
        <v>400</v>
      </c>
      <c r="N111" s="434">
        <v>200</v>
      </c>
      <c r="O111" s="435">
        <f t="shared" si="27"/>
        <v>1</v>
      </c>
    </row>
    <row r="112" spans="1:15" ht="15">
      <c r="A112" s="13" t="s">
        <v>268</v>
      </c>
      <c r="B112" s="27" t="s">
        <v>334</v>
      </c>
      <c r="C112" s="13" t="s">
        <v>83</v>
      </c>
      <c r="D112" s="13">
        <v>116</v>
      </c>
      <c r="E112" s="13"/>
      <c r="F112" s="4" t="s">
        <v>84</v>
      </c>
      <c r="G112" s="28">
        <v>14.60</v>
      </c>
      <c r="H112" s="440">
        <v>10</v>
      </c>
      <c r="I112" s="28">
        <v>2</v>
      </c>
      <c r="J112" s="441">
        <f t="shared" si="24"/>
        <v>1.3698630136986301</v>
      </c>
      <c r="K112" s="28">
        <v>1</v>
      </c>
      <c r="L112" s="267">
        <f t="shared" si="25"/>
        <v>1.3698630136986301</v>
      </c>
      <c r="M112" s="433">
        <f t="shared" si="26"/>
        <v>273.97260273972603</v>
      </c>
      <c r="N112" s="434">
        <v>200</v>
      </c>
      <c r="O112" s="435">
        <f t="shared" si="27"/>
        <v>0.68493150684931503</v>
      </c>
    </row>
    <row r="113" spans="1:15" ht="15">
      <c r="A113" s="13" t="s">
        <v>335</v>
      </c>
      <c r="B113" s="27" t="s">
        <v>336</v>
      </c>
      <c r="C113" s="13" t="s">
        <v>83</v>
      </c>
      <c r="D113" s="13">
        <v>116</v>
      </c>
      <c r="E113" s="13"/>
      <c r="F113" s="4" t="s">
        <v>84</v>
      </c>
      <c r="G113" s="28">
        <v>6.49</v>
      </c>
      <c r="H113" s="440">
        <v>10</v>
      </c>
      <c r="I113" s="28">
        <v>2</v>
      </c>
      <c r="J113" s="441">
        <f t="shared" si="24"/>
        <v>3.0816640986132509</v>
      </c>
      <c r="K113" s="28">
        <v>1</v>
      </c>
      <c r="L113" s="267">
        <f t="shared" si="25"/>
        <v>3.0816640986132509</v>
      </c>
      <c r="M113" s="433">
        <f t="shared" si="26"/>
        <v>616.33281972265013</v>
      </c>
      <c r="N113" s="434">
        <v>200</v>
      </c>
      <c r="O113" s="435">
        <f t="shared" si="27"/>
        <v>1.5408320493066254</v>
      </c>
    </row>
    <row r="114" spans="1:15" ht="15">
      <c r="A114" s="13" t="s">
        <v>526</v>
      </c>
      <c r="B114" s="56" t="s">
        <v>524</v>
      </c>
      <c r="C114" s="13" t="s">
        <v>523</v>
      </c>
      <c r="D114" s="13">
        <v>224</v>
      </c>
      <c r="E114" s="13"/>
      <c r="F114" s="4" t="s">
        <v>525</v>
      </c>
      <c r="G114" s="28">
        <v>600</v>
      </c>
      <c r="H114" s="431">
        <v>10</v>
      </c>
      <c r="I114" s="28">
        <v>1</v>
      </c>
      <c r="J114" s="441">
        <f t="shared" si="24"/>
        <v>0.016666666666666666</v>
      </c>
      <c r="K114" s="28">
        <v>4</v>
      </c>
      <c r="L114" s="267">
        <f t="shared" si="25"/>
        <v>0.066666666666666666</v>
      </c>
      <c r="M114" s="433">
        <f t="shared" si="26"/>
        <v>11.733333333333333</v>
      </c>
      <c r="N114" s="434">
        <v>176</v>
      </c>
      <c r="O114" s="435">
        <f t="shared" si="27"/>
        <v>0.066666666666666666</v>
      </c>
    </row>
    <row r="115" spans="1:15" ht="15">
      <c r="A115" s="13" t="s">
        <v>269</v>
      </c>
      <c r="B115" s="56" t="s">
        <v>270</v>
      </c>
      <c r="C115" s="13" t="s">
        <v>523</v>
      </c>
      <c r="D115" s="13">
        <v>224</v>
      </c>
      <c r="E115" s="13"/>
      <c r="F115" s="4" t="s">
        <v>88</v>
      </c>
      <c r="G115" s="28">
        <v>300</v>
      </c>
      <c r="H115" s="431">
        <v>10</v>
      </c>
      <c r="I115" s="28">
        <v>1</v>
      </c>
      <c r="J115" s="441">
        <f t="shared" si="24"/>
        <v>0.033333333333333333</v>
      </c>
      <c r="K115" s="28">
        <v>2</v>
      </c>
      <c r="L115" s="267">
        <f t="shared" si="25"/>
        <v>0.066666666666666666</v>
      </c>
      <c r="M115" s="433">
        <f t="shared" si="26"/>
        <v>11.733333333333333</v>
      </c>
      <c r="N115" s="434">
        <v>176</v>
      </c>
      <c r="O115" s="435">
        <f t="shared" si="27"/>
        <v>0.066666666666666666</v>
      </c>
    </row>
    <row r="116" spans="1:15" ht="15">
      <c r="A116" s="13" t="s">
        <v>918</v>
      </c>
      <c r="B116" s="56" t="s">
        <v>898</v>
      </c>
      <c r="C116" s="13" t="s">
        <v>523</v>
      </c>
      <c r="D116" s="13">
        <v>224</v>
      </c>
      <c r="E116" s="13"/>
      <c r="F116" s="4" t="s">
        <v>88</v>
      </c>
      <c r="G116" s="28">
        <v>600</v>
      </c>
      <c r="H116" s="431">
        <v>10</v>
      </c>
      <c r="I116" s="28">
        <v>1</v>
      </c>
      <c r="J116" s="441">
        <f t="shared" si="24"/>
        <v>0.016666666666666666</v>
      </c>
      <c r="K116" s="28">
        <v>1</v>
      </c>
      <c r="L116" s="267">
        <f t="shared" si="25"/>
        <v>0.016666666666666666</v>
      </c>
      <c r="M116" s="433">
        <f t="shared" si="26"/>
        <v>2.9333333333333331</v>
      </c>
      <c r="N116" s="434">
        <v>176</v>
      </c>
      <c r="O116" s="435">
        <f t="shared" si="27"/>
        <v>0.016666666666666666</v>
      </c>
    </row>
    <row r="117" spans="1:15" ht="30">
      <c r="A117" s="13" t="s">
        <v>271</v>
      </c>
      <c r="B117" s="56" t="s">
        <v>85</v>
      </c>
      <c r="C117" s="13" t="s">
        <v>83</v>
      </c>
      <c r="D117" s="13">
        <v>116</v>
      </c>
      <c r="E117" s="13"/>
      <c r="F117" s="13" t="s">
        <v>12</v>
      </c>
      <c r="G117" s="28">
        <v>2.70</v>
      </c>
      <c r="H117" s="440">
        <v>10</v>
      </c>
      <c r="I117" s="28">
        <v>2</v>
      </c>
      <c r="J117" s="441">
        <f t="shared" si="24"/>
        <v>7.4074074074074066</v>
      </c>
      <c r="K117" s="28">
        <v>1</v>
      </c>
      <c r="L117" s="267">
        <f t="shared" si="25"/>
        <v>7.4074074074074066</v>
      </c>
      <c r="M117" s="433">
        <f t="shared" si="26"/>
        <v>1481.4814814814813</v>
      </c>
      <c r="N117" s="434">
        <v>200</v>
      </c>
      <c r="O117" s="435">
        <f t="shared" si="27"/>
        <v>3.7037037037037033</v>
      </c>
    </row>
    <row r="118" spans="1:15" ht="15">
      <c r="A118" s="13" t="s">
        <v>272</v>
      </c>
      <c r="B118" s="27" t="s">
        <v>337</v>
      </c>
      <c r="C118" s="13" t="s">
        <v>83</v>
      </c>
      <c r="D118" s="13">
        <v>116</v>
      </c>
      <c r="E118" s="13"/>
      <c r="F118" s="4" t="s">
        <v>89</v>
      </c>
      <c r="G118" s="28">
        <v>14.65</v>
      </c>
      <c r="H118" s="440">
        <v>10</v>
      </c>
      <c r="I118" s="28">
        <v>2</v>
      </c>
      <c r="J118" s="441">
        <f t="shared" si="24"/>
        <v>1.3651877133105801</v>
      </c>
      <c r="K118" s="28">
        <v>1</v>
      </c>
      <c r="L118" s="267">
        <f t="shared" si="25"/>
        <v>1.3651877133105801</v>
      </c>
      <c r="M118" s="433">
        <f t="shared" si="26"/>
        <v>273.03754266211604</v>
      </c>
      <c r="N118" s="434">
        <v>200</v>
      </c>
      <c r="O118" s="435">
        <f t="shared" si="27"/>
        <v>0.68259385665529004</v>
      </c>
    </row>
    <row r="119" spans="1:15" ht="30">
      <c r="A119" s="13" t="s">
        <v>339</v>
      </c>
      <c r="B119" s="27" t="s">
        <v>338</v>
      </c>
      <c r="C119" s="13" t="s">
        <v>83</v>
      </c>
      <c r="D119" s="13">
        <v>116</v>
      </c>
      <c r="E119" s="13"/>
      <c r="F119" s="4" t="s">
        <v>89</v>
      </c>
      <c r="G119" s="28">
        <v>7.33</v>
      </c>
      <c r="H119" s="440">
        <v>10</v>
      </c>
      <c r="I119" s="28">
        <v>2</v>
      </c>
      <c r="J119" s="441">
        <f t="shared" si="24"/>
        <v>2.7285129604365621</v>
      </c>
      <c r="K119" s="28">
        <v>1</v>
      </c>
      <c r="L119" s="267">
        <f t="shared" si="25"/>
        <v>2.7285129604365621</v>
      </c>
      <c r="M119" s="433">
        <f t="shared" si="26"/>
        <v>545.70259208731238</v>
      </c>
      <c r="N119" s="434">
        <v>200</v>
      </c>
      <c r="O119" s="435">
        <f t="shared" si="27"/>
        <v>1.3642564802182811</v>
      </c>
    </row>
    <row r="120" spans="1:15" ht="30">
      <c r="A120" s="13" t="s">
        <v>273</v>
      </c>
      <c r="B120" s="27" t="s">
        <v>125</v>
      </c>
      <c r="C120" s="13" t="s">
        <v>54</v>
      </c>
      <c r="D120" s="13">
        <v>116</v>
      </c>
      <c r="E120" s="13"/>
      <c r="F120" s="4" t="s">
        <v>88</v>
      </c>
      <c r="G120" s="28">
        <v>20</v>
      </c>
      <c r="H120" s="440">
        <v>10</v>
      </c>
      <c r="I120" s="28">
        <v>2</v>
      </c>
      <c r="J120" s="441">
        <f t="shared" si="24"/>
        <v>1</v>
      </c>
      <c r="K120" s="28">
        <v>2</v>
      </c>
      <c r="L120" s="267">
        <f t="shared" si="25"/>
        <v>2</v>
      </c>
      <c r="M120" s="433">
        <f t="shared" si="26"/>
        <v>400</v>
      </c>
      <c r="N120" s="434">
        <v>200</v>
      </c>
      <c r="O120" s="435">
        <f t="shared" si="27"/>
        <v>1</v>
      </c>
    </row>
    <row r="121" spans="1:15" ht="30">
      <c r="A121" s="523" t="s">
        <v>1668</v>
      </c>
      <c r="B121" s="522" t="s">
        <v>1670</v>
      </c>
      <c r="C121" s="523" t="s">
        <v>33</v>
      </c>
      <c r="D121" s="523">
        <v>116</v>
      </c>
      <c r="E121" s="523"/>
      <c r="F121" s="523" t="s">
        <v>1666</v>
      </c>
      <c r="G121" s="527">
        <v>16.11</v>
      </c>
      <c r="H121" s="530">
        <v>10</v>
      </c>
      <c r="I121" s="527">
        <v>2</v>
      </c>
      <c r="J121" s="531">
        <f t="shared" si="24"/>
        <v>1.2414649286157666</v>
      </c>
      <c r="K121" s="527">
        <v>1</v>
      </c>
      <c r="L121" s="267">
        <f t="shared" si="25"/>
        <v>1.2414649286157666</v>
      </c>
      <c r="M121" s="433">
        <f t="shared" si="26"/>
        <v>248.29298572315332</v>
      </c>
      <c r="N121" s="434">
        <v>200</v>
      </c>
      <c r="O121" s="435">
        <f t="shared" si="27"/>
        <v>0.62073246430788331</v>
      </c>
    </row>
    <row r="122" spans="1:15" ht="30">
      <c r="A122" s="523" t="s">
        <v>1669</v>
      </c>
      <c r="B122" s="522" t="s">
        <v>1671</v>
      </c>
      <c r="C122" s="523" t="s">
        <v>33</v>
      </c>
      <c r="D122" s="523">
        <v>116</v>
      </c>
      <c r="E122" s="523"/>
      <c r="F122" s="523" t="s">
        <v>10</v>
      </c>
      <c r="G122" s="527">
        <v>40</v>
      </c>
      <c r="H122" s="530">
        <v>10</v>
      </c>
      <c r="I122" s="527">
        <v>1</v>
      </c>
      <c r="J122" s="531">
        <f t="shared" si="24"/>
        <v>0.25</v>
      </c>
      <c r="K122" s="525">
        <f>2757/1000</f>
        <v>2.7570000000000001</v>
      </c>
      <c r="L122" s="267">
        <f t="shared" si="25"/>
        <v>0.68925000000000003</v>
      </c>
      <c r="M122" s="433">
        <f t="shared" si="26"/>
        <v>137.84999999999999</v>
      </c>
      <c r="N122" s="434">
        <v>200</v>
      </c>
      <c r="O122" s="435">
        <f t="shared" si="27"/>
        <v>0.68925000000000003</v>
      </c>
    </row>
    <row r="123" spans="1:15" ht="15">
      <c r="A123" s="13" t="s">
        <v>274</v>
      </c>
      <c r="B123" s="27" t="s">
        <v>275</v>
      </c>
      <c r="C123" s="13" t="s">
        <v>83</v>
      </c>
      <c r="D123" s="13">
        <v>116</v>
      </c>
      <c r="E123" s="13"/>
      <c r="F123" s="4" t="s">
        <v>276</v>
      </c>
      <c r="G123" s="28">
        <v>20</v>
      </c>
      <c r="H123" s="440">
        <v>10</v>
      </c>
      <c r="I123" s="28">
        <v>2</v>
      </c>
      <c r="J123" s="441">
        <f t="shared" si="24"/>
        <v>1</v>
      </c>
      <c r="K123" s="28">
        <v>1</v>
      </c>
      <c r="L123" s="267">
        <f t="shared" si="25"/>
        <v>1</v>
      </c>
      <c r="M123" s="433">
        <f t="shared" si="26"/>
        <v>200</v>
      </c>
      <c r="N123" s="434">
        <v>200</v>
      </c>
      <c r="O123" s="435">
        <f t="shared" si="27"/>
        <v>0.50</v>
      </c>
    </row>
    <row r="124" spans="1:15" ht="15">
      <c r="A124" s="13" t="s">
        <v>277</v>
      </c>
      <c r="B124" s="27" t="s">
        <v>278</v>
      </c>
      <c r="C124" s="13" t="s">
        <v>83</v>
      </c>
      <c r="D124" s="13">
        <v>116</v>
      </c>
      <c r="E124" s="13"/>
      <c r="F124" s="4" t="s">
        <v>90</v>
      </c>
      <c r="G124" s="28">
        <v>16</v>
      </c>
      <c r="H124" s="440">
        <v>10</v>
      </c>
      <c r="I124" s="28">
        <v>2</v>
      </c>
      <c r="J124" s="441">
        <f t="shared" si="24"/>
        <v>1.25</v>
      </c>
      <c r="K124" s="28">
        <v>1</v>
      </c>
      <c r="L124" s="267">
        <f t="shared" si="25"/>
        <v>1.25</v>
      </c>
      <c r="M124" s="433">
        <f t="shared" si="26"/>
        <v>250</v>
      </c>
      <c r="N124" s="434">
        <v>200</v>
      </c>
      <c r="O124" s="435">
        <f t="shared" si="27"/>
        <v>0.625</v>
      </c>
    </row>
    <row r="125" spans="1:15" ht="15">
      <c r="A125" s="13" t="s">
        <v>279</v>
      </c>
      <c r="B125" s="27" t="s">
        <v>280</v>
      </c>
      <c r="C125" s="13" t="s">
        <v>29</v>
      </c>
      <c r="D125" s="13">
        <v>120</v>
      </c>
      <c r="E125" s="13"/>
      <c r="F125" s="13" t="s">
        <v>12</v>
      </c>
      <c r="G125" s="28">
        <v>13</v>
      </c>
      <c r="H125" s="440">
        <v>10</v>
      </c>
      <c r="I125" s="28">
        <v>1</v>
      </c>
      <c r="J125" s="441">
        <f t="shared" si="24"/>
        <v>0.76923076923076927</v>
      </c>
      <c r="K125" s="28">
        <v>1</v>
      </c>
      <c r="L125" s="435">
        <f t="shared" si="25"/>
        <v>0.76923076923076927</v>
      </c>
      <c r="M125" s="266">
        <f t="shared" si="26"/>
        <v>135.38461538461539</v>
      </c>
      <c r="N125" s="433">
        <v>176</v>
      </c>
      <c r="O125" s="435">
        <f t="shared" si="27"/>
        <v>0.76923076923076927</v>
      </c>
    </row>
    <row r="126" spans="1:15" ht="15">
      <c r="A126" s="13" t="s">
        <v>281</v>
      </c>
      <c r="B126" s="56" t="s">
        <v>30</v>
      </c>
      <c r="C126" s="13" t="s">
        <v>29</v>
      </c>
      <c r="D126" s="13">
        <v>120</v>
      </c>
      <c r="E126" s="13"/>
      <c r="F126" s="13" t="s">
        <v>12</v>
      </c>
      <c r="G126" s="436">
        <v>9.61</v>
      </c>
      <c r="H126" s="440">
        <v>10</v>
      </c>
      <c r="I126" s="28">
        <v>1</v>
      </c>
      <c r="J126" s="441">
        <f t="shared" si="24"/>
        <v>1.0405827263267431</v>
      </c>
      <c r="K126" s="28">
        <v>1</v>
      </c>
      <c r="L126" s="267">
        <f t="shared" si="25"/>
        <v>1.0405827263267431</v>
      </c>
      <c r="M126" s="433">
        <f t="shared" si="26"/>
        <v>183.14255983350679</v>
      </c>
      <c r="N126" s="434">
        <v>176</v>
      </c>
      <c r="O126" s="435">
        <f t="shared" si="27"/>
        <v>1.0405827263267431</v>
      </c>
    </row>
    <row r="127" spans="1:15" ht="30">
      <c r="A127" s="13" t="s">
        <v>282</v>
      </c>
      <c r="B127" s="56" t="s">
        <v>283</v>
      </c>
      <c r="C127" s="13" t="s">
        <v>29</v>
      </c>
      <c r="D127" s="13">
        <v>120</v>
      </c>
      <c r="E127" s="13"/>
      <c r="F127" s="13" t="s">
        <v>12</v>
      </c>
      <c r="G127" s="436">
        <v>13.858000000000001</v>
      </c>
      <c r="H127" s="440">
        <v>10</v>
      </c>
      <c r="I127" s="28">
        <v>1</v>
      </c>
      <c r="J127" s="441">
        <f t="shared" si="24"/>
        <v>0.72160484918458645</v>
      </c>
      <c r="K127" s="28">
        <v>1</v>
      </c>
      <c r="L127" s="267">
        <f t="shared" si="25"/>
        <v>0.72160484918458645</v>
      </c>
      <c r="M127" s="433">
        <f t="shared" si="26"/>
        <v>127.00245345648722</v>
      </c>
      <c r="N127" s="434">
        <v>176</v>
      </c>
      <c r="O127" s="435">
        <f t="shared" si="27"/>
        <v>0.72160484918458645</v>
      </c>
    </row>
    <row r="128" spans="1:15" ht="15">
      <c r="A128" s="13" t="s">
        <v>902</v>
      </c>
      <c r="B128" s="56" t="s">
        <v>1040</v>
      </c>
      <c r="C128" s="13" t="s">
        <v>523</v>
      </c>
      <c r="D128" s="13">
        <v>224</v>
      </c>
      <c r="E128" s="13"/>
      <c r="F128" s="4" t="s">
        <v>900</v>
      </c>
      <c r="G128" s="28">
        <v>600</v>
      </c>
      <c r="H128" s="431">
        <v>10</v>
      </c>
      <c r="I128" s="28">
        <v>1</v>
      </c>
      <c r="J128" s="441">
        <f t="shared" si="24"/>
        <v>0.016666666666666666</v>
      </c>
      <c r="K128" s="28">
        <v>1</v>
      </c>
      <c r="L128" s="267">
        <f t="shared" si="25"/>
        <v>0.016666666666666666</v>
      </c>
      <c r="M128" s="433">
        <f t="shared" si="26"/>
        <v>2.9333333333333331</v>
      </c>
      <c r="N128" s="434">
        <v>176</v>
      </c>
      <c r="O128" s="435">
        <f t="shared" si="27"/>
        <v>0.016666666666666666</v>
      </c>
    </row>
    <row r="129" spans="1:15" ht="15">
      <c r="A129" s="13" t="s">
        <v>285</v>
      </c>
      <c r="B129" s="56" t="s">
        <v>901</v>
      </c>
      <c r="C129" s="13" t="s">
        <v>83</v>
      </c>
      <c r="D129" s="13">
        <v>116</v>
      </c>
      <c r="E129" s="13"/>
      <c r="F129" s="13" t="s">
        <v>12</v>
      </c>
      <c r="G129" s="28">
        <v>10</v>
      </c>
      <c r="H129" s="440">
        <v>10</v>
      </c>
      <c r="I129" s="28">
        <v>2</v>
      </c>
      <c r="J129" s="441">
        <f t="shared" si="24"/>
        <v>2</v>
      </c>
      <c r="K129" s="28">
        <v>1</v>
      </c>
      <c r="L129" s="267">
        <f t="shared" si="25"/>
        <v>2</v>
      </c>
      <c r="M129" s="433">
        <f t="shared" si="26"/>
        <v>400</v>
      </c>
      <c r="N129" s="434">
        <v>200</v>
      </c>
      <c r="O129" s="435">
        <f t="shared" si="27"/>
        <v>1</v>
      </c>
    </row>
    <row r="130" spans="1:15" ht="15">
      <c r="A130" s="13" t="s">
        <v>286</v>
      </c>
      <c r="B130" s="27" t="s">
        <v>288</v>
      </c>
      <c r="C130" s="13" t="s">
        <v>287</v>
      </c>
      <c r="D130" s="13">
        <v>116</v>
      </c>
      <c r="E130" s="13"/>
      <c r="F130" s="13" t="s">
        <v>67</v>
      </c>
      <c r="G130" s="28">
        <v>40</v>
      </c>
      <c r="H130" s="440">
        <v>10</v>
      </c>
      <c r="I130" s="28">
        <v>1</v>
      </c>
      <c r="J130" s="441">
        <f t="shared" si="24"/>
        <v>0.25</v>
      </c>
      <c r="K130" s="28">
        <v>4</v>
      </c>
      <c r="L130" s="267">
        <f t="shared" si="25"/>
        <v>1</v>
      </c>
      <c r="M130" s="433">
        <f t="shared" si="26"/>
        <v>152</v>
      </c>
      <c r="N130" s="434">
        <v>152</v>
      </c>
      <c r="O130" s="435">
        <f t="shared" si="27"/>
        <v>1</v>
      </c>
    </row>
    <row r="131" spans="1:15" ht="15">
      <c r="A131" s="39"/>
      <c r="B131" s="649" t="s">
        <v>134</v>
      </c>
      <c r="C131" s="649"/>
      <c r="D131" s="649"/>
      <c r="E131" s="649"/>
      <c r="F131" s="649"/>
      <c r="G131" s="649"/>
      <c r="H131" s="649"/>
      <c r="I131" s="649"/>
      <c r="J131" s="649"/>
      <c r="K131" s="649"/>
      <c r="L131" s="267"/>
      <c r="M131" s="262">
        <f>SUM(M132:M152)</f>
        <v>4654.4810884926765</v>
      </c>
      <c r="N131" s="263"/>
      <c r="O131" s="264">
        <f>SUM(O132:O152)</f>
        <v>16.508423394751869</v>
      </c>
    </row>
    <row r="132" spans="1:16" ht="30">
      <c r="A132" s="13" t="s">
        <v>297</v>
      </c>
      <c r="B132" s="56" t="s">
        <v>298</v>
      </c>
      <c r="C132" s="13" t="s">
        <v>33</v>
      </c>
      <c r="D132" s="13">
        <v>116</v>
      </c>
      <c r="E132" s="13"/>
      <c r="F132" s="13" t="s">
        <v>96</v>
      </c>
      <c r="G132" s="432">
        <v>10</v>
      </c>
      <c r="H132" s="440">
        <v>10</v>
      </c>
      <c r="I132" s="28">
        <v>2</v>
      </c>
      <c r="J132" s="441">
        <f t="shared" si="32" ref="J132:J152">H132/G132*I132</f>
        <v>2</v>
      </c>
      <c r="K132" s="28">
        <v>1</v>
      </c>
      <c r="L132" s="267">
        <f t="shared" si="33" ref="L132:L152">J132*K132</f>
        <v>2</v>
      </c>
      <c r="M132" s="433">
        <f t="shared" si="34" ref="M132:M152">L132*N132</f>
        <v>400</v>
      </c>
      <c r="N132" s="434">
        <v>200</v>
      </c>
      <c r="O132" s="435">
        <f t="shared" si="35" ref="O132:O152">J132/I132*K132</f>
        <v>1</v>
      </c>
      <c r="P132" s="22"/>
    </row>
    <row r="133" spans="1:16" ht="30">
      <c r="A133" s="523" t="s">
        <v>1663</v>
      </c>
      <c r="B133" s="522" t="s">
        <v>1665</v>
      </c>
      <c r="C133" s="523" t="s">
        <v>33</v>
      </c>
      <c r="D133" s="523">
        <v>116</v>
      </c>
      <c r="E133" s="523"/>
      <c r="F133" s="523" t="s">
        <v>1666</v>
      </c>
      <c r="G133" s="527">
        <v>14.96</v>
      </c>
      <c r="H133" s="530">
        <v>10</v>
      </c>
      <c r="I133" s="527">
        <v>2</v>
      </c>
      <c r="J133" s="531">
        <f t="shared" si="32"/>
        <v>1.3368983957219251</v>
      </c>
      <c r="K133" s="527">
        <v>1</v>
      </c>
      <c r="L133" s="267">
        <f t="shared" si="33"/>
        <v>1.3368983957219251</v>
      </c>
      <c r="M133" s="433">
        <f t="shared" si="34"/>
        <v>267.37967914438502</v>
      </c>
      <c r="N133" s="434">
        <v>200</v>
      </c>
      <c r="O133" s="435">
        <f t="shared" si="35"/>
        <v>0.66844919786096257</v>
      </c>
      <c r="P133" s="22"/>
    </row>
    <row r="134" spans="1:16" ht="30">
      <c r="A134" s="523" t="s">
        <v>1664</v>
      </c>
      <c r="B134" s="522" t="s">
        <v>1667</v>
      </c>
      <c r="C134" s="523" t="s">
        <v>33</v>
      </c>
      <c r="D134" s="523">
        <v>116</v>
      </c>
      <c r="E134" s="523"/>
      <c r="F134" s="523" t="s">
        <v>10</v>
      </c>
      <c r="G134" s="527">
        <v>40</v>
      </c>
      <c r="H134" s="530">
        <v>10</v>
      </c>
      <c r="I134" s="527">
        <v>1</v>
      </c>
      <c r="J134" s="531">
        <f t="shared" si="32"/>
        <v>0.25</v>
      </c>
      <c r="K134" s="525">
        <f>2871/1000</f>
        <v>2.871</v>
      </c>
      <c r="L134" s="267">
        <f t="shared" si="33"/>
        <v>0.71775</v>
      </c>
      <c r="M134" s="433">
        <f t="shared" si="34"/>
        <v>143.55000000000001</v>
      </c>
      <c r="N134" s="434">
        <v>200</v>
      </c>
      <c r="O134" s="435">
        <f t="shared" si="35"/>
        <v>0.71775</v>
      </c>
      <c r="P134" s="22"/>
    </row>
    <row r="135" spans="1:16" ht="30">
      <c r="A135" s="13" t="s">
        <v>299</v>
      </c>
      <c r="B135" s="56" t="s">
        <v>300</v>
      </c>
      <c r="C135" s="13" t="s">
        <v>33</v>
      </c>
      <c r="D135" s="13">
        <v>119</v>
      </c>
      <c r="E135" s="13"/>
      <c r="F135" s="13" t="s">
        <v>96</v>
      </c>
      <c r="G135" s="442">
        <v>23.49</v>
      </c>
      <c r="H135" s="440">
        <v>10</v>
      </c>
      <c r="I135" s="28">
        <v>2</v>
      </c>
      <c r="J135" s="441">
        <f t="shared" si="32"/>
        <v>0.85142613878246065</v>
      </c>
      <c r="K135" s="28">
        <v>1</v>
      </c>
      <c r="L135" s="267">
        <f t="shared" si="33"/>
        <v>0.85142613878246065</v>
      </c>
      <c r="M135" s="433">
        <f t="shared" si="34"/>
        <v>170.28522775649213</v>
      </c>
      <c r="N135" s="434">
        <v>200</v>
      </c>
      <c r="O135" s="435">
        <f t="shared" si="35"/>
        <v>0.42571306939123033</v>
      </c>
      <c r="P135" s="22"/>
    </row>
    <row r="136" spans="1:16" ht="30">
      <c r="A136" s="13" t="s">
        <v>301</v>
      </c>
      <c r="B136" s="27" t="s">
        <v>97</v>
      </c>
      <c r="C136" s="13" t="s">
        <v>83</v>
      </c>
      <c r="D136" s="13">
        <v>119</v>
      </c>
      <c r="E136" s="13"/>
      <c r="F136" s="13" t="s">
        <v>12</v>
      </c>
      <c r="G136" s="442">
        <v>4.58</v>
      </c>
      <c r="H136" s="440">
        <v>10</v>
      </c>
      <c r="I136" s="28">
        <v>2</v>
      </c>
      <c r="J136" s="441">
        <f t="shared" si="32"/>
        <v>4.3668122270742353</v>
      </c>
      <c r="K136" s="28">
        <v>1</v>
      </c>
      <c r="L136" s="267">
        <f t="shared" si="33"/>
        <v>4.3668122270742353</v>
      </c>
      <c r="M136" s="433">
        <f t="shared" si="34"/>
        <v>873.36244541484712</v>
      </c>
      <c r="N136" s="434">
        <v>200</v>
      </c>
      <c r="O136" s="435">
        <f t="shared" si="35"/>
        <v>2.1834061135371177</v>
      </c>
      <c r="P136" s="22"/>
    </row>
    <row r="137" spans="1:15" ht="15">
      <c r="A137" s="57" t="s">
        <v>530</v>
      </c>
      <c r="B137" s="269" t="s">
        <v>531</v>
      </c>
      <c r="C137" s="13" t="s">
        <v>33</v>
      </c>
      <c r="D137" s="13">
        <v>226</v>
      </c>
      <c r="E137" s="13"/>
      <c r="F137" s="13" t="s">
        <v>12</v>
      </c>
      <c r="G137" s="28">
        <v>10</v>
      </c>
      <c r="H137" s="440">
        <v>10</v>
      </c>
      <c r="I137" s="28">
        <v>1</v>
      </c>
      <c r="J137" s="441">
        <f t="shared" si="32"/>
        <v>1</v>
      </c>
      <c r="K137" s="442">
        <v>1</v>
      </c>
      <c r="L137" s="267">
        <f t="shared" si="33"/>
        <v>1</v>
      </c>
      <c r="M137" s="266">
        <f t="shared" si="34"/>
        <v>200</v>
      </c>
      <c r="N137" s="433">
        <v>200</v>
      </c>
      <c r="O137" s="435">
        <f t="shared" si="35"/>
        <v>1</v>
      </c>
    </row>
    <row r="138" spans="1:16" ht="15">
      <c r="A138" s="13" t="s">
        <v>290</v>
      </c>
      <c r="B138" s="27" t="s">
        <v>31</v>
      </c>
      <c r="C138" s="13" t="s">
        <v>14</v>
      </c>
      <c r="D138" s="13">
        <v>226</v>
      </c>
      <c r="E138" s="13"/>
      <c r="F138" s="13" t="s">
        <v>58</v>
      </c>
      <c r="G138" s="28">
        <v>61</v>
      </c>
      <c r="H138" s="440">
        <v>10</v>
      </c>
      <c r="I138" s="28">
        <v>1</v>
      </c>
      <c r="J138" s="441">
        <f t="shared" si="32"/>
        <v>0.16393442622950818</v>
      </c>
      <c r="K138" s="28">
        <v>5.14</v>
      </c>
      <c r="L138" s="267">
        <f t="shared" si="33"/>
        <v>0.84262295081967198</v>
      </c>
      <c r="M138" s="433">
        <f t="shared" si="34"/>
        <v>168.52459016393439</v>
      </c>
      <c r="N138" s="434">
        <v>200</v>
      </c>
      <c r="O138" s="435">
        <f t="shared" si="35"/>
        <v>0.84262295081967198</v>
      </c>
      <c r="P138" s="22"/>
    </row>
    <row r="139" spans="1:16" ht="15">
      <c r="A139" s="13" t="s">
        <v>302</v>
      </c>
      <c r="B139" s="27" t="s">
        <v>903</v>
      </c>
      <c r="C139" s="13" t="s">
        <v>523</v>
      </c>
      <c r="D139" s="13">
        <v>224</v>
      </c>
      <c r="E139" s="13"/>
      <c r="F139" s="13" t="s">
        <v>400</v>
      </c>
      <c r="G139" s="442">
        <v>58</v>
      </c>
      <c r="H139" s="440">
        <v>10</v>
      </c>
      <c r="I139" s="28">
        <v>2</v>
      </c>
      <c r="J139" s="441">
        <f t="shared" si="32"/>
        <v>0.34482758620689657</v>
      </c>
      <c r="K139" s="28">
        <v>2</v>
      </c>
      <c r="L139" s="267">
        <f t="shared" si="33"/>
        <v>0.68965517241379315</v>
      </c>
      <c r="M139" s="433">
        <f t="shared" si="34"/>
        <v>121.37931034482759</v>
      </c>
      <c r="N139" s="434">
        <v>176</v>
      </c>
      <c r="O139" s="435">
        <f t="shared" si="35"/>
        <v>0.34482758620689657</v>
      </c>
      <c r="P139" s="22"/>
    </row>
    <row r="140" spans="1:16" ht="15">
      <c r="A140" s="13" t="s">
        <v>292</v>
      </c>
      <c r="B140" s="27" t="s">
        <v>21</v>
      </c>
      <c r="C140" s="13" t="s">
        <v>33</v>
      </c>
      <c r="D140" s="13">
        <v>219</v>
      </c>
      <c r="E140" s="13"/>
      <c r="F140" s="13" t="s">
        <v>12</v>
      </c>
      <c r="G140" s="569">
        <f>7.89*2</f>
        <v>15.78</v>
      </c>
      <c r="H140" s="440">
        <v>10</v>
      </c>
      <c r="I140" s="28">
        <v>2</v>
      </c>
      <c r="J140" s="441">
        <f t="shared" si="32"/>
        <v>1.267427122940431</v>
      </c>
      <c r="K140" s="28">
        <v>1</v>
      </c>
      <c r="L140" s="267">
        <f t="shared" si="33"/>
        <v>1.267427122940431</v>
      </c>
      <c r="M140" s="433">
        <f t="shared" si="34"/>
        <v>210.39290240811155</v>
      </c>
      <c r="N140" s="434">
        <v>166</v>
      </c>
      <c r="O140" s="435">
        <f t="shared" si="35"/>
        <v>0.63371356147021551</v>
      </c>
      <c r="P140" s="22"/>
    </row>
    <row r="141" spans="1:16" ht="30">
      <c r="A141" s="13" t="s">
        <v>406</v>
      </c>
      <c r="B141" s="27" t="s">
        <v>407</v>
      </c>
      <c r="C141" s="13" t="s">
        <v>14</v>
      </c>
      <c r="D141" s="13">
        <v>226</v>
      </c>
      <c r="E141" s="13"/>
      <c r="F141" s="13" t="s">
        <v>12</v>
      </c>
      <c r="G141" s="442">
        <v>61</v>
      </c>
      <c r="H141" s="440">
        <v>10</v>
      </c>
      <c r="I141" s="28">
        <v>1</v>
      </c>
      <c r="J141" s="441">
        <f t="shared" si="32"/>
        <v>0.16393442622950818</v>
      </c>
      <c r="K141" s="28">
        <v>0.80</v>
      </c>
      <c r="L141" s="435">
        <f t="shared" si="33"/>
        <v>0.13114754098360656</v>
      </c>
      <c r="M141" s="266">
        <f t="shared" si="34"/>
        <v>26.229508196721312</v>
      </c>
      <c r="N141" s="433">
        <v>200</v>
      </c>
      <c r="O141" s="435">
        <f t="shared" si="35"/>
        <v>0.13114754098360656</v>
      </c>
      <c r="P141" s="22"/>
    </row>
    <row r="142" spans="1:16" ht="15">
      <c r="A142" s="13" t="s">
        <v>291</v>
      </c>
      <c r="B142" s="27" t="s">
        <v>101</v>
      </c>
      <c r="C142" s="13" t="s">
        <v>33</v>
      </c>
      <c r="D142" s="13">
        <v>219</v>
      </c>
      <c r="E142" s="13"/>
      <c r="F142" s="13" t="s">
        <v>12</v>
      </c>
      <c r="G142" s="442">
        <v>12.08</v>
      </c>
      <c r="H142" s="440">
        <v>10</v>
      </c>
      <c r="I142" s="28">
        <v>2</v>
      </c>
      <c r="J142" s="441">
        <f t="shared" si="32"/>
        <v>1.6556291390728477</v>
      </c>
      <c r="K142" s="28">
        <v>1</v>
      </c>
      <c r="L142" s="267">
        <f t="shared" si="33"/>
        <v>1.6556291390728477</v>
      </c>
      <c r="M142" s="433">
        <f t="shared" si="34"/>
        <v>331.12582781456956</v>
      </c>
      <c r="N142" s="434">
        <v>200</v>
      </c>
      <c r="O142" s="435">
        <f t="shared" si="35"/>
        <v>0.82781456953642385</v>
      </c>
      <c r="P142" s="22"/>
    </row>
    <row r="143" spans="1:16" ht="15">
      <c r="A143" s="13" t="s">
        <v>303</v>
      </c>
      <c r="B143" s="27" t="s">
        <v>304</v>
      </c>
      <c r="C143" s="13" t="s">
        <v>226</v>
      </c>
      <c r="D143" s="13">
        <v>302</v>
      </c>
      <c r="E143" s="13"/>
      <c r="F143" s="13" t="s">
        <v>103</v>
      </c>
      <c r="G143" s="432">
        <v>215.71428571428572</v>
      </c>
      <c r="H143" s="440">
        <v>10</v>
      </c>
      <c r="I143" s="28">
        <v>1</v>
      </c>
      <c r="J143" s="441">
        <f t="shared" si="32"/>
        <v>0.046357615894039736</v>
      </c>
      <c r="K143" s="28">
        <v>23</v>
      </c>
      <c r="L143" s="267">
        <f t="shared" si="33"/>
        <v>1.066225165562914</v>
      </c>
      <c r="M143" s="433">
        <f t="shared" si="34"/>
        <v>187.65562913907286</v>
      </c>
      <c r="N143" s="434">
        <v>176</v>
      </c>
      <c r="O143" s="435">
        <f t="shared" si="35"/>
        <v>1.066225165562914</v>
      </c>
      <c r="P143" s="22"/>
    </row>
    <row r="144" spans="1:16" ht="15">
      <c r="A144" s="13" t="s">
        <v>293</v>
      </c>
      <c r="B144" s="27" t="s">
        <v>102</v>
      </c>
      <c r="C144" s="13" t="s">
        <v>33</v>
      </c>
      <c r="D144" s="13">
        <v>219</v>
      </c>
      <c r="E144" s="13"/>
      <c r="F144" s="13" t="s">
        <v>103</v>
      </c>
      <c r="G144" s="28">
        <f>10*60/1</f>
        <v>600</v>
      </c>
      <c r="H144" s="440">
        <v>10</v>
      </c>
      <c r="I144" s="28">
        <v>1</v>
      </c>
      <c r="J144" s="441">
        <f t="shared" si="32"/>
        <v>0.016666666666666666</v>
      </c>
      <c r="K144" s="28">
        <v>23</v>
      </c>
      <c r="L144" s="267">
        <f t="shared" si="33"/>
        <v>0.3833333333333333</v>
      </c>
      <c r="M144" s="433">
        <f t="shared" si="34"/>
        <v>58.266666666666666</v>
      </c>
      <c r="N144" s="434">
        <v>152</v>
      </c>
      <c r="O144" s="435">
        <f t="shared" si="35"/>
        <v>0.3833333333333333</v>
      </c>
      <c r="P144" s="22"/>
    </row>
    <row r="145" spans="1:16" ht="15">
      <c r="A145" s="13" t="s">
        <v>305</v>
      </c>
      <c r="B145" s="27" t="s">
        <v>343</v>
      </c>
      <c r="C145" s="13" t="s">
        <v>14</v>
      </c>
      <c r="D145" s="13">
        <v>226</v>
      </c>
      <c r="E145" s="13"/>
      <c r="F145" s="13" t="s">
        <v>58</v>
      </c>
      <c r="G145" s="28">
        <v>55.20</v>
      </c>
      <c r="H145" s="440">
        <v>10</v>
      </c>
      <c r="I145" s="28">
        <v>1</v>
      </c>
      <c r="J145" s="441">
        <f t="shared" si="32"/>
        <v>0.18115942028985507</v>
      </c>
      <c r="K145" s="28">
        <v>1.1599999999999999</v>
      </c>
      <c r="L145" s="435">
        <f t="shared" si="33"/>
        <v>0.21014492753623187</v>
      </c>
      <c r="M145" s="266">
        <f t="shared" si="34"/>
        <v>42.028985507246375</v>
      </c>
      <c r="N145" s="433">
        <v>200</v>
      </c>
      <c r="O145" s="435">
        <f t="shared" si="35"/>
        <v>0.21014492753623187</v>
      </c>
      <c r="P145" s="22"/>
    </row>
    <row r="146" spans="1:16" ht="30">
      <c r="A146" s="13" t="s">
        <v>306</v>
      </c>
      <c r="B146" s="27" t="s">
        <v>307</v>
      </c>
      <c r="C146" s="13" t="s">
        <v>14</v>
      </c>
      <c r="D146" s="13">
        <v>226</v>
      </c>
      <c r="E146" s="13"/>
      <c r="F146" s="13" t="s">
        <v>12</v>
      </c>
      <c r="G146" s="28">
        <v>10</v>
      </c>
      <c r="H146" s="440">
        <v>10</v>
      </c>
      <c r="I146" s="28">
        <v>1</v>
      </c>
      <c r="J146" s="441">
        <f t="shared" si="32"/>
        <v>1</v>
      </c>
      <c r="K146" s="28">
        <v>1</v>
      </c>
      <c r="L146" s="435">
        <f t="shared" si="33"/>
        <v>1</v>
      </c>
      <c r="M146" s="266">
        <f t="shared" si="34"/>
        <v>200</v>
      </c>
      <c r="N146" s="433">
        <v>200</v>
      </c>
      <c r="O146" s="435">
        <f t="shared" si="35"/>
        <v>1</v>
      </c>
      <c r="P146" s="22"/>
    </row>
    <row r="147" spans="1:16" ht="15">
      <c r="A147" s="13" t="s">
        <v>296</v>
      </c>
      <c r="B147" s="56" t="s">
        <v>105</v>
      </c>
      <c r="C147" s="13" t="s">
        <v>33</v>
      </c>
      <c r="D147" s="13">
        <v>219</v>
      </c>
      <c r="E147" s="13"/>
      <c r="F147" s="13" t="s">
        <v>96</v>
      </c>
      <c r="G147" s="28">
        <v>12.30</v>
      </c>
      <c r="H147" s="440">
        <v>10</v>
      </c>
      <c r="I147" s="28">
        <v>2</v>
      </c>
      <c r="J147" s="441">
        <f t="shared" si="32"/>
        <v>1.6260162601626016</v>
      </c>
      <c r="K147" s="28">
        <v>1</v>
      </c>
      <c r="L147" s="267">
        <f t="shared" si="33"/>
        <v>1.6260162601626016</v>
      </c>
      <c r="M147" s="433">
        <f t="shared" si="34"/>
        <v>325.20325203252031</v>
      </c>
      <c r="N147" s="434">
        <v>200</v>
      </c>
      <c r="O147" s="435">
        <f t="shared" si="35"/>
        <v>0.81300813008130079</v>
      </c>
      <c r="P147" s="22"/>
    </row>
    <row r="148" spans="1:16" ht="15">
      <c r="A148" s="523" t="s">
        <v>1695</v>
      </c>
      <c r="B148" s="522" t="s">
        <v>1696</v>
      </c>
      <c r="C148" s="523" t="s">
        <v>33</v>
      </c>
      <c r="D148" s="523">
        <v>226</v>
      </c>
      <c r="E148" s="523"/>
      <c r="F148" s="523" t="s">
        <v>12</v>
      </c>
      <c r="G148" s="527">
        <v>20</v>
      </c>
      <c r="H148" s="530">
        <v>10</v>
      </c>
      <c r="I148" s="527">
        <v>1</v>
      </c>
      <c r="J148" s="531">
        <f t="shared" si="32"/>
        <v>0.50</v>
      </c>
      <c r="K148" s="527">
        <v>1</v>
      </c>
      <c r="L148" s="267">
        <f t="shared" si="33"/>
        <v>0.50</v>
      </c>
      <c r="M148" s="433">
        <f t="shared" si="34"/>
        <v>100</v>
      </c>
      <c r="N148" s="434">
        <v>200</v>
      </c>
      <c r="O148" s="435">
        <f t="shared" si="35"/>
        <v>0.50</v>
      </c>
      <c r="P148" s="22"/>
    </row>
    <row r="149" spans="1:16" ht="15">
      <c r="A149" s="13" t="s">
        <v>308</v>
      </c>
      <c r="B149" s="27" t="s">
        <v>309</v>
      </c>
      <c r="C149" s="13" t="s">
        <v>14</v>
      </c>
      <c r="D149" s="13">
        <v>226</v>
      </c>
      <c r="E149" s="13"/>
      <c r="F149" s="13" t="s">
        <v>58</v>
      </c>
      <c r="G149" s="442">
        <v>36.67</v>
      </c>
      <c r="H149" s="440">
        <v>10</v>
      </c>
      <c r="I149" s="28">
        <v>1</v>
      </c>
      <c r="J149" s="441">
        <f t="shared" si="32"/>
        <v>0.27270248159258248</v>
      </c>
      <c r="K149" s="28">
        <v>1</v>
      </c>
      <c r="L149" s="435">
        <f t="shared" si="33"/>
        <v>0.27270248159258248</v>
      </c>
      <c r="M149" s="266">
        <f t="shared" si="34"/>
        <v>41.450777202072537</v>
      </c>
      <c r="N149" s="433">
        <v>152</v>
      </c>
      <c r="O149" s="435">
        <f t="shared" si="35"/>
        <v>0.27270248159258248</v>
      </c>
      <c r="P149" s="22"/>
    </row>
    <row r="150" spans="1:16" ht="15">
      <c r="A150" s="13" t="s">
        <v>294</v>
      </c>
      <c r="B150" s="27" t="s">
        <v>521</v>
      </c>
      <c r="C150" s="13" t="s">
        <v>14</v>
      </c>
      <c r="D150" s="13">
        <v>226</v>
      </c>
      <c r="E150" s="13"/>
      <c r="F150" s="13" t="s">
        <v>58</v>
      </c>
      <c r="G150" s="28">
        <v>23.16</v>
      </c>
      <c r="H150" s="440">
        <v>10</v>
      </c>
      <c r="I150" s="28">
        <v>1</v>
      </c>
      <c r="J150" s="441">
        <f t="shared" si="32"/>
        <v>0.43177892918825561</v>
      </c>
      <c r="K150" s="28">
        <v>6.07</v>
      </c>
      <c r="L150" s="267">
        <f t="shared" si="33"/>
        <v>2.6208981001727119</v>
      </c>
      <c r="M150" s="433">
        <f t="shared" si="34"/>
        <v>524.17962003454238</v>
      </c>
      <c r="N150" s="434">
        <v>200</v>
      </c>
      <c r="O150" s="435">
        <f t="shared" si="35"/>
        <v>2.6208981001727119</v>
      </c>
      <c r="P150" s="22"/>
    </row>
    <row r="151" spans="1:16" ht="15">
      <c r="A151" s="13" t="s">
        <v>1639</v>
      </c>
      <c r="B151" s="27" t="s">
        <v>1640</v>
      </c>
      <c r="C151" s="13" t="s">
        <v>33</v>
      </c>
      <c r="D151" s="13" t="s">
        <v>1333</v>
      </c>
      <c r="E151" s="13"/>
      <c r="F151" s="13" t="s">
        <v>12</v>
      </c>
      <c r="G151" s="442">
        <v>30</v>
      </c>
      <c r="H151" s="440">
        <v>10</v>
      </c>
      <c r="I151" s="28">
        <v>2</v>
      </c>
      <c r="J151" s="441">
        <f t="shared" si="32"/>
        <v>0.66666666666666663</v>
      </c>
      <c r="K151" s="28">
        <v>1</v>
      </c>
      <c r="L151" s="267">
        <f t="shared" si="33"/>
        <v>0.66666666666666663</v>
      </c>
      <c r="M151" s="433">
        <f t="shared" si="34"/>
        <v>101.33333333333333</v>
      </c>
      <c r="N151" s="434">
        <v>152</v>
      </c>
      <c r="O151" s="435">
        <f t="shared" si="35"/>
        <v>0.33333333333333331</v>
      </c>
      <c r="P151" s="21"/>
    </row>
    <row r="152" spans="1:16" ht="15">
      <c r="A152" s="13" t="s">
        <v>295</v>
      </c>
      <c r="B152" s="27" t="s">
        <v>104</v>
      </c>
      <c r="C152" s="13" t="s">
        <v>33</v>
      </c>
      <c r="D152" s="13" t="s">
        <v>1333</v>
      </c>
      <c r="E152" s="13"/>
      <c r="F152" s="13" t="s">
        <v>12</v>
      </c>
      <c r="G152" s="28">
        <v>18.75</v>
      </c>
      <c r="H152" s="440">
        <v>10</v>
      </c>
      <c r="I152" s="28">
        <v>2</v>
      </c>
      <c r="J152" s="441">
        <f t="shared" si="32"/>
        <v>1.0666666666666667</v>
      </c>
      <c r="K152" s="28">
        <v>1</v>
      </c>
      <c r="L152" s="267">
        <f t="shared" si="33"/>
        <v>1.0666666666666667</v>
      </c>
      <c r="M152" s="433">
        <f t="shared" si="34"/>
        <v>162.13333333333333</v>
      </c>
      <c r="N152" s="434">
        <v>152</v>
      </c>
      <c r="O152" s="435">
        <f t="shared" si="35"/>
        <v>0.53333333333333333</v>
      </c>
      <c r="P152" s="21"/>
    </row>
    <row r="153" spans="1:15" s="22" customFormat="1" ht="15">
      <c r="A153" s="443"/>
      <c r="B153" s="495" t="s">
        <v>15</v>
      </c>
      <c r="C153" s="443"/>
      <c r="D153" s="443"/>
      <c r="E153" s="443"/>
      <c r="F153" s="444"/>
      <c r="G153" s="443"/>
      <c r="H153" s="445"/>
      <c r="I153" s="443"/>
      <c r="J153" s="446"/>
      <c r="K153" s="443"/>
      <c r="L153" s="447">
        <f>SUM(L6:L152)</f>
        <v>147.53844348896197</v>
      </c>
      <c r="M153" s="455">
        <f>M18+M47+M61+M74+M85+M131+M81+M5</f>
        <v>29151.618089357475</v>
      </c>
      <c r="N153" s="110"/>
      <c r="O153" s="454">
        <f>O18+O47+O61+O74+O85+O131+O81+O5</f>
        <v>101.04465162051596</v>
      </c>
    </row>
    <row r="154" spans="12:15" ht="15">
      <c r="L154" s="448" t="s">
        <v>16</v>
      </c>
      <c r="O154" s="448" t="s">
        <v>17</v>
      </c>
    </row>
    <row r="155" spans="6:15" ht="15">
      <c r="F155" s="107"/>
      <c r="J155" s="450"/>
      <c r="K155" s="451" t="s">
        <v>18</v>
      </c>
      <c r="L155" s="452">
        <f>L153/G2</f>
        <v>263.46150623028922</v>
      </c>
      <c r="M155" s="450" t="s">
        <v>19</v>
      </c>
      <c r="N155" s="450"/>
      <c r="O155" s="450"/>
    </row>
    <row r="156" spans="6:6" ht="15">
      <c r="F156" s="107"/>
    </row>
    <row r="157" spans="2:8" ht="15">
      <c r="B157" s="493" t="s">
        <v>858</v>
      </c>
      <c r="C157" s="449"/>
      <c r="F157" s="107"/>
      <c r="H157" s="268"/>
    </row>
    <row r="158" spans="6:6" ht="15">
      <c r="F158" s="107"/>
    </row>
    <row r="159" spans="2:3" ht="15">
      <c r="B159" s="493" t="s">
        <v>848</v>
      </c>
      <c r="C159" s="449"/>
    </row>
    <row r="161" spans="2:3" ht="15">
      <c r="B161" s="493" t="s">
        <v>849</v>
      </c>
      <c r="C161" s="449"/>
    </row>
    <row r="165" spans="1:8" ht="15" hidden="1">
      <c r="A165" s="481" t="s">
        <v>328</v>
      </c>
      <c r="B165" s="496" t="s">
        <v>329</v>
      </c>
      <c r="C165" s="481" t="s">
        <v>330</v>
      </c>
      <c r="D165" s="481" t="s">
        <v>331</v>
      </c>
      <c r="E165" s="481" t="s">
        <v>332</v>
      </c>
      <c r="F165" s="481" t="s">
        <v>333</v>
      </c>
      <c r="G165" s="427"/>
      <c r="H165" s="268"/>
    </row>
    <row r="166" spans="1:8" ht="75" hidden="1">
      <c r="A166" s="482">
        <v>1</v>
      </c>
      <c r="B166" s="483" t="s">
        <v>1283</v>
      </c>
      <c r="C166" s="482">
        <v>600</v>
      </c>
      <c r="D166" s="482">
        <v>400</v>
      </c>
      <c r="E166" s="482" t="s">
        <v>954</v>
      </c>
      <c r="F166" s="484">
        <v>44602</v>
      </c>
      <c r="G166" s="427"/>
      <c r="H166" s="268"/>
    </row>
    <row r="167" spans="1:8" ht="30" hidden="1">
      <c r="A167" s="482">
        <v>2</v>
      </c>
      <c r="B167" s="483" t="s">
        <v>1284</v>
      </c>
      <c r="C167" s="485"/>
      <c r="D167" s="485"/>
      <c r="E167" s="482" t="s">
        <v>954</v>
      </c>
      <c r="F167" s="484">
        <v>44602</v>
      </c>
      <c r="G167" s="427"/>
      <c r="H167" s="268"/>
    </row>
    <row r="168" spans="1:6" ht="30" hidden="1">
      <c r="A168" s="482">
        <v>3</v>
      </c>
      <c r="B168" s="483" t="s">
        <v>1555</v>
      </c>
      <c r="C168" s="485"/>
      <c r="D168" s="485"/>
      <c r="E168" s="482" t="s">
        <v>1334</v>
      </c>
      <c r="F168" s="484">
        <v>44656</v>
      </c>
    </row>
    <row r="169" spans="1:6" ht="30" hidden="1">
      <c r="A169" s="482">
        <v>4</v>
      </c>
      <c r="B169" s="483" t="s">
        <v>1556</v>
      </c>
      <c r="C169" s="485"/>
      <c r="D169" s="485"/>
      <c r="E169" s="482" t="s">
        <v>1334</v>
      </c>
      <c r="F169" s="484">
        <v>44656</v>
      </c>
    </row>
    <row r="170" spans="1:6" ht="30" hidden="1">
      <c r="A170" s="482">
        <v>5</v>
      </c>
      <c r="B170" s="483" t="s">
        <v>1557</v>
      </c>
      <c r="C170" s="485"/>
      <c r="D170" s="485"/>
      <c r="E170" s="482" t="s">
        <v>1334</v>
      </c>
      <c r="F170" s="484">
        <v>44656</v>
      </c>
    </row>
    <row r="171" spans="1:6" ht="30" hidden="1">
      <c r="A171" s="482">
        <v>6</v>
      </c>
      <c r="B171" s="483" t="s">
        <v>1558</v>
      </c>
      <c r="C171" s="485"/>
      <c r="D171" s="485"/>
      <c r="E171" s="482" t="s">
        <v>1334</v>
      </c>
      <c r="F171" s="484">
        <v>44656</v>
      </c>
    </row>
    <row r="172" spans="1:6" ht="30" hidden="1">
      <c r="A172" s="482">
        <v>7</v>
      </c>
      <c r="B172" s="483" t="s">
        <v>1559</v>
      </c>
      <c r="C172" s="485"/>
      <c r="D172" s="485"/>
      <c r="E172" s="482" t="s">
        <v>1334</v>
      </c>
      <c r="F172" s="484">
        <v>44656</v>
      </c>
    </row>
    <row r="173" spans="1:6" ht="30" hidden="1">
      <c r="A173" s="482">
        <v>8</v>
      </c>
      <c r="B173" s="483" t="s">
        <v>1560</v>
      </c>
      <c r="C173" s="485"/>
      <c r="D173" s="485"/>
      <c r="E173" s="482" t="s">
        <v>1334</v>
      </c>
      <c r="F173" s="484">
        <v>44656</v>
      </c>
    </row>
    <row r="174" spans="1:6" ht="30" hidden="1">
      <c r="A174" s="482">
        <v>9</v>
      </c>
      <c r="B174" s="483" t="s">
        <v>1561</v>
      </c>
      <c r="C174" s="485"/>
      <c r="D174" s="485"/>
      <c r="E174" s="482" t="s">
        <v>1334</v>
      </c>
      <c r="F174" s="484">
        <v>44656</v>
      </c>
    </row>
    <row r="175" spans="1:6" ht="30" hidden="1">
      <c r="A175" s="482">
        <v>10</v>
      </c>
      <c r="B175" s="483" t="s">
        <v>1436</v>
      </c>
      <c r="C175" s="485"/>
      <c r="D175" s="485"/>
      <c r="E175" s="482" t="s">
        <v>1334</v>
      </c>
      <c r="F175" s="484">
        <v>44656</v>
      </c>
    </row>
    <row r="176" spans="1:6" ht="30" hidden="1">
      <c r="A176" s="482">
        <v>11</v>
      </c>
      <c r="B176" s="483" t="s">
        <v>1562</v>
      </c>
      <c r="C176" s="485"/>
      <c r="D176" s="485"/>
      <c r="E176" s="482" t="s">
        <v>1334</v>
      </c>
      <c r="F176" s="484">
        <v>44656</v>
      </c>
    </row>
    <row r="177" ht="15.75" thickBot="1"/>
    <row r="178" spans="1:15" ht="15">
      <c r="A178" s="500" t="s">
        <v>328</v>
      </c>
      <c r="B178" s="631" t="s">
        <v>1593</v>
      </c>
      <c r="C178" s="632"/>
      <c r="D178" s="633"/>
      <c r="E178" s="501" t="s">
        <v>332</v>
      </c>
      <c r="F178" s="502" t="s">
        <v>333</v>
      </c>
      <c r="G178" s="427"/>
      <c r="H178" s="268"/>
      <c r="O178" s="503"/>
    </row>
    <row r="179" spans="1:15" ht="15.75" thickBot="1">
      <c r="A179" s="504">
        <v>1</v>
      </c>
      <c r="B179" s="634" t="s">
        <v>1594</v>
      </c>
      <c r="C179" s="635"/>
      <c r="D179" s="636"/>
      <c r="E179" s="505" t="s">
        <v>1334</v>
      </c>
      <c r="F179" s="506">
        <v>44677</v>
      </c>
      <c r="G179" s="427"/>
      <c r="H179" s="268"/>
      <c r="O179" s="503"/>
    </row>
    <row r="180" spans="1:15" ht="15">
      <c r="A180" s="54" t="s">
        <v>656</v>
      </c>
      <c r="B180" s="55" t="s">
        <v>1038</v>
      </c>
      <c r="C180" s="13" t="s">
        <v>862</v>
      </c>
      <c r="D180" s="13">
        <v>224</v>
      </c>
      <c r="E180" s="13"/>
      <c r="F180" s="17"/>
      <c r="G180" s="432">
        <f>(600-20)/3</f>
        <v>193.33333333333334</v>
      </c>
      <c r="H180" s="440">
        <v>10</v>
      </c>
      <c r="I180" s="28">
        <v>2</v>
      </c>
      <c r="J180" s="441">
        <f>H180/G180*I180</f>
        <v>0.10344827586206896</v>
      </c>
      <c r="K180" s="28">
        <v>2</v>
      </c>
      <c r="L180" s="267">
        <f>J180*K180</f>
        <v>0.20689655172413793</v>
      </c>
      <c r="M180" s="433">
        <f>L180*N180</f>
        <v>41.379310344827587</v>
      </c>
      <c r="N180" s="434">
        <v>200</v>
      </c>
      <c r="O180" s="435">
        <f>J180/I180*K180</f>
        <v>0.10344827586206896</v>
      </c>
    </row>
    <row r="181" spans="1:15" ht="15">
      <c r="A181" s="645" t="s">
        <v>198</v>
      </c>
      <c r="B181" s="639" t="s">
        <v>889</v>
      </c>
      <c r="C181" s="13" t="s">
        <v>28</v>
      </c>
      <c r="D181" s="13">
        <v>122</v>
      </c>
      <c r="E181" s="13"/>
      <c r="F181" s="4" t="s">
        <v>868</v>
      </c>
      <c r="G181" s="28">
        <v>15</v>
      </c>
      <c r="H181" s="437">
        <v>10</v>
      </c>
      <c r="I181" s="28">
        <v>2</v>
      </c>
      <c r="J181" s="438">
        <f>H181/G181*I181</f>
        <v>1.3333333333333333</v>
      </c>
      <c r="K181" s="28">
        <v>1</v>
      </c>
      <c r="L181" s="267">
        <f>J181*K181</f>
        <v>1.3333333333333333</v>
      </c>
      <c r="M181" s="433">
        <f>L181*N181</f>
        <v>266.66666666666663</v>
      </c>
      <c r="N181" s="434">
        <v>200</v>
      </c>
      <c r="O181" s="435">
        <f>J181/I181*K181</f>
        <v>0.66666666666666663</v>
      </c>
    </row>
    <row r="182" spans="1:15" ht="15.75" thickBot="1">
      <c r="A182" s="647"/>
      <c r="B182" s="641"/>
      <c r="C182" s="13" t="s">
        <v>49</v>
      </c>
      <c r="D182" s="13">
        <v>112</v>
      </c>
      <c r="E182" s="13" t="s">
        <v>869</v>
      </c>
      <c r="F182" s="13" t="s">
        <v>10</v>
      </c>
      <c r="G182" s="28">
        <v>40</v>
      </c>
      <c r="H182" s="437">
        <v>10</v>
      </c>
      <c r="I182" s="28">
        <v>1</v>
      </c>
      <c r="J182" s="438">
        <f>H182/G182*I182</f>
        <v>0.25</v>
      </c>
      <c r="K182" s="436">
        <f>(1120+720+250*2*2)/1000</f>
        <v>2.84</v>
      </c>
      <c r="L182" s="267">
        <f>J182*K182</f>
        <v>0.71</v>
      </c>
      <c r="M182" s="433">
        <f>L182*N182</f>
        <v>142</v>
      </c>
      <c r="N182" s="434">
        <v>200</v>
      </c>
      <c r="O182" s="435">
        <f>J182/I182*K182</f>
        <v>0.71</v>
      </c>
    </row>
    <row r="183" spans="1:15" ht="15">
      <c r="A183" s="500" t="s">
        <v>328</v>
      </c>
      <c r="B183" s="631" t="s">
        <v>1593</v>
      </c>
      <c r="C183" s="632"/>
      <c r="D183" s="633"/>
      <c r="E183" s="501" t="s">
        <v>332</v>
      </c>
      <c r="F183" s="502" t="s">
        <v>333</v>
      </c>
      <c r="G183" s="427"/>
      <c r="H183" s="268"/>
      <c r="O183" s="503"/>
    </row>
    <row r="184" spans="1:15" ht="15.75" thickBot="1">
      <c r="A184" s="504">
        <v>2</v>
      </c>
      <c r="B184" s="634" t="s">
        <v>1605</v>
      </c>
      <c r="C184" s="635"/>
      <c r="D184" s="636"/>
      <c r="E184" s="505" t="s">
        <v>1334</v>
      </c>
      <c r="F184" s="506">
        <v>44677</v>
      </c>
      <c r="G184" s="427"/>
      <c r="H184" s="268"/>
      <c r="O184" s="503"/>
    </row>
    <row r="185" spans="1:16" ht="15">
      <c r="A185" s="13" t="s">
        <v>1639</v>
      </c>
      <c r="B185" s="27" t="s">
        <v>1640</v>
      </c>
      <c r="C185" s="13" t="s">
        <v>33</v>
      </c>
      <c r="D185" s="13" t="s">
        <v>1333</v>
      </c>
      <c r="E185" s="13"/>
      <c r="F185" s="13" t="s">
        <v>12</v>
      </c>
      <c r="G185" s="442">
        <v>30</v>
      </c>
      <c r="H185" s="440">
        <v>10</v>
      </c>
      <c r="I185" s="28">
        <v>2</v>
      </c>
      <c r="J185" s="441">
        <f t="shared" si="36" ref="J185">H185/G185*I185</f>
        <v>0.66666666666666663</v>
      </c>
      <c r="K185" s="28">
        <v>1</v>
      </c>
      <c r="L185" s="267">
        <f t="shared" si="37" ref="L185">J185*K185</f>
        <v>0.66666666666666663</v>
      </c>
      <c r="M185" s="433">
        <f t="shared" si="38" ref="M185">L185*N185</f>
        <v>101.33333333333333</v>
      </c>
      <c r="N185" s="434">
        <v>152</v>
      </c>
      <c r="O185" s="435">
        <f t="shared" si="39" ref="O185">J185/I185*K185</f>
        <v>0.33333333333333331</v>
      </c>
      <c r="P185" s="21"/>
    </row>
    <row r="186" ht="15.75" thickBot="1"/>
    <row r="187" spans="1:7" ht="15">
      <c r="A187" s="500" t="s">
        <v>328</v>
      </c>
      <c r="B187" s="631" t="s">
        <v>1593</v>
      </c>
      <c r="C187" s="632"/>
      <c r="D187" s="633"/>
      <c r="E187" s="501" t="s">
        <v>332</v>
      </c>
      <c r="F187" s="502" t="s">
        <v>333</v>
      </c>
      <c r="G187" s="68"/>
    </row>
    <row r="188" spans="1:7" ht="15.75" thickBot="1">
      <c r="A188" s="504">
        <v>3</v>
      </c>
      <c r="B188" s="634" t="s">
        <v>1605</v>
      </c>
      <c r="C188" s="635"/>
      <c r="D188" s="636"/>
      <c r="E188" s="505" t="s">
        <v>1682</v>
      </c>
      <c r="F188" s="506">
        <v>44987</v>
      </c>
      <c r="G188" s="68"/>
    </row>
    <row r="189" spans="1:15" ht="30">
      <c r="A189" s="529" t="s">
        <v>1662</v>
      </c>
      <c r="B189" s="522" t="s">
        <v>1661</v>
      </c>
      <c r="C189" s="523" t="s">
        <v>9</v>
      </c>
      <c r="D189" s="523">
        <v>109</v>
      </c>
      <c r="E189" s="523"/>
      <c r="F189" s="524" t="s">
        <v>10</v>
      </c>
      <c r="G189" s="525">
        <v>33</v>
      </c>
      <c r="H189" s="526">
        <v>10</v>
      </c>
      <c r="I189" s="527">
        <v>1</v>
      </c>
      <c r="J189" s="528">
        <f t="shared" si="40" ref="J189:J193">H189/G189*I189</f>
        <v>0.30303030303030304</v>
      </c>
      <c r="K189" s="525">
        <f>(350*2)/1000</f>
        <v>0.70</v>
      </c>
      <c r="L189" s="267">
        <f t="shared" si="41" ref="L189:L193">J189*K189</f>
        <v>0.21212121212121213</v>
      </c>
      <c r="M189" s="266">
        <f t="shared" si="42" ref="M189:M193">L189*N189</f>
        <v>32.242424242424242</v>
      </c>
      <c r="N189" s="433">
        <v>152</v>
      </c>
      <c r="O189" s="267">
        <f t="shared" si="43" ref="O189:O193">J189/I189*K189</f>
        <v>0.21212121212121213</v>
      </c>
    </row>
    <row r="190" spans="1:15" ht="30">
      <c r="A190" s="523" t="s">
        <v>1668</v>
      </c>
      <c r="B190" s="522" t="s">
        <v>1670</v>
      </c>
      <c r="C190" s="523" t="s">
        <v>33</v>
      </c>
      <c r="D190" s="523">
        <v>116</v>
      </c>
      <c r="E190" s="523"/>
      <c r="F190" s="523" t="s">
        <v>1666</v>
      </c>
      <c r="G190" s="527">
        <v>16.11</v>
      </c>
      <c r="H190" s="530">
        <v>10</v>
      </c>
      <c r="I190" s="527">
        <v>2</v>
      </c>
      <c r="J190" s="531">
        <f t="shared" si="40"/>
        <v>1.2414649286157666</v>
      </c>
      <c r="K190" s="527">
        <v>1</v>
      </c>
      <c r="L190" s="267">
        <f t="shared" si="41"/>
        <v>1.2414649286157666</v>
      </c>
      <c r="M190" s="433">
        <f t="shared" si="42"/>
        <v>248.29298572315332</v>
      </c>
      <c r="N190" s="434">
        <v>200</v>
      </c>
      <c r="O190" s="435">
        <f t="shared" si="43"/>
        <v>0.62073246430788331</v>
      </c>
    </row>
    <row r="191" spans="1:15" ht="30">
      <c r="A191" s="523" t="s">
        <v>1669</v>
      </c>
      <c r="B191" s="522" t="s">
        <v>1671</v>
      </c>
      <c r="C191" s="523" t="s">
        <v>33</v>
      </c>
      <c r="D191" s="523">
        <v>116</v>
      </c>
      <c r="E191" s="523"/>
      <c r="F191" s="523" t="s">
        <v>10</v>
      </c>
      <c r="G191" s="527">
        <v>40</v>
      </c>
      <c r="H191" s="530">
        <v>10</v>
      </c>
      <c r="I191" s="527">
        <v>1</v>
      </c>
      <c r="J191" s="531">
        <f t="shared" si="40"/>
        <v>0.25</v>
      </c>
      <c r="K191" s="525">
        <f>2757/1000</f>
        <v>2.7570000000000001</v>
      </c>
      <c r="L191" s="267">
        <f t="shared" si="41"/>
        <v>0.68925000000000003</v>
      </c>
      <c r="M191" s="433">
        <f t="shared" si="42"/>
        <v>137.84999999999999</v>
      </c>
      <c r="N191" s="434">
        <v>200</v>
      </c>
      <c r="O191" s="435">
        <f t="shared" si="43"/>
        <v>0.68925000000000003</v>
      </c>
    </row>
    <row r="192" spans="1:15" ht="30">
      <c r="A192" s="523" t="s">
        <v>1663</v>
      </c>
      <c r="B192" s="522" t="s">
        <v>1665</v>
      </c>
      <c r="C192" s="523" t="s">
        <v>33</v>
      </c>
      <c r="D192" s="523">
        <v>116</v>
      </c>
      <c r="E192" s="523"/>
      <c r="F192" s="523" t="s">
        <v>1666</v>
      </c>
      <c r="G192" s="527">
        <v>14.96</v>
      </c>
      <c r="H192" s="530">
        <v>10</v>
      </c>
      <c r="I192" s="527">
        <v>2</v>
      </c>
      <c r="J192" s="531">
        <f t="shared" si="40"/>
        <v>1.3368983957219251</v>
      </c>
      <c r="K192" s="527">
        <v>1</v>
      </c>
      <c r="L192" s="267">
        <f t="shared" si="41"/>
        <v>1.3368983957219251</v>
      </c>
      <c r="M192" s="433">
        <f t="shared" si="42"/>
        <v>267.37967914438502</v>
      </c>
      <c r="N192" s="434">
        <v>200</v>
      </c>
      <c r="O192" s="435">
        <f t="shared" si="43"/>
        <v>0.66844919786096257</v>
      </c>
    </row>
    <row r="193" spans="1:15" ht="30">
      <c r="A193" s="523" t="s">
        <v>1664</v>
      </c>
      <c r="B193" s="522" t="s">
        <v>1667</v>
      </c>
      <c r="C193" s="523" t="s">
        <v>33</v>
      </c>
      <c r="D193" s="523">
        <v>116</v>
      </c>
      <c r="E193" s="523"/>
      <c r="F193" s="523" t="s">
        <v>10</v>
      </c>
      <c r="G193" s="527">
        <v>40</v>
      </c>
      <c r="H193" s="530">
        <v>10</v>
      </c>
      <c r="I193" s="527">
        <v>1</v>
      </c>
      <c r="J193" s="531">
        <f t="shared" si="40"/>
        <v>0.25</v>
      </c>
      <c r="K193" s="525">
        <f>2871/1000</f>
        <v>2.871</v>
      </c>
      <c r="L193" s="267">
        <f t="shared" si="41"/>
        <v>0.71775</v>
      </c>
      <c r="M193" s="433">
        <f t="shared" si="42"/>
        <v>143.55000000000001</v>
      </c>
      <c r="N193" s="434">
        <v>200</v>
      </c>
      <c r="O193" s="435">
        <f t="shared" si="43"/>
        <v>0.71775</v>
      </c>
    </row>
    <row r="194" ht="15.75" thickBot="1"/>
    <row r="195" spans="1:6" ht="15">
      <c r="A195" s="500" t="s">
        <v>328</v>
      </c>
      <c r="B195" s="631" t="s">
        <v>1593</v>
      </c>
      <c r="C195" s="632"/>
      <c r="D195" s="633"/>
      <c r="E195" s="501" t="s">
        <v>332</v>
      </c>
      <c r="F195" s="502" t="s">
        <v>333</v>
      </c>
    </row>
    <row r="196" spans="1:6" ht="15.75" thickBot="1">
      <c r="A196" s="504">
        <v>4</v>
      </c>
      <c r="B196" s="634" t="s">
        <v>1605</v>
      </c>
      <c r="C196" s="635"/>
      <c r="D196" s="636"/>
      <c r="E196" s="505" t="s">
        <v>1682</v>
      </c>
      <c r="F196" s="506">
        <v>45055</v>
      </c>
    </row>
    <row r="197" spans="1:15" ht="15">
      <c r="A197" s="523" t="s">
        <v>1695</v>
      </c>
      <c r="B197" s="522" t="s">
        <v>1696</v>
      </c>
      <c r="C197" s="523" t="s">
        <v>33</v>
      </c>
      <c r="D197" s="523">
        <v>226</v>
      </c>
      <c r="E197" s="523"/>
      <c r="F197" s="523" t="s">
        <v>12</v>
      </c>
      <c r="G197" s="527">
        <v>20</v>
      </c>
      <c r="H197" s="530">
        <v>10</v>
      </c>
      <c r="I197" s="527">
        <v>1</v>
      </c>
      <c r="J197" s="531">
        <f t="shared" si="44" ref="J197">H197/G197*I197</f>
        <v>0.50</v>
      </c>
      <c r="K197" s="527">
        <v>1</v>
      </c>
      <c r="L197" s="267">
        <f t="shared" si="45" ref="L197">J197*K197</f>
        <v>0.50</v>
      </c>
      <c r="M197" s="433">
        <f t="shared" si="46" ref="M197">L197*N197</f>
        <v>100</v>
      </c>
      <c r="N197" s="434">
        <v>200</v>
      </c>
      <c r="O197" s="435">
        <f t="shared" si="47" ref="O197">J197/I197*K197</f>
        <v>0.50</v>
      </c>
    </row>
    <row r="198" ht="15.75" thickBot="1"/>
    <row r="199" spans="1:6" ht="15">
      <c r="A199" s="500" t="s">
        <v>328</v>
      </c>
      <c r="B199" s="631" t="s">
        <v>1593</v>
      </c>
      <c r="C199" s="632"/>
      <c r="D199" s="633"/>
      <c r="E199" s="501" t="s">
        <v>332</v>
      </c>
      <c r="F199" s="502" t="s">
        <v>333</v>
      </c>
    </row>
    <row r="200" spans="1:6" ht="15.75" thickBot="1">
      <c r="A200" s="504">
        <v>5</v>
      </c>
      <c r="B200" s="634" t="s">
        <v>1657</v>
      </c>
      <c r="C200" s="635"/>
      <c r="D200" s="636"/>
      <c r="E200" s="505" t="s">
        <v>1697</v>
      </c>
      <c r="F200" s="506">
        <v>45142</v>
      </c>
    </row>
    <row r="201" spans="1:16" ht="15">
      <c r="A201" s="13" t="s">
        <v>292</v>
      </c>
      <c r="B201" s="27" t="s">
        <v>21</v>
      </c>
      <c r="C201" s="13" t="s">
        <v>33</v>
      </c>
      <c r="D201" s="13">
        <v>219</v>
      </c>
      <c r="E201" s="13"/>
      <c r="F201" s="13" t="s">
        <v>12</v>
      </c>
      <c r="G201" s="436">
        <v>7.89</v>
      </c>
      <c r="H201" s="440">
        <v>10</v>
      </c>
      <c r="I201" s="28">
        <v>2</v>
      </c>
      <c r="J201" s="441">
        <f t="shared" si="48" ref="J201:J202">H201/G201*I201</f>
        <v>2.5348542458808621</v>
      </c>
      <c r="K201" s="28">
        <v>1</v>
      </c>
      <c r="L201" s="267">
        <f t="shared" si="49" ref="L201:L202">J201*K201</f>
        <v>2.5348542458808621</v>
      </c>
      <c r="M201" s="433">
        <f t="shared" si="50" ref="M201:M202">L201*N201</f>
        <v>420.78580481622311</v>
      </c>
      <c r="N201" s="434">
        <v>166</v>
      </c>
      <c r="O201" s="435">
        <f t="shared" si="51" ref="O201:O202">J201/I201*K201</f>
        <v>1.267427122940431</v>
      </c>
      <c r="P201" s="22"/>
    </row>
    <row r="202" spans="1:16" ht="15">
      <c r="A202" s="13" t="s">
        <v>292</v>
      </c>
      <c r="B202" s="27" t="s">
        <v>21</v>
      </c>
      <c r="C202" s="13" t="s">
        <v>33</v>
      </c>
      <c r="D202" s="13">
        <v>219</v>
      </c>
      <c r="E202" s="13"/>
      <c r="F202" s="13" t="s">
        <v>12</v>
      </c>
      <c r="G202" s="569">
        <f t="shared" si="52" ref="G202">7.89*2</f>
        <v>15.78</v>
      </c>
      <c r="H202" s="440">
        <v>10</v>
      </c>
      <c r="I202" s="28">
        <v>2</v>
      </c>
      <c r="J202" s="441">
        <f t="shared" si="48"/>
        <v>1.267427122940431</v>
      </c>
      <c r="K202" s="28">
        <v>1</v>
      </c>
      <c r="L202" s="267">
        <f t="shared" si="49"/>
        <v>1.267427122940431</v>
      </c>
      <c r="M202" s="433">
        <f t="shared" si="50"/>
        <v>210.39290240811155</v>
      </c>
      <c r="N202" s="434">
        <v>166</v>
      </c>
      <c r="O202" s="435">
        <f t="shared" si="51"/>
        <v>0.63371356147021551</v>
      </c>
      <c r="P202" s="22"/>
    </row>
  </sheetData>
  <autoFilter ref="A4:P155"/>
  <mergeCells count="52">
    <mergeCell ref="B61:K61"/>
    <mergeCell ref="A62:A64"/>
    <mergeCell ref="A52:A54"/>
    <mergeCell ref="B52:B54"/>
    <mergeCell ref="E52:E54"/>
    <mergeCell ref="A57:A58"/>
    <mergeCell ref="B57:B58"/>
    <mergeCell ref="B62:B64"/>
    <mergeCell ref="A37:A38"/>
    <mergeCell ref="B37:B38"/>
    <mergeCell ref="B47:K47"/>
    <mergeCell ref="A22:A24"/>
    <mergeCell ref="B22:B24"/>
    <mergeCell ref="B74:K74"/>
    <mergeCell ref="B5:K5"/>
    <mergeCell ref="B18:K18"/>
    <mergeCell ref="A20:A21"/>
    <mergeCell ref="B20:B21"/>
    <mergeCell ref="E20:E21"/>
    <mergeCell ref="E22:E24"/>
    <mergeCell ref="A50:A51"/>
    <mergeCell ref="B50:B51"/>
    <mergeCell ref="E50:E51"/>
    <mergeCell ref="A31:A32"/>
    <mergeCell ref="B31:B32"/>
    <mergeCell ref="E31:E32"/>
    <mergeCell ref="A33:A35"/>
    <mergeCell ref="B33:B35"/>
    <mergeCell ref="E33:E35"/>
    <mergeCell ref="A181:A182"/>
    <mergeCell ref="B181:B182"/>
    <mergeCell ref="B81:K81"/>
    <mergeCell ref="B85:K85"/>
    <mergeCell ref="A92:A93"/>
    <mergeCell ref="B92:B93"/>
    <mergeCell ref="A105:A106"/>
    <mergeCell ref="B105:B106"/>
    <mergeCell ref="A107:A108"/>
    <mergeCell ref="B107:B108"/>
    <mergeCell ref="A109:A110"/>
    <mergeCell ref="B109:B110"/>
    <mergeCell ref="B131:K131"/>
    <mergeCell ref="B183:D183"/>
    <mergeCell ref="B184:D184"/>
    <mergeCell ref="B178:D178"/>
    <mergeCell ref="B179:D179"/>
    <mergeCell ref="B199:D199"/>
    <mergeCell ref="B200:D200"/>
    <mergeCell ref="B195:D195"/>
    <mergeCell ref="B196:D196"/>
    <mergeCell ref="B187:D187"/>
    <mergeCell ref="B188:D18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2:Q161"/>
  <sheetViews>
    <sheetView zoomScale="85" zoomScaleNormal="85" workbookViewId="0" topLeftCell="A1">
      <pane ySplit="4" topLeftCell="A128" activePane="bottomLeft" state="frozen"/>
      <selection pane="topLeft" activeCell="A1" sqref="A1"/>
      <selection pane="bottomLeft" activeCell="A145" sqref="A145:XFD145"/>
    </sheetView>
  </sheetViews>
  <sheetFormatPr defaultRowHeight="15"/>
  <cols>
    <col min="1" max="1" width="8.714285714285714" customWidth="1"/>
    <col min="2" max="2" width="48" customWidth="1"/>
    <col min="3" max="3" width="42.714285714285715" customWidth="1"/>
    <col min="4" max="4" width="30.571428571428573" customWidth="1"/>
    <col min="5" max="5" width="34" style="1" customWidth="1"/>
    <col min="6" max="6" width="15.285714285714286" customWidth="1"/>
    <col min="7" max="7" width="14" style="2" customWidth="1"/>
    <col min="8" max="8" width="13.285714285714286" customWidth="1"/>
    <col min="9" max="9" width="4.714285714285714" customWidth="1"/>
    <col min="10" max="10" width="14.142857142857142" customWidth="1"/>
    <col min="11" max="11" width="13.285714285714286" customWidth="1"/>
    <col min="12" max="12" width="19.142857142857142" bestFit="1" customWidth="1"/>
    <col min="13" max="14" width="10.714285714285714" customWidth="1"/>
    <col min="15" max="15" width="18.571428571428573" bestFit="1" customWidth="1"/>
    <col min="16" max="17" width="5.714285714285714" customWidth="1"/>
  </cols>
  <sheetData>
    <row r="1" ht="15" customHeight="1"/>
    <row r="2" spans="2:7" ht="15" customHeight="1">
      <c r="B2" s="3" t="s">
        <v>352</v>
      </c>
      <c r="E2" s="14" t="s">
        <v>22</v>
      </c>
      <c r="F2">
        <f>3010/1000</f>
        <v>3.01</v>
      </c>
      <c r="G2" s="2" t="s">
        <v>23</v>
      </c>
    </row>
    <row r="3" spans="3:4" ht="15" customHeight="1">
      <c r="C3" s="3"/>
      <c r="D3" s="3"/>
    </row>
    <row r="4" spans="1:15" ht="65.25" customHeight="1">
      <c r="A4" s="13" t="s">
        <v>20</v>
      </c>
      <c r="B4" s="13" t="s">
        <v>0</v>
      </c>
      <c r="C4" s="13" t="s">
        <v>1</v>
      </c>
      <c r="D4" s="4" t="s">
        <v>35</v>
      </c>
      <c r="E4" s="4" t="s">
        <v>2</v>
      </c>
      <c r="F4" s="4" t="s">
        <v>3</v>
      </c>
      <c r="G4" s="5" t="s">
        <v>4</v>
      </c>
      <c r="H4" s="4" t="s">
        <v>5</v>
      </c>
      <c r="I4" s="4"/>
      <c r="J4" s="6" t="s">
        <v>6</v>
      </c>
      <c r="K4" s="4" t="s">
        <v>128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 customHeight="1">
      <c r="A5" s="39"/>
      <c r="B5" s="649" t="s">
        <v>130</v>
      </c>
      <c r="C5" s="649"/>
      <c r="D5" s="649"/>
      <c r="E5" s="649"/>
      <c r="F5" s="649"/>
      <c r="G5" s="649"/>
      <c r="H5" s="649"/>
      <c r="I5" s="649"/>
      <c r="J5" s="649"/>
      <c r="K5" s="649"/>
      <c r="L5" s="15"/>
      <c r="M5" s="40">
        <f>SUM(M6:M38)</f>
        <v>6541.1587485750497</v>
      </c>
      <c r="N5" s="45"/>
      <c r="O5" s="8"/>
    </row>
    <row r="6" spans="1:15" ht="15" customHeight="1">
      <c r="A6" s="642" t="s">
        <v>143</v>
      </c>
      <c r="B6" s="639" t="s">
        <v>144</v>
      </c>
      <c r="C6" s="13" t="s">
        <v>320</v>
      </c>
      <c r="D6" s="13"/>
      <c r="E6" s="17" t="s">
        <v>142</v>
      </c>
      <c r="F6" s="16">
        <v>20</v>
      </c>
      <c r="G6" s="18">
        <v>11</v>
      </c>
      <c r="H6" s="16">
        <v>1</v>
      </c>
      <c r="I6" s="16"/>
      <c r="J6" s="20">
        <f t="shared" si="0" ref="J6:J22">G6/F6*H6</f>
        <v>0.55000000000000004</v>
      </c>
      <c r="K6" s="30">
        <v>1</v>
      </c>
      <c r="L6" s="26">
        <f t="shared" si="1" ref="L6:L38">J6*K6</f>
        <v>0.55000000000000004</v>
      </c>
      <c r="M6" s="37">
        <f t="shared" si="2" ref="M6:M38">L6*N6</f>
        <v>110.00000000000001</v>
      </c>
      <c r="N6" s="38">
        <v>200</v>
      </c>
      <c r="O6" s="8">
        <f t="shared" si="3" ref="O6:O38">J6/H6*K6</f>
        <v>0.55000000000000004</v>
      </c>
    </row>
    <row r="7" spans="1:15" ht="15" customHeight="1">
      <c r="A7" s="643"/>
      <c r="B7" s="640"/>
      <c r="C7" s="13" t="s">
        <v>145</v>
      </c>
      <c r="D7" s="13"/>
      <c r="E7" s="17" t="s">
        <v>142</v>
      </c>
      <c r="F7" s="16">
        <v>20</v>
      </c>
      <c r="G7" s="18">
        <v>11</v>
      </c>
      <c r="H7" s="16">
        <v>1</v>
      </c>
      <c r="I7" s="16"/>
      <c r="J7" s="20">
        <f t="shared" si="0"/>
        <v>0.55000000000000004</v>
      </c>
      <c r="K7" s="30">
        <v>1</v>
      </c>
      <c r="L7" s="26">
        <f t="shared" si="1"/>
        <v>0.55000000000000004</v>
      </c>
      <c r="M7" s="37">
        <f t="shared" si="2"/>
        <v>110.00000000000001</v>
      </c>
      <c r="N7" s="38">
        <v>200</v>
      </c>
      <c r="O7" s="8">
        <f t="shared" si="3"/>
        <v>0.55000000000000004</v>
      </c>
    </row>
    <row r="8" spans="1:15" ht="15" customHeight="1">
      <c r="A8" s="642" t="s">
        <v>146</v>
      </c>
      <c r="B8" s="895" t="s">
        <v>411</v>
      </c>
      <c r="C8" s="13" t="s">
        <v>321</v>
      </c>
      <c r="D8" s="13" t="s">
        <v>44</v>
      </c>
      <c r="E8" s="17" t="s">
        <v>10</v>
      </c>
      <c r="F8" s="16">
        <v>27</v>
      </c>
      <c r="G8" s="18">
        <v>10</v>
      </c>
      <c r="H8" s="16">
        <v>1</v>
      </c>
      <c r="I8" s="16"/>
      <c r="J8" s="20">
        <f t="shared" si="0"/>
        <v>0.37037037037037035</v>
      </c>
      <c r="K8" s="30">
        <f>(400*2)/1000+0.2</f>
        <v>1</v>
      </c>
      <c r="L8" s="26">
        <f t="shared" si="1"/>
        <v>0.37037037037037035</v>
      </c>
      <c r="M8" s="87">
        <f t="shared" si="2"/>
        <v>74.074074074074076</v>
      </c>
      <c r="N8" s="38">
        <v>200</v>
      </c>
      <c r="O8" s="8">
        <f t="shared" si="3"/>
        <v>0.37037037037037035</v>
      </c>
    </row>
    <row r="9" spans="1:15" ht="15">
      <c r="A9" s="643"/>
      <c r="B9" s="896"/>
      <c r="C9" s="13" t="s">
        <v>147</v>
      </c>
      <c r="D9" s="13" t="s">
        <v>44</v>
      </c>
      <c r="E9" s="17" t="s">
        <v>10</v>
      </c>
      <c r="F9" s="16">
        <v>27</v>
      </c>
      <c r="G9" s="18">
        <v>10</v>
      </c>
      <c r="H9" s="16">
        <v>1</v>
      </c>
      <c r="I9" s="16"/>
      <c r="J9" s="20">
        <f t="shared" si="0"/>
        <v>0.37037037037037035</v>
      </c>
      <c r="K9" s="30">
        <f>(1480*2)/1000+0.2</f>
        <v>3.16</v>
      </c>
      <c r="L9" s="26">
        <f t="shared" si="1"/>
        <v>1.1703703703703703</v>
      </c>
      <c r="M9" s="87">
        <f t="shared" si="2"/>
        <v>234.07407407407405</v>
      </c>
      <c r="N9" s="38">
        <v>200</v>
      </c>
      <c r="O9" s="8">
        <f t="shared" si="3"/>
        <v>1.1703703703703703</v>
      </c>
    </row>
    <row r="10" spans="1:15" ht="15">
      <c r="A10" s="893" t="s">
        <v>146</v>
      </c>
      <c r="B10" s="895" t="s">
        <v>412</v>
      </c>
      <c r="C10" s="44" t="s">
        <v>418</v>
      </c>
      <c r="D10" s="897" t="s">
        <v>43</v>
      </c>
      <c r="E10" s="61" t="s">
        <v>10</v>
      </c>
      <c r="F10" s="62">
        <v>40</v>
      </c>
      <c r="G10" s="63">
        <v>10</v>
      </c>
      <c r="H10" s="62">
        <v>1</v>
      </c>
      <c r="I10" s="62"/>
      <c r="J10" s="88">
        <f t="shared" si="0"/>
        <v>0.25</v>
      </c>
      <c r="K10" s="65">
        <f>(400)/1000+0.1</f>
        <v>0.50</v>
      </c>
      <c r="L10" s="26">
        <f t="shared" si="1"/>
        <v>0.125</v>
      </c>
      <c r="M10" s="43">
        <f t="shared" si="2"/>
        <v>25</v>
      </c>
      <c r="N10" s="85">
        <v>200</v>
      </c>
      <c r="O10" s="8">
        <f t="shared" si="3"/>
        <v>0.125</v>
      </c>
    </row>
    <row r="11" spans="1:15" ht="15">
      <c r="A11" s="894"/>
      <c r="B11" s="896"/>
      <c r="C11" s="44" t="s">
        <v>419</v>
      </c>
      <c r="D11" s="897"/>
      <c r="E11" s="61" t="s">
        <v>10</v>
      </c>
      <c r="F11" s="62">
        <v>25</v>
      </c>
      <c r="G11" s="63">
        <v>10</v>
      </c>
      <c r="H11" s="62">
        <v>1</v>
      </c>
      <c r="I11" s="62"/>
      <c r="J11" s="88">
        <f t="shared" si="0"/>
        <v>0.40</v>
      </c>
      <c r="K11" s="65">
        <f>(400)/1000</f>
        <v>0.40</v>
      </c>
      <c r="L11" s="26">
        <f t="shared" si="1"/>
        <v>0.16000000000000003</v>
      </c>
      <c r="M11" s="43">
        <f t="shared" si="2"/>
        <v>22.080000000000005</v>
      </c>
      <c r="N11" s="85">
        <v>138</v>
      </c>
      <c r="O11" s="8">
        <f t="shared" si="3"/>
        <v>0.16000000000000003</v>
      </c>
    </row>
    <row r="12" spans="1:15" ht="15">
      <c r="A12" s="894"/>
      <c r="B12" s="896"/>
      <c r="C12" s="44" t="s">
        <v>420</v>
      </c>
      <c r="D12" s="897"/>
      <c r="E12" s="61" t="s">
        <v>10</v>
      </c>
      <c r="F12" s="62">
        <v>28.50</v>
      </c>
      <c r="G12" s="63">
        <v>10</v>
      </c>
      <c r="H12" s="62">
        <v>1</v>
      </c>
      <c r="I12" s="62"/>
      <c r="J12" s="88">
        <f t="shared" si="0"/>
        <v>0.35087719298245612</v>
      </c>
      <c r="K12" s="65">
        <f>(400)/1000*2+0.2</f>
        <v>1</v>
      </c>
      <c r="L12" s="26">
        <f t="shared" si="1"/>
        <v>0.35087719298245612</v>
      </c>
      <c r="M12" s="43">
        <f t="shared" si="2"/>
        <v>70.175438596491219</v>
      </c>
      <c r="N12" s="85">
        <v>200</v>
      </c>
      <c r="O12" s="8">
        <f t="shared" si="3"/>
        <v>0.35087719298245612</v>
      </c>
    </row>
    <row r="13" spans="1:15" ht="15">
      <c r="A13" s="894"/>
      <c r="B13" s="896"/>
      <c r="C13" s="44" t="s">
        <v>413</v>
      </c>
      <c r="D13" s="897" t="s">
        <v>43</v>
      </c>
      <c r="E13" s="61" t="s">
        <v>10</v>
      </c>
      <c r="F13" s="62">
        <v>40</v>
      </c>
      <c r="G13" s="63">
        <v>10</v>
      </c>
      <c r="H13" s="62">
        <v>1</v>
      </c>
      <c r="I13" s="62"/>
      <c r="J13" s="88">
        <f t="shared" si="0"/>
        <v>0.25</v>
      </c>
      <c r="K13" s="65">
        <f>(1480)/1000+0.1</f>
        <v>1.58</v>
      </c>
      <c r="L13" s="26">
        <f t="shared" si="1"/>
        <v>0.395</v>
      </c>
      <c r="M13" s="43">
        <f t="shared" si="2"/>
        <v>79</v>
      </c>
      <c r="N13" s="85">
        <v>200</v>
      </c>
      <c r="O13" s="8">
        <f t="shared" si="3"/>
        <v>0.395</v>
      </c>
    </row>
    <row r="14" spans="1:15" ht="15">
      <c r="A14" s="894"/>
      <c r="B14" s="896"/>
      <c r="C14" s="44" t="s">
        <v>414</v>
      </c>
      <c r="D14" s="897"/>
      <c r="E14" s="61" t="s">
        <v>10</v>
      </c>
      <c r="F14" s="62">
        <v>25</v>
      </c>
      <c r="G14" s="63">
        <v>10</v>
      </c>
      <c r="H14" s="62">
        <v>1</v>
      </c>
      <c r="I14" s="62"/>
      <c r="J14" s="88">
        <f t="shared" si="0"/>
        <v>0.40</v>
      </c>
      <c r="K14" s="65">
        <f>(1480)/1000</f>
        <v>1.48</v>
      </c>
      <c r="L14" s="26">
        <f t="shared" si="1"/>
        <v>0.59199999999999997</v>
      </c>
      <c r="M14" s="43">
        <f t="shared" si="2"/>
        <v>81.695999999999998</v>
      </c>
      <c r="N14" s="85">
        <v>138</v>
      </c>
      <c r="O14" s="8">
        <f t="shared" si="3"/>
        <v>0.59199999999999997</v>
      </c>
    </row>
    <row r="15" spans="1:15" ht="15">
      <c r="A15" s="894"/>
      <c r="B15" s="896"/>
      <c r="C15" s="44" t="s">
        <v>415</v>
      </c>
      <c r="D15" s="897"/>
      <c r="E15" s="61" t="s">
        <v>10</v>
      </c>
      <c r="F15" s="62">
        <v>28.50</v>
      </c>
      <c r="G15" s="63">
        <v>10</v>
      </c>
      <c r="H15" s="62">
        <v>1</v>
      </c>
      <c r="I15" s="62"/>
      <c r="J15" s="88">
        <f t="shared" si="0"/>
        <v>0.35087719298245612</v>
      </c>
      <c r="K15" s="65">
        <f>(1480)/1000*2+0.2</f>
        <v>3.16</v>
      </c>
      <c r="L15" s="26">
        <f t="shared" si="1"/>
        <v>1.1087719298245613</v>
      </c>
      <c r="M15" s="43">
        <f t="shared" si="2"/>
        <v>221.75438596491227</v>
      </c>
      <c r="N15" s="85">
        <v>200</v>
      </c>
      <c r="O15" s="8">
        <f t="shared" si="3"/>
        <v>1.1087719298245613</v>
      </c>
    </row>
    <row r="16" spans="1:15" ht="15">
      <c r="A16" s="642" t="s">
        <v>148</v>
      </c>
      <c r="B16" s="639" t="s">
        <v>149</v>
      </c>
      <c r="C16" s="13" t="s">
        <v>320</v>
      </c>
      <c r="D16" s="13"/>
      <c r="E16" s="17" t="s">
        <v>142</v>
      </c>
      <c r="F16" s="16">
        <v>24</v>
      </c>
      <c r="G16" s="18">
        <v>11</v>
      </c>
      <c r="H16" s="16">
        <v>1</v>
      </c>
      <c r="I16" s="16"/>
      <c r="J16" s="20">
        <f t="shared" si="0"/>
        <v>0.45833333333333331</v>
      </c>
      <c r="K16" s="30">
        <v>1</v>
      </c>
      <c r="L16" s="26">
        <f t="shared" si="1"/>
        <v>0.45833333333333331</v>
      </c>
      <c r="M16" s="37">
        <f t="shared" si="2"/>
        <v>91.666666666666657</v>
      </c>
      <c r="N16" s="38">
        <v>200</v>
      </c>
      <c r="O16" s="8">
        <f t="shared" si="3"/>
        <v>0.45833333333333331</v>
      </c>
    </row>
    <row r="17" spans="1:15" ht="15">
      <c r="A17" s="643"/>
      <c r="B17" s="640"/>
      <c r="C17" s="13" t="s">
        <v>145</v>
      </c>
      <c r="D17" s="13"/>
      <c r="E17" s="17" t="s">
        <v>142</v>
      </c>
      <c r="F17" s="16">
        <v>24</v>
      </c>
      <c r="G17" s="18">
        <v>11</v>
      </c>
      <c r="H17" s="16">
        <v>1</v>
      </c>
      <c r="I17" s="16"/>
      <c r="J17" s="20">
        <f t="shared" si="0"/>
        <v>0.45833333333333331</v>
      </c>
      <c r="K17" s="30">
        <v>1</v>
      </c>
      <c r="L17" s="26">
        <f t="shared" si="1"/>
        <v>0.45833333333333331</v>
      </c>
      <c r="M17" s="37">
        <f t="shared" si="2"/>
        <v>91.666666666666657</v>
      </c>
      <c r="N17" s="38">
        <v>200</v>
      </c>
      <c r="O17" s="8">
        <f t="shared" si="3"/>
        <v>0.45833333333333331</v>
      </c>
    </row>
    <row r="18" spans="1:15" ht="15">
      <c r="A18" s="642" t="s">
        <v>150</v>
      </c>
      <c r="B18" s="639" t="s">
        <v>119</v>
      </c>
      <c r="C18" s="13" t="s">
        <v>24</v>
      </c>
      <c r="D18" s="13"/>
      <c r="E18" s="25" t="s">
        <v>45</v>
      </c>
      <c r="F18" s="16">
        <v>11</v>
      </c>
      <c r="G18" s="18">
        <v>11</v>
      </c>
      <c r="H18" s="16">
        <v>2</v>
      </c>
      <c r="I18" s="16"/>
      <c r="J18" s="20">
        <f t="shared" si="0"/>
        <v>2</v>
      </c>
      <c r="K18" s="16">
        <v>1</v>
      </c>
      <c r="L18" s="26">
        <f t="shared" si="1"/>
        <v>2</v>
      </c>
      <c r="M18" s="37">
        <f t="shared" si="2"/>
        <v>400</v>
      </c>
      <c r="N18" s="38">
        <v>200</v>
      </c>
      <c r="O18" s="8">
        <f t="shared" si="3"/>
        <v>1</v>
      </c>
    </row>
    <row r="19" spans="1:15" ht="15">
      <c r="A19" s="644"/>
      <c r="B19" s="641"/>
      <c r="C19" s="13" t="s">
        <v>151</v>
      </c>
      <c r="D19" s="13" t="s">
        <v>44</v>
      </c>
      <c r="E19" s="17" t="s">
        <v>10</v>
      </c>
      <c r="F19" s="16">
        <v>30</v>
      </c>
      <c r="G19" s="18">
        <v>11</v>
      </c>
      <c r="H19" s="16">
        <v>1</v>
      </c>
      <c r="I19" s="16"/>
      <c r="J19" s="20">
        <f t="shared" si="0"/>
        <v>0.36666666666666664</v>
      </c>
      <c r="K19" s="30">
        <f>0.824*3.1415*2</f>
        <v>5.1771919999999998</v>
      </c>
      <c r="L19" s="26">
        <f t="shared" si="1"/>
        <v>1.898303733333333</v>
      </c>
      <c r="M19" s="37">
        <f t="shared" si="2"/>
        <v>379.66074666666663</v>
      </c>
      <c r="N19" s="50">
        <v>200</v>
      </c>
      <c r="O19" s="8">
        <f t="shared" si="3"/>
        <v>1.898303733333333</v>
      </c>
    </row>
    <row r="20" spans="1:15" ht="15">
      <c r="A20" s="57" t="s">
        <v>152</v>
      </c>
      <c r="B20" s="56" t="s">
        <v>153</v>
      </c>
      <c r="C20" s="13" t="s">
        <v>154</v>
      </c>
      <c r="D20" s="13"/>
      <c r="E20" s="17" t="s">
        <v>142</v>
      </c>
      <c r="F20" s="16">
        <v>8</v>
      </c>
      <c r="G20" s="18">
        <v>11</v>
      </c>
      <c r="H20" s="16">
        <v>1</v>
      </c>
      <c r="I20" s="16"/>
      <c r="J20" s="20">
        <f t="shared" si="0"/>
        <v>1.375</v>
      </c>
      <c r="K20" s="30">
        <v>1</v>
      </c>
      <c r="L20" s="26">
        <f t="shared" si="1"/>
        <v>1.375</v>
      </c>
      <c r="M20" s="37">
        <f t="shared" si="2"/>
        <v>275</v>
      </c>
      <c r="N20" s="50">
        <v>200</v>
      </c>
      <c r="O20" s="8">
        <f t="shared" si="3"/>
        <v>1.375</v>
      </c>
    </row>
    <row r="21" spans="1:15" ht="30">
      <c r="A21" s="59" t="s">
        <v>155</v>
      </c>
      <c r="B21" s="56" t="s">
        <v>156</v>
      </c>
      <c r="C21" s="17" t="s">
        <v>157</v>
      </c>
      <c r="D21" s="13"/>
      <c r="E21" s="17" t="s">
        <v>142</v>
      </c>
      <c r="F21" s="16">
        <v>6</v>
      </c>
      <c r="G21" s="18">
        <v>11</v>
      </c>
      <c r="H21" s="16">
        <v>1</v>
      </c>
      <c r="I21" s="16"/>
      <c r="J21" s="20">
        <f t="shared" si="0"/>
        <v>1.8333333333333333</v>
      </c>
      <c r="K21" s="30">
        <v>1</v>
      </c>
      <c r="L21" s="26">
        <f t="shared" si="1"/>
        <v>1.8333333333333333</v>
      </c>
      <c r="M21" s="37">
        <f t="shared" si="2"/>
        <v>366.66666666666663</v>
      </c>
      <c r="N21" s="38">
        <v>200</v>
      </c>
      <c r="O21" s="8">
        <f t="shared" si="3"/>
        <v>1.8333333333333333</v>
      </c>
    </row>
    <row r="22" spans="1:15" ht="30">
      <c r="A22" s="59" t="s">
        <v>158</v>
      </c>
      <c r="B22" s="56" t="s">
        <v>159</v>
      </c>
      <c r="C22" s="17" t="s">
        <v>160</v>
      </c>
      <c r="D22" s="17" t="s">
        <v>161</v>
      </c>
      <c r="E22" s="17" t="s">
        <v>10</v>
      </c>
      <c r="F22" s="16">
        <v>20</v>
      </c>
      <c r="G22" s="18">
        <v>11</v>
      </c>
      <c r="H22" s="16">
        <v>1</v>
      </c>
      <c r="I22" s="16"/>
      <c r="J22" s="20">
        <f t="shared" si="0"/>
        <v>0.55000000000000004</v>
      </c>
      <c r="K22" s="30">
        <f>(61/1000)*3.1415*2</f>
        <v>0.38326300000000002</v>
      </c>
      <c r="L22" s="26">
        <f t="shared" si="1"/>
        <v>0.21079465000000003</v>
      </c>
      <c r="M22" s="42">
        <f t="shared" si="2"/>
        <v>42.158930000000005</v>
      </c>
      <c r="N22" s="43">
        <v>200</v>
      </c>
      <c r="O22" s="8">
        <f t="shared" si="3"/>
        <v>0.21079465000000003</v>
      </c>
    </row>
    <row r="23" spans="1:15" ht="15" customHeight="1">
      <c r="A23" s="637" t="s">
        <v>162</v>
      </c>
      <c r="B23" s="638" t="s">
        <v>37</v>
      </c>
      <c r="C23" s="13" t="s">
        <v>24</v>
      </c>
      <c r="D23" s="13"/>
      <c r="E23" s="25" t="s">
        <v>38</v>
      </c>
      <c r="F23" s="16">
        <v>11</v>
      </c>
      <c r="G23" s="18">
        <v>11</v>
      </c>
      <c r="H23" s="16">
        <v>2</v>
      </c>
      <c r="I23" s="16"/>
      <c r="J23" s="20">
        <f>G23/F23*H23</f>
        <v>2</v>
      </c>
      <c r="K23" s="16">
        <v>1</v>
      </c>
      <c r="L23" s="26">
        <f t="shared" si="1"/>
        <v>2</v>
      </c>
      <c r="M23" s="43">
        <f t="shared" si="2"/>
        <v>400</v>
      </c>
      <c r="N23" s="46">
        <v>200</v>
      </c>
      <c r="O23" s="8">
        <f t="shared" si="3"/>
        <v>1</v>
      </c>
    </row>
    <row r="24" spans="1:15" ht="15">
      <c r="A24" s="637"/>
      <c r="B24" s="638"/>
      <c r="C24" s="13" t="s">
        <v>106</v>
      </c>
      <c r="D24" s="637" t="s">
        <v>36</v>
      </c>
      <c r="E24" s="17" t="s">
        <v>10</v>
      </c>
      <c r="F24" s="16">
        <v>20</v>
      </c>
      <c r="G24" s="18">
        <v>11</v>
      </c>
      <c r="H24" s="16">
        <v>1</v>
      </c>
      <c r="I24" s="16"/>
      <c r="J24" s="20">
        <f t="shared" si="4" ref="J24:J35">G24/F24*H24</f>
        <v>0.55000000000000004</v>
      </c>
      <c r="K24" s="30">
        <f>0.824*3.1415</f>
        <v>2.5885959999999999</v>
      </c>
      <c r="L24" s="26">
        <f t="shared" si="1"/>
        <v>1.4237278</v>
      </c>
      <c r="M24" s="43">
        <f t="shared" si="2"/>
        <v>284.74556000000001</v>
      </c>
      <c r="N24" s="46">
        <v>200</v>
      </c>
      <c r="O24" s="8">
        <f t="shared" si="3"/>
        <v>1.4237278</v>
      </c>
    </row>
    <row r="25" spans="1:15" ht="15">
      <c r="A25" s="637"/>
      <c r="B25" s="638"/>
      <c r="C25" s="13" t="s">
        <v>9</v>
      </c>
      <c r="D25" s="637"/>
      <c r="E25" s="17" t="s">
        <v>10</v>
      </c>
      <c r="F25" s="16">
        <v>30</v>
      </c>
      <c r="G25" s="18">
        <v>11</v>
      </c>
      <c r="H25" s="16">
        <v>1</v>
      </c>
      <c r="I25" s="16"/>
      <c r="J25" s="20">
        <f t="shared" si="4"/>
        <v>0.36666666666666664</v>
      </c>
      <c r="K25" s="30">
        <f>0.824*3.1415</f>
        <v>2.5885959999999999</v>
      </c>
      <c r="L25" s="26">
        <f t="shared" si="1"/>
        <v>0.94915186666666651</v>
      </c>
      <c r="M25" s="43">
        <f t="shared" si="2"/>
        <v>189.83037333333331</v>
      </c>
      <c r="N25" s="46">
        <v>200</v>
      </c>
      <c r="O25" s="8">
        <f t="shared" si="3"/>
        <v>0.94915186666666651</v>
      </c>
    </row>
    <row r="26" spans="1:15" ht="15">
      <c r="A26" s="650" t="s">
        <v>163</v>
      </c>
      <c r="B26" s="638" t="s">
        <v>164</v>
      </c>
      <c r="C26" s="13" t="s">
        <v>165</v>
      </c>
      <c r="D26" s="13"/>
      <c r="E26" s="17" t="s">
        <v>142</v>
      </c>
      <c r="F26" s="16">
        <v>100000000</v>
      </c>
      <c r="G26" s="18">
        <v>11</v>
      </c>
      <c r="H26" s="16">
        <v>1</v>
      </c>
      <c r="I26" s="16"/>
      <c r="J26" s="20">
        <f t="shared" si="4"/>
        <v>1.1000000000000001E-07</v>
      </c>
      <c r="K26" s="30">
        <v>1</v>
      </c>
      <c r="L26" s="26">
        <f t="shared" si="1"/>
        <v>1.1000000000000001E-07</v>
      </c>
      <c r="M26" s="37">
        <f t="shared" si="2"/>
        <v>2.1999999999999999E-05</v>
      </c>
      <c r="N26" s="38">
        <v>200</v>
      </c>
      <c r="O26" s="8">
        <f t="shared" si="3"/>
        <v>1.1000000000000001E-07</v>
      </c>
    </row>
    <row r="27" spans="1:15" ht="15">
      <c r="A27" s="650"/>
      <c r="B27" s="638"/>
      <c r="C27" s="13" t="s">
        <v>166</v>
      </c>
      <c r="D27" s="13"/>
      <c r="E27" s="17" t="s">
        <v>142</v>
      </c>
      <c r="F27" s="16">
        <v>100000000</v>
      </c>
      <c r="G27" s="18">
        <v>11</v>
      </c>
      <c r="H27" s="16">
        <v>1</v>
      </c>
      <c r="I27" s="16"/>
      <c r="J27" s="20">
        <f t="shared" si="4"/>
        <v>1.1000000000000001E-07</v>
      </c>
      <c r="K27" s="30">
        <v>1</v>
      </c>
      <c r="L27" s="26">
        <f t="shared" si="1"/>
        <v>1.1000000000000001E-07</v>
      </c>
      <c r="M27" s="37">
        <f t="shared" si="2"/>
        <v>2.1999999999999999E-05</v>
      </c>
      <c r="N27" s="38">
        <v>200</v>
      </c>
      <c r="O27" s="8">
        <f t="shared" si="3"/>
        <v>1.1000000000000001E-07</v>
      </c>
    </row>
    <row r="28" spans="1:15" ht="15">
      <c r="A28" s="650"/>
      <c r="B28" s="638"/>
      <c r="C28" s="13" t="s">
        <v>167</v>
      </c>
      <c r="D28" s="13"/>
      <c r="E28" s="17" t="s">
        <v>142</v>
      </c>
      <c r="F28" s="16">
        <v>100000000</v>
      </c>
      <c r="G28" s="18">
        <v>11</v>
      </c>
      <c r="H28" s="16">
        <v>1</v>
      </c>
      <c r="I28" s="16"/>
      <c r="J28" s="20">
        <f t="shared" si="4"/>
        <v>1.1000000000000001E-07</v>
      </c>
      <c r="K28" s="30">
        <v>1</v>
      </c>
      <c r="L28" s="26">
        <f t="shared" si="1"/>
        <v>1.1000000000000001E-07</v>
      </c>
      <c r="M28" s="37">
        <f t="shared" si="2"/>
        <v>2.1999999999999999E-05</v>
      </c>
      <c r="N28" s="38">
        <v>200</v>
      </c>
      <c r="O28" s="8">
        <f t="shared" si="3"/>
        <v>1.1000000000000001E-07</v>
      </c>
    </row>
    <row r="29" spans="1:15" ht="15">
      <c r="A29" s="650"/>
      <c r="B29" s="638"/>
      <c r="C29" s="13" t="s">
        <v>168</v>
      </c>
      <c r="D29" s="13"/>
      <c r="E29" s="17" t="s">
        <v>142</v>
      </c>
      <c r="F29" s="16">
        <v>100000000</v>
      </c>
      <c r="G29" s="18">
        <v>11</v>
      </c>
      <c r="H29" s="16">
        <v>1</v>
      </c>
      <c r="I29" s="16"/>
      <c r="J29" s="20">
        <f t="shared" si="4"/>
        <v>1.1000000000000001E-07</v>
      </c>
      <c r="K29" s="30">
        <v>1</v>
      </c>
      <c r="L29" s="26">
        <f t="shared" si="1"/>
        <v>1.1000000000000001E-07</v>
      </c>
      <c r="M29" s="37">
        <f t="shared" si="2"/>
        <v>2.1999999999999999E-05</v>
      </c>
      <c r="N29" s="38">
        <v>200</v>
      </c>
      <c r="O29" s="8">
        <f t="shared" si="3"/>
        <v>1.1000000000000001E-07</v>
      </c>
    </row>
    <row r="30" spans="1:15" ht="15" customHeight="1">
      <c r="A30" s="650" t="s">
        <v>169</v>
      </c>
      <c r="B30" s="639" t="s">
        <v>120</v>
      </c>
      <c r="C30" s="13" t="s">
        <v>39</v>
      </c>
      <c r="D30" s="13"/>
      <c r="E30" s="25" t="s">
        <v>170</v>
      </c>
      <c r="F30" s="16">
        <v>7.60</v>
      </c>
      <c r="G30" s="18">
        <v>11</v>
      </c>
      <c r="H30" s="16">
        <v>2</v>
      </c>
      <c r="I30" s="16"/>
      <c r="J30" s="20">
        <f t="shared" si="4"/>
        <v>2.8947368421052633</v>
      </c>
      <c r="K30" s="16">
        <v>1</v>
      </c>
      <c r="L30" s="26">
        <f t="shared" si="1"/>
        <v>2.8947368421052633</v>
      </c>
      <c r="M30" s="43">
        <f t="shared" si="2"/>
        <v>578.9473684210526</v>
      </c>
      <c r="N30" s="46">
        <v>200</v>
      </c>
      <c r="O30" s="8">
        <f t="shared" si="3"/>
        <v>1.4473684210526316</v>
      </c>
    </row>
    <row r="31" spans="1:15" ht="15">
      <c r="A31" s="650"/>
      <c r="B31" s="640"/>
      <c r="C31" s="13" t="s">
        <v>171</v>
      </c>
      <c r="D31" s="13"/>
      <c r="E31" s="17" t="s">
        <v>10</v>
      </c>
      <c r="F31" s="16">
        <v>20</v>
      </c>
      <c r="G31" s="18">
        <v>11</v>
      </c>
      <c r="H31" s="16">
        <v>1</v>
      </c>
      <c r="I31" s="16"/>
      <c r="J31" s="20">
        <f t="shared" si="4"/>
        <v>0.55000000000000004</v>
      </c>
      <c r="K31" s="30">
        <f>0.824*3.1415</f>
        <v>2.5885959999999999</v>
      </c>
      <c r="L31" s="26">
        <f t="shared" si="1"/>
        <v>1.4237278</v>
      </c>
      <c r="M31" s="43">
        <f t="shared" si="2"/>
        <v>284.74556000000001</v>
      </c>
      <c r="N31" s="46">
        <v>200</v>
      </c>
      <c r="O31" s="8">
        <f t="shared" si="3"/>
        <v>1.4237278</v>
      </c>
    </row>
    <row r="32" spans="1:15" ht="15">
      <c r="A32" s="650"/>
      <c r="B32" s="641"/>
      <c r="C32" s="13" t="s">
        <v>9</v>
      </c>
      <c r="D32" s="13" t="s">
        <v>44</v>
      </c>
      <c r="E32" s="17" t="s">
        <v>10</v>
      </c>
      <c r="F32" s="16">
        <v>30</v>
      </c>
      <c r="G32" s="18">
        <v>11</v>
      </c>
      <c r="H32" s="16">
        <v>1</v>
      </c>
      <c r="I32" s="16"/>
      <c r="J32" s="20">
        <f t="shared" si="4"/>
        <v>0.36666666666666664</v>
      </c>
      <c r="K32" s="30">
        <f>0.824*3.1415*2</f>
        <v>5.1771919999999998</v>
      </c>
      <c r="L32" s="26">
        <f t="shared" si="1"/>
        <v>1.898303733333333</v>
      </c>
      <c r="M32" s="43">
        <f t="shared" si="2"/>
        <v>379.66074666666663</v>
      </c>
      <c r="N32" s="46">
        <v>200</v>
      </c>
      <c r="O32" s="8">
        <f t="shared" si="3"/>
        <v>1.898303733333333</v>
      </c>
    </row>
    <row r="33" spans="1:15" ht="15" customHeight="1">
      <c r="A33" s="637" t="s">
        <v>172</v>
      </c>
      <c r="B33" s="638" t="s">
        <v>121</v>
      </c>
      <c r="C33" s="13" t="s">
        <v>39</v>
      </c>
      <c r="D33" s="13"/>
      <c r="E33" s="25" t="s">
        <v>173</v>
      </c>
      <c r="F33" s="16">
        <v>15</v>
      </c>
      <c r="G33" s="18">
        <v>11</v>
      </c>
      <c r="H33" s="16">
        <v>2</v>
      </c>
      <c r="I33" s="16"/>
      <c r="J33" s="20">
        <f t="shared" si="4"/>
        <v>1.4666666666666666</v>
      </c>
      <c r="K33" s="16">
        <v>1</v>
      </c>
      <c r="L33" s="26">
        <f t="shared" si="1"/>
        <v>1.4666666666666666</v>
      </c>
      <c r="M33" s="43">
        <f t="shared" si="2"/>
        <v>293.33333333333331</v>
      </c>
      <c r="N33" s="46">
        <v>200</v>
      </c>
      <c r="O33" s="8">
        <f t="shared" si="3"/>
        <v>0.73333333333333328</v>
      </c>
    </row>
    <row r="34" spans="1:15" ht="15">
      <c r="A34" s="637"/>
      <c r="B34" s="638"/>
      <c r="C34" s="13" t="s">
        <v>174</v>
      </c>
      <c r="D34" s="13" t="s">
        <v>122</v>
      </c>
      <c r="E34" s="25" t="s">
        <v>10</v>
      </c>
      <c r="F34" s="16">
        <v>20</v>
      </c>
      <c r="G34" s="18">
        <v>11</v>
      </c>
      <c r="H34" s="16">
        <v>1</v>
      </c>
      <c r="I34" s="16"/>
      <c r="J34" s="20">
        <f t="shared" si="4"/>
        <v>0.55000000000000004</v>
      </c>
      <c r="K34" s="30">
        <f>(910*3.1415)*2/1000</f>
        <v>5.7175300000000009</v>
      </c>
      <c r="L34" s="26">
        <f t="shared" si="1"/>
        <v>3.1446415000000005</v>
      </c>
      <c r="M34" s="42">
        <f t="shared" si="2"/>
        <v>628.92830000000015</v>
      </c>
      <c r="N34" s="43">
        <v>200</v>
      </c>
      <c r="O34" s="8">
        <f t="shared" si="3"/>
        <v>3.1446415000000005</v>
      </c>
    </row>
    <row r="35" spans="1:15" ht="15">
      <c r="A35" s="637"/>
      <c r="B35" s="638"/>
      <c r="C35" s="13" t="s">
        <v>175</v>
      </c>
      <c r="D35" s="13"/>
      <c r="E35" s="25" t="s">
        <v>10</v>
      </c>
      <c r="F35" s="16">
        <v>25</v>
      </c>
      <c r="G35" s="18">
        <v>11</v>
      </c>
      <c r="H35" s="16">
        <v>1</v>
      </c>
      <c r="I35" s="16"/>
      <c r="J35" s="20">
        <f t="shared" si="4"/>
        <v>0.44</v>
      </c>
      <c r="K35" s="30">
        <f>(910*3.1415)/1000</f>
        <v>2.8587650000000004</v>
      </c>
      <c r="L35" s="26">
        <f t="shared" si="1"/>
        <v>1.2578566000000002</v>
      </c>
      <c r="M35" s="42">
        <f t="shared" si="2"/>
        <v>251.57132000000004</v>
      </c>
      <c r="N35" s="43">
        <v>200</v>
      </c>
      <c r="O35" s="8">
        <f t="shared" si="3"/>
        <v>1.2578566000000002</v>
      </c>
    </row>
    <row r="36" spans="1:15" ht="15">
      <c r="A36" s="13" t="s">
        <v>176</v>
      </c>
      <c r="B36" s="56" t="s">
        <v>123</v>
      </c>
      <c r="C36" s="13" t="s">
        <v>83</v>
      </c>
      <c r="D36" s="13"/>
      <c r="E36" s="25" t="s">
        <v>42</v>
      </c>
      <c r="F36" s="16">
        <v>22</v>
      </c>
      <c r="G36" s="18">
        <v>11</v>
      </c>
      <c r="H36" s="16">
        <v>2</v>
      </c>
      <c r="I36" s="16"/>
      <c r="J36" s="20">
        <f>G36/F36*H36</f>
        <v>1</v>
      </c>
      <c r="K36" s="16">
        <v>1</v>
      </c>
      <c r="L36" s="26">
        <f t="shared" si="1"/>
        <v>1</v>
      </c>
      <c r="M36" s="37">
        <f t="shared" si="2"/>
        <v>200</v>
      </c>
      <c r="N36" s="38">
        <v>200</v>
      </c>
      <c r="O36" s="8">
        <f t="shared" si="3"/>
        <v>0.50</v>
      </c>
    </row>
    <row r="37" spans="1:15" ht="15">
      <c r="A37" s="645" t="s">
        <v>177</v>
      </c>
      <c r="B37" s="639" t="s">
        <v>178</v>
      </c>
      <c r="C37" s="13" t="s">
        <v>39</v>
      </c>
      <c r="D37" s="13"/>
      <c r="E37" s="25" t="s">
        <v>179</v>
      </c>
      <c r="F37" s="16">
        <v>18</v>
      </c>
      <c r="G37" s="18">
        <v>11</v>
      </c>
      <c r="H37" s="16">
        <v>2</v>
      </c>
      <c r="I37" s="16"/>
      <c r="J37" s="20">
        <f t="shared" si="5" ref="J37:J38">G37/F37*H37</f>
        <v>1.2222222222222223</v>
      </c>
      <c r="K37" s="16">
        <v>1</v>
      </c>
      <c r="L37" s="26">
        <f t="shared" si="1"/>
        <v>1.2222222222222223</v>
      </c>
      <c r="M37" s="42">
        <f t="shared" si="2"/>
        <v>244.44444444444446</v>
      </c>
      <c r="N37" s="43">
        <v>200</v>
      </c>
      <c r="O37" s="8">
        <f t="shared" si="3"/>
        <v>0.61111111111111116</v>
      </c>
    </row>
    <row r="38" spans="1:15" ht="15" customHeight="1">
      <c r="A38" s="647"/>
      <c r="B38" s="641"/>
      <c r="C38" s="13" t="s">
        <v>180</v>
      </c>
      <c r="D38" s="13" t="s">
        <v>181</v>
      </c>
      <c r="E38" s="17" t="s">
        <v>10</v>
      </c>
      <c r="F38" s="16">
        <v>20</v>
      </c>
      <c r="G38" s="18">
        <v>11</v>
      </c>
      <c r="H38" s="16">
        <v>1</v>
      </c>
      <c r="I38" s="16"/>
      <c r="J38" s="20">
        <f t="shared" si="5"/>
        <v>0.55000000000000004</v>
      </c>
      <c r="K38" s="30">
        <f>0.377*3.1415</f>
        <v>1.1843455000000001</v>
      </c>
      <c r="L38" s="26">
        <f t="shared" si="1"/>
        <v>0.65139002500000009</v>
      </c>
      <c r="M38" s="42">
        <f t="shared" si="2"/>
        <v>130.27800500000001</v>
      </c>
      <c r="N38" s="43">
        <v>200</v>
      </c>
      <c r="O38" s="8">
        <f t="shared" si="3"/>
        <v>0.65139002500000009</v>
      </c>
    </row>
    <row r="39" spans="1:15" ht="15">
      <c r="A39" s="39"/>
      <c r="B39" s="690" t="s">
        <v>131</v>
      </c>
      <c r="C39" s="691"/>
      <c r="D39" s="691"/>
      <c r="E39" s="691"/>
      <c r="F39" s="691"/>
      <c r="G39" s="691"/>
      <c r="H39" s="691"/>
      <c r="I39" s="691"/>
      <c r="J39" s="691"/>
      <c r="K39" s="692"/>
      <c r="L39" s="26"/>
      <c r="M39" s="40">
        <f>SUM(M40:M60)</f>
        <v>7515.1894315842073</v>
      </c>
      <c r="N39" s="41"/>
      <c r="O39" s="8"/>
    </row>
    <row r="40" spans="1:15" ht="15">
      <c r="A40" s="650" t="s">
        <v>182</v>
      </c>
      <c r="B40" s="638" t="s">
        <v>183</v>
      </c>
      <c r="C40" s="13" t="s">
        <v>184</v>
      </c>
      <c r="D40" s="13"/>
      <c r="E40" s="17" t="s">
        <v>142</v>
      </c>
      <c r="F40" s="16">
        <v>10</v>
      </c>
      <c r="G40" s="18">
        <v>11</v>
      </c>
      <c r="H40" s="16">
        <v>1</v>
      </c>
      <c r="I40" s="16"/>
      <c r="J40" s="20">
        <f t="shared" si="6" ref="J40:J109">G40/F40*H40</f>
        <v>1.1000000000000001</v>
      </c>
      <c r="K40" s="30">
        <v>1</v>
      </c>
      <c r="L40" s="8">
        <f t="shared" si="7" ref="L40:L60">J40*K40</f>
        <v>1.1000000000000001</v>
      </c>
      <c r="M40" s="42">
        <f t="shared" si="8" ref="M40:M60">L40*N40</f>
        <v>220.00000000000003</v>
      </c>
      <c r="N40" s="43">
        <v>200</v>
      </c>
      <c r="O40" s="8">
        <f t="shared" si="9" ref="O40:O60">J40/H40*K40</f>
        <v>1.1000000000000001</v>
      </c>
    </row>
    <row r="41" spans="1:15" ht="15">
      <c r="A41" s="650"/>
      <c r="B41" s="638"/>
      <c r="C41" s="13" t="s">
        <v>322</v>
      </c>
      <c r="D41" s="13"/>
      <c r="E41" s="17" t="s">
        <v>142</v>
      </c>
      <c r="F41" s="16">
        <v>10</v>
      </c>
      <c r="G41" s="18">
        <v>11</v>
      </c>
      <c r="H41" s="16">
        <v>1</v>
      </c>
      <c r="I41" s="16"/>
      <c r="J41" s="20">
        <f t="shared" si="6"/>
        <v>1.1000000000000001</v>
      </c>
      <c r="K41" s="30">
        <v>1</v>
      </c>
      <c r="L41" s="8">
        <f t="shared" si="7"/>
        <v>1.1000000000000001</v>
      </c>
      <c r="M41" s="42">
        <f t="shared" si="8"/>
        <v>220.00000000000003</v>
      </c>
      <c r="N41" s="43">
        <v>200</v>
      </c>
      <c r="O41" s="8">
        <f t="shared" si="9"/>
        <v>1.1000000000000001</v>
      </c>
    </row>
    <row r="42" spans="1:15" ht="30">
      <c r="A42" s="58" t="s">
        <v>185</v>
      </c>
      <c r="B42" s="55" t="s">
        <v>186</v>
      </c>
      <c r="C42" s="13" t="s">
        <v>187</v>
      </c>
      <c r="D42" s="13"/>
      <c r="E42" s="17" t="s">
        <v>142</v>
      </c>
      <c r="F42" s="16">
        <v>60</v>
      </c>
      <c r="G42" s="18">
        <v>11</v>
      </c>
      <c r="H42" s="16">
        <v>1</v>
      </c>
      <c r="I42" s="16"/>
      <c r="J42" s="20">
        <f t="shared" si="6"/>
        <v>0.18333333333333332</v>
      </c>
      <c r="K42" s="30">
        <v>5</v>
      </c>
      <c r="L42" s="8">
        <f t="shared" si="7"/>
        <v>0.91666666666666663</v>
      </c>
      <c r="M42" s="42">
        <f t="shared" si="8"/>
        <v>183.33333333333331</v>
      </c>
      <c r="N42" s="43">
        <v>200</v>
      </c>
      <c r="O42" s="8">
        <f t="shared" si="9"/>
        <v>0.91666666666666663</v>
      </c>
    </row>
    <row r="43" spans="1:15" ht="15">
      <c r="A43" s="642" t="s">
        <v>188</v>
      </c>
      <c r="B43" s="898" t="s">
        <v>124</v>
      </c>
      <c r="C43" s="13" t="s">
        <v>189</v>
      </c>
      <c r="D43" s="13" t="s">
        <v>44</v>
      </c>
      <c r="E43" s="17" t="s">
        <v>10</v>
      </c>
      <c r="F43" s="16">
        <v>30</v>
      </c>
      <c r="G43" s="18">
        <v>11</v>
      </c>
      <c r="H43" s="16">
        <v>1</v>
      </c>
      <c r="I43" s="16"/>
      <c r="J43" s="20">
        <f t="shared" si="6"/>
        <v>0.36666666666666664</v>
      </c>
      <c r="K43" s="30">
        <f>(1480*2)/1000+0.2</f>
        <v>3.16</v>
      </c>
      <c r="L43" s="8">
        <f t="shared" si="7"/>
        <v>1.1586666666666667</v>
      </c>
      <c r="M43" s="42">
        <f t="shared" si="8"/>
        <v>231.73333333333335</v>
      </c>
      <c r="N43" s="43">
        <v>200</v>
      </c>
      <c r="O43" s="8">
        <f t="shared" si="9"/>
        <v>1.1586666666666667</v>
      </c>
    </row>
    <row r="44" spans="1:15" ht="15">
      <c r="A44" s="643"/>
      <c r="B44" s="899"/>
      <c r="C44" s="13" t="s">
        <v>323</v>
      </c>
      <c r="D44" s="13" t="s">
        <v>44</v>
      </c>
      <c r="E44" s="17" t="s">
        <v>10</v>
      </c>
      <c r="F44" s="16">
        <v>30</v>
      </c>
      <c r="G44" s="18">
        <v>11</v>
      </c>
      <c r="H44" s="16">
        <v>1</v>
      </c>
      <c r="I44" s="16"/>
      <c r="J44" s="20">
        <f t="shared" si="6"/>
        <v>0.36666666666666664</v>
      </c>
      <c r="K44" s="30">
        <f>(707*2)/1000+0.2</f>
        <v>1.6139999999999999</v>
      </c>
      <c r="L44" s="8">
        <f t="shared" si="7"/>
        <v>0.59179999999999988</v>
      </c>
      <c r="M44" s="42">
        <f t="shared" si="8"/>
        <v>118.35999999999997</v>
      </c>
      <c r="N44" s="43">
        <v>200</v>
      </c>
      <c r="O44" s="8">
        <f t="shared" si="9"/>
        <v>0.59179999999999988</v>
      </c>
    </row>
    <row r="45" spans="1:15" ht="15" customHeight="1">
      <c r="A45" s="650" t="s">
        <v>190</v>
      </c>
      <c r="B45" s="638" t="s">
        <v>191</v>
      </c>
      <c r="C45" s="13" t="s">
        <v>24</v>
      </c>
      <c r="D45" s="13"/>
      <c r="E45" s="25" t="s">
        <v>192</v>
      </c>
      <c r="F45" s="16">
        <v>6.67</v>
      </c>
      <c r="G45" s="18">
        <v>11</v>
      </c>
      <c r="H45" s="16">
        <v>2</v>
      </c>
      <c r="I45" s="16"/>
      <c r="J45" s="20">
        <f t="shared" si="6"/>
        <v>3.2983508245877062</v>
      </c>
      <c r="K45" s="16">
        <v>1</v>
      </c>
      <c r="L45" s="26">
        <f t="shared" si="7"/>
        <v>3.2983508245877062</v>
      </c>
      <c r="M45" s="43">
        <f t="shared" si="8"/>
        <v>659.67016491754123</v>
      </c>
      <c r="N45" s="46">
        <v>200</v>
      </c>
      <c r="O45" s="8">
        <f t="shared" si="9"/>
        <v>1.6491754122938531</v>
      </c>
    </row>
    <row r="46" spans="1:15" ht="15" customHeight="1">
      <c r="A46" s="650"/>
      <c r="B46" s="638"/>
      <c r="C46" s="13" t="s">
        <v>342</v>
      </c>
      <c r="D46" s="13" t="s">
        <v>43</v>
      </c>
      <c r="E46" s="17" t="s">
        <v>10</v>
      </c>
      <c r="F46" s="16">
        <v>20</v>
      </c>
      <c r="G46" s="18">
        <v>11</v>
      </c>
      <c r="H46" s="16">
        <v>1</v>
      </c>
      <c r="I46" s="16"/>
      <c r="J46" s="20">
        <f t="shared" si="6"/>
        <v>0.55000000000000004</v>
      </c>
      <c r="K46" s="16">
        <f>4214/1000</f>
        <v>4.2140000000000004</v>
      </c>
      <c r="L46" s="26">
        <f t="shared" si="7"/>
        <v>2.3177000000000003</v>
      </c>
      <c r="M46" s="43">
        <f t="shared" si="8"/>
        <v>463.54000000000008</v>
      </c>
      <c r="N46" s="46">
        <v>200</v>
      </c>
      <c r="O46" s="8">
        <f t="shared" si="9"/>
        <v>2.3177000000000003</v>
      </c>
    </row>
    <row r="47" spans="1:15" ht="15" customHeight="1">
      <c r="A47" s="650"/>
      <c r="B47" s="638"/>
      <c r="C47" s="4" t="s">
        <v>340</v>
      </c>
      <c r="D47" s="13"/>
      <c r="E47" s="25" t="s">
        <v>10</v>
      </c>
      <c r="F47" s="16">
        <v>25</v>
      </c>
      <c r="G47" s="18">
        <v>11</v>
      </c>
      <c r="H47" s="16">
        <v>1</v>
      </c>
      <c r="I47" s="16"/>
      <c r="J47" s="20">
        <f t="shared" si="6"/>
        <v>0.44</v>
      </c>
      <c r="K47" s="16">
        <f>4214/1000</f>
        <v>4.2140000000000004</v>
      </c>
      <c r="L47" s="26">
        <f t="shared" si="7"/>
        <v>1.8541600000000003</v>
      </c>
      <c r="M47" s="42">
        <f t="shared" si="8"/>
        <v>370.83200000000005</v>
      </c>
      <c r="N47" s="43">
        <v>200</v>
      </c>
      <c r="O47" s="8">
        <f t="shared" si="9"/>
        <v>1.8541600000000003</v>
      </c>
    </row>
    <row r="48" spans="1:15" ht="15">
      <c r="A48" s="650"/>
      <c r="B48" s="638"/>
      <c r="C48" s="13" t="s">
        <v>341</v>
      </c>
      <c r="D48" s="13" t="s">
        <v>43</v>
      </c>
      <c r="E48" s="17" t="s">
        <v>10</v>
      </c>
      <c r="F48" s="16">
        <v>20</v>
      </c>
      <c r="G48" s="18">
        <v>11</v>
      </c>
      <c r="H48" s="16">
        <v>1</v>
      </c>
      <c r="I48" s="16"/>
      <c r="J48" s="20">
        <f t="shared" si="6"/>
        <v>0.55000000000000004</v>
      </c>
      <c r="K48" s="16">
        <f>4214*2/1000</f>
        <v>8.4280000000000008</v>
      </c>
      <c r="L48" s="26">
        <f t="shared" si="7"/>
        <v>4.6354000000000006</v>
      </c>
      <c r="M48" s="43">
        <f t="shared" si="8"/>
        <v>927.08000000000015</v>
      </c>
      <c r="N48" s="46">
        <v>200</v>
      </c>
      <c r="O48" s="8">
        <f t="shared" si="9"/>
        <v>4.6354000000000006</v>
      </c>
    </row>
    <row r="49" spans="1:15" ht="15">
      <c r="A49" s="58" t="s">
        <v>348</v>
      </c>
      <c r="B49" s="55" t="s">
        <v>349</v>
      </c>
      <c r="C49" s="17" t="s">
        <v>409</v>
      </c>
      <c r="D49" s="13"/>
      <c r="E49" s="17" t="s">
        <v>353</v>
      </c>
      <c r="F49" s="16">
        <v>60</v>
      </c>
      <c r="G49" s="18">
        <v>11</v>
      </c>
      <c r="H49" s="16">
        <v>1</v>
      </c>
      <c r="I49" s="16"/>
      <c r="J49" s="20">
        <f t="shared" si="6"/>
        <v>0.18333333333333332</v>
      </c>
      <c r="K49" s="30">
        <v>1</v>
      </c>
      <c r="L49" s="8">
        <f t="shared" si="7"/>
        <v>0.18333333333333332</v>
      </c>
      <c r="M49" s="42">
        <f t="shared" si="8"/>
        <v>33.549999999999997</v>
      </c>
      <c r="N49" s="43">
        <v>183</v>
      </c>
      <c r="O49" s="8">
        <f t="shared" si="9"/>
        <v>0.18333333333333332</v>
      </c>
    </row>
    <row r="50" spans="1:15" ht="15">
      <c r="A50" s="650" t="s">
        <v>195</v>
      </c>
      <c r="B50" s="638" t="s">
        <v>26</v>
      </c>
      <c r="C50" s="13" t="s">
        <v>24</v>
      </c>
      <c r="D50" s="13"/>
      <c r="E50" s="25" t="s">
        <v>27</v>
      </c>
      <c r="F50" s="16">
        <v>22</v>
      </c>
      <c r="G50" s="18">
        <v>11</v>
      </c>
      <c r="H50" s="16">
        <v>2</v>
      </c>
      <c r="I50" s="16"/>
      <c r="J50" s="20">
        <f t="shared" si="6"/>
        <v>1</v>
      </c>
      <c r="K50" s="16">
        <v>1</v>
      </c>
      <c r="L50" s="8">
        <f t="shared" si="7"/>
        <v>1</v>
      </c>
      <c r="M50" s="42">
        <f t="shared" si="8"/>
        <v>200</v>
      </c>
      <c r="N50" s="43">
        <v>200</v>
      </c>
      <c r="O50" s="8">
        <f t="shared" si="9"/>
        <v>0.50</v>
      </c>
    </row>
    <row r="51" spans="1:15" ht="15">
      <c r="A51" s="650"/>
      <c r="B51" s="638"/>
      <c r="C51" s="13" t="s">
        <v>196</v>
      </c>
      <c r="D51" s="13"/>
      <c r="E51" s="25" t="s">
        <v>27</v>
      </c>
      <c r="F51" s="16">
        <v>22</v>
      </c>
      <c r="G51" s="18">
        <v>11</v>
      </c>
      <c r="H51" s="16">
        <v>1</v>
      </c>
      <c r="I51" s="16"/>
      <c r="J51" s="20">
        <f t="shared" si="6"/>
        <v>0.50</v>
      </c>
      <c r="K51" s="16">
        <v>1</v>
      </c>
      <c r="L51" s="8">
        <f t="shared" si="7"/>
        <v>0.50</v>
      </c>
      <c r="M51" s="42">
        <f t="shared" si="8"/>
        <v>100</v>
      </c>
      <c r="N51" s="43">
        <v>200</v>
      </c>
      <c r="O51" s="8">
        <f t="shared" si="9"/>
        <v>0.50</v>
      </c>
    </row>
    <row r="52" spans="1:15" ht="15">
      <c r="A52" s="58" t="s">
        <v>325</v>
      </c>
      <c r="B52" s="55" t="s">
        <v>327</v>
      </c>
      <c r="C52" s="13" t="s">
        <v>326</v>
      </c>
      <c r="D52" s="13"/>
      <c r="E52" s="17" t="s">
        <v>142</v>
      </c>
      <c r="F52" s="16">
        <v>11</v>
      </c>
      <c r="G52" s="18">
        <v>11</v>
      </c>
      <c r="H52" s="16">
        <v>2</v>
      </c>
      <c r="I52" s="16"/>
      <c r="J52" s="20">
        <f t="shared" si="10" ref="J52">G52/F52*H52</f>
        <v>2</v>
      </c>
      <c r="K52" s="30">
        <v>1</v>
      </c>
      <c r="L52" s="8">
        <f t="shared" si="11" ref="L52">J52*K52</f>
        <v>2</v>
      </c>
      <c r="M52" s="42">
        <f t="shared" si="8"/>
        <v>400</v>
      </c>
      <c r="N52" s="43">
        <v>200</v>
      </c>
      <c r="O52" s="8">
        <f t="shared" si="9"/>
        <v>1</v>
      </c>
    </row>
    <row r="53" spans="1:15" ht="15">
      <c r="A53" s="637" t="s">
        <v>197</v>
      </c>
      <c r="B53" s="638" t="s">
        <v>110</v>
      </c>
      <c r="C53" s="13" t="s">
        <v>47</v>
      </c>
      <c r="D53" s="13"/>
      <c r="E53" s="25" t="s">
        <v>111</v>
      </c>
      <c r="F53" s="16">
        <v>5.50</v>
      </c>
      <c r="G53" s="18">
        <v>11</v>
      </c>
      <c r="H53" s="16">
        <v>2</v>
      </c>
      <c r="I53" s="16"/>
      <c r="J53" s="20">
        <f t="shared" si="6"/>
        <v>4</v>
      </c>
      <c r="K53" s="16">
        <v>1</v>
      </c>
      <c r="L53" s="26">
        <f t="shared" si="7"/>
        <v>4</v>
      </c>
      <c r="M53" s="43">
        <f t="shared" si="8"/>
        <v>800</v>
      </c>
      <c r="N53" s="46">
        <v>200</v>
      </c>
      <c r="O53" s="8">
        <f t="shared" si="9"/>
        <v>2</v>
      </c>
    </row>
    <row r="54" spans="1:15" ht="15">
      <c r="A54" s="637"/>
      <c r="B54" s="638"/>
      <c r="C54" s="13" t="s">
        <v>48</v>
      </c>
      <c r="D54" s="13" t="s">
        <v>46</v>
      </c>
      <c r="E54" s="17" t="s">
        <v>10</v>
      </c>
      <c r="F54" s="16">
        <v>20</v>
      </c>
      <c r="G54" s="18">
        <v>11</v>
      </c>
      <c r="H54" s="16">
        <v>1</v>
      </c>
      <c r="I54" s="16"/>
      <c r="J54" s="20">
        <f t="shared" si="6"/>
        <v>0.55000000000000004</v>
      </c>
      <c r="K54" s="16">
        <f>(347*2+1841+1841/2)/1000</f>
        <v>3.4554999999999998</v>
      </c>
      <c r="L54" s="26">
        <f t="shared" si="7"/>
        <v>1.900525</v>
      </c>
      <c r="M54" s="43">
        <f t="shared" si="8"/>
        <v>380.105</v>
      </c>
      <c r="N54" s="46">
        <v>200</v>
      </c>
      <c r="O54" s="8">
        <f t="shared" si="9"/>
        <v>1.900525</v>
      </c>
    </row>
    <row r="55" spans="1:15" ht="15">
      <c r="A55" s="57" t="s">
        <v>193</v>
      </c>
      <c r="B55" s="56" t="s">
        <v>194</v>
      </c>
      <c r="C55" s="13" t="s">
        <v>154</v>
      </c>
      <c r="D55" s="13"/>
      <c r="E55" s="53" t="s">
        <v>142</v>
      </c>
      <c r="F55" s="16">
        <v>8</v>
      </c>
      <c r="G55" s="18">
        <v>11</v>
      </c>
      <c r="H55" s="16">
        <v>1</v>
      </c>
      <c r="I55" s="16"/>
      <c r="J55" s="20">
        <f t="shared" si="6"/>
        <v>1.375</v>
      </c>
      <c r="K55" s="30">
        <v>1</v>
      </c>
      <c r="L55" s="26">
        <f t="shared" si="7"/>
        <v>1.375</v>
      </c>
      <c r="M55" s="37">
        <f t="shared" si="8"/>
        <v>275</v>
      </c>
      <c r="N55" s="50">
        <v>200</v>
      </c>
      <c r="O55" s="8">
        <f t="shared" si="9"/>
        <v>1.375</v>
      </c>
    </row>
    <row r="56" spans="1:15" ht="15">
      <c r="A56" s="637" t="s">
        <v>198</v>
      </c>
      <c r="B56" s="638" t="s">
        <v>112</v>
      </c>
      <c r="C56" s="13" t="s">
        <v>28</v>
      </c>
      <c r="D56" s="13"/>
      <c r="E56" s="25" t="s">
        <v>50</v>
      </c>
      <c r="F56" s="16">
        <v>22</v>
      </c>
      <c r="G56" s="18">
        <v>11</v>
      </c>
      <c r="H56" s="16">
        <v>2</v>
      </c>
      <c r="I56" s="16"/>
      <c r="J56" s="20">
        <f t="shared" si="6"/>
        <v>1</v>
      </c>
      <c r="K56" s="16">
        <v>1</v>
      </c>
      <c r="L56" s="26">
        <f t="shared" si="7"/>
        <v>1</v>
      </c>
      <c r="M56" s="43">
        <f t="shared" si="8"/>
        <v>200</v>
      </c>
      <c r="N56" s="46">
        <v>200</v>
      </c>
      <c r="O56" s="8">
        <f t="shared" si="9"/>
        <v>0.50</v>
      </c>
    </row>
    <row r="57" spans="1:15" ht="15">
      <c r="A57" s="637"/>
      <c r="B57" s="638"/>
      <c r="C57" s="13" t="s">
        <v>49</v>
      </c>
      <c r="D57" s="13" t="s">
        <v>70</v>
      </c>
      <c r="E57" s="17" t="s">
        <v>10</v>
      </c>
      <c r="F57" s="16">
        <v>20</v>
      </c>
      <c r="G57" s="18">
        <v>11</v>
      </c>
      <c r="H57" s="16">
        <v>1</v>
      </c>
      <c r="I57" s="16"/>
      <c r="J57" s="20">
        <f t="shared" si="6"/>
        <v>0.55000000000000004</v>
      </c>
      <c r="K57" s="30">
        <f>0.72*3.1415*2</f>
        <v>4.5237600000000002</v>
      </c>
      <c r="L57" s="26">
        <f t="shared" si="7"/>
        <v>2.4880680000000002</v>
      </c>
      <c r="M57" s="43">
        <f t="shared" si="8"/>
        <v>497.61360000000002</v>
      </c>
      <c r="N57" s="46">
        <v>200</v>
      </c>
      <c r="O57" s="8">
        <f t="shared" si="9"/>
        <v>2.4880680000000002</v>
      </c>
    </row>
    <row r="58" spans="1:15" ht="15">
      <c r="A58" s="637" t="s">
        <v>199</v>
      </c>
      <c r="B58" s="638" t="s">
        <v>113</v>
      </c>
      <c r="C58" s="13" t="s">
        <v>47</v>
      </c>
      <c r="D58" s="13"/>
      <c r="E58" s="25" t="s">
        <v>52</v>
      </c>
      <c r="F58" s="16">
        <v>11</v>
      </c>
      <c r="G58" s="18">
        <v>11</v>
      </c>
      <c r="H58" s="16">
        <v>2</v>
      </c>
      <c r="I58" s="16"/>
      <c r="J58" s="20">
        <f t="shared" si="6"/>
        <v>2</v>
      </c>
      <c r="K58" s="16">
        <v>1</v>
      </c>
      <c r="L58" s="26">
        <f t="shared" si="7"/>
        <v>2</v>
      </c>
      <c r="M58" s="43">
        <f t="shared" si="8"/>
        <v>400</v>
      </c>
      <c r="N58" s="46">
        <v>200</v>
      </c>
      <c r="O58" s="8">
        <f t="shared" si="9"/>
        <v>1</v>
      </c>
    </row>
    <row r="59" spans="1:15" ht="15">
      <c r="A59" s="637"/>
      <c r="B59" s="638"/>
      <c r="C59" s="13" t="s">
        <v>48</v>
      </c>
      <c r="D59" s="13" t="s">
        <v>53</v>
      </c>
      <c r="E59" s="17" t="s">
        <v>10</v>
      </c>
      <c r="F59" s="16">
        <v>20</v>
      </c>
      <c r="G59" s="18">
        <v>11</v>
      </c>
      <c r="H59" s="16">
        <v>1</v>
      </c>
      <c r="I59" s="16"/>
      <c r="J59" s="20">
        <f t="shared" si="6"/>
        <v>0.55000000000000004</v>
      </c>
      <c r="K59" s="16">
        <f>4214/1000</f>
        <v>4.2140000000000004</v>
      </c>
      <c r="L59" s="26">
        <f t="shared" si="7"/>
        <v>2.3177000000000003</v>
      </c>
      <c r="M59" s="43">
        <f t="shared" si="8"/>
        <v>463.54000000000008</v>
      </c>
      <c r="N59" s="46">
        <v>200</v>
      </c>
      <c r="O59" s="8">
        <f t="shared" si="9"/>
        <v>2.3177000000000003</v>
      </c>
    </row>
    <row r="60" spans="1:15" ht="15">
      <c r="A60" s="637"/>
      <c r="B60" s="638"/>
      <c r="C60" s="4" t="s">
        <v>312</v>
      </c>
      <c r="D60" s="13"/>
      <c r="E60" s="25" t="s">
        <v>10</v>
      </c>
      <c r="F60" s="16">
        <v>25</v>
      </c>
      <c r="G60" s="18">
        <v>11</v>
      </c>
      <c r="H60" s="16">
        <v>1</v>
      </c>
      <c r="I60" s="16"/>
      <c r="J60" s="20">
        <f t="shared" si="6"/>
        <v>0.44</v>
      </c>
      <c r="K60" s="16">
        <f>4214/1000</f>
        <v>4.2140000000000004</v>
      </c>
      <c r="L60" s="26">
        <f t="shared" si="7"/>
        <v>1.8541600000000003</v>
      </c>
      <c r="M60" s="42">
        <f t="shared" si="8"/>
        <v>370.83200000000005</v>
      </c>
      <c r="N60" s="43">
        <v>200</v>
      </c>
      <c r="O60" s="8">
        <f t="shared" si="9"/>
        <v>1.8541600000000003</v>
      </c>
    </row>
    <row r="61" spans="1:15" ht="15">
      <c r="A61" s="39"/>
      <c r="B61" s="649" t="s">
        <v>132</v>
      </c>
      <c r="C61" s="649"/>
      <c r="D61" s="649"/>
      <c r="E61" s="649"/>
      <c r="F61" s="649"/>
      <c r="G61" s="649"/>
      <c r="H61" s="649"/>
      <c r="I61" s="649"/>
      <c r="J61" s="649"/>
      <c r="K61" s="649"/>
      <c r="L61" s="26"/>
      <c r="M61" s="40">
        <f>SUM(M62:M71)</f>
        <v>9475.2782042052459</v>
      </c>
      <c r="N61" s="41"/>
      <c r="O61" s="8"/>
    </row>
    <row r="62" spans="1:15" ht="15">
      <c r="A62" s="650" t="s">
        <v>200</v>
      </c>
      <c r="B62" s="638" t="s">
        <v>201</v>
      </c>
      <c r="C62" s="13" t="s">
        <v>202</v>
      </c>
      <c r="D62" s="13"/>
      <c r="E62" s="17" t="s">
        <v>142</v>
      </c>
      <c r="F62" s="16">
        <v>10</v>
      </c>
      <c r="G62" s="18">
        <v>11</v>
      </c>
      <c r="H62" s="16">
        <v>1</v>
      </c>
      <c r="I62" s="16"/>
      <c r="J62" s="20">
        <f t="shared" si="12" ref="J62:J64">G62/F62*H62</f>
        <v>1.1000000000000001</v>
      </c>
      <c r="K62" s="30">
        <v>1</v>
      </c>
      <c r="L62" s="8">
        <f t="shared" si="13" ref="L62:L64">J62*K62</f>
        <v>1.1000000000000001</v>
      </c>
      <c r="M62" s="42">
        <f t="shared" si="14" ref="M62:M71">L62*N62</f>
        <v>220.00000000000003</v>
      </c>
      <c r="N62" s="43">
        <v>200</v>
      </c>
      <c r="O62" s="8">
        <f t="shared" si="15" ref="O62:O71">J62/H62*K62</f>
        <v>1.1000000000000001</v>
      </c>
    </row>
    <row r="63" spans="1:15" ht="15">
      <c r="A63" s="650"/>
      <c r="B63" s="638"/>
      <c r="C63" s="13" t="s">
        <v>203</v>
      </c>
      <c r="D63" s="13"/>
      <c r="E63" s="17" t="s">
        <v>142</v>
      </c>
      <c r="F63" s="16">
        <v>10</v>
      </c>
      <c r="G63" s="18">
        <v>11</v>
      </c>
      <c r="H63" s="16">
        <v>1</v>
      </c>
      <c r="I63" s="16"/>
      <c r="J63" s="20">
        <f t="shared" si="12"/>
        <v>1.1000000000000001</v>
      </c>
      <c r="K63" s="30">
        <v>1</v>
      </c>
      <c r="L63" s="8">
        <f t="shared" si="13"/>
        <v>1.1000000000000001</v>
      </c>
      <c r="M63" s="42">
        <f t="shared" si="14"/>
        <v>220.00000000000003</v>
      </c>
      <c r="N63" s="43">
        <v>200</v>
      </c>
      <c r="O63" s="8">
        <f t="shared" si="15"/>
        <v>1.1000000000000001</v>
      </c>
    </row>
    <row r="64" spans="1:15" ht="15">
      <c r="A64" s="650"/>
      <c r="B64" s="638"/>
      <c r="C64" s="13" t="s">
        <v>204</v>
      </c>
      <c r="D64" s="13"/>
      <c r="E64" s="17" t="s">
        <v>142</v>
      </c>
      <c r="F64" s="16">
        <v>10</v>
      </c>
      <c r="G64" s="18">
        <v>11</v>
      </c>
      <c r="H64" s="16">
        <v>1</v>
      </c>
      <c r="I64" s="16"/>
      <c r="J64" s="20">
        <f t="shared" si="12"/>
        <v>1.1000000000000001</v>
      </c>
      <c r="K64" s="30">
        <v>1</v>
      </c>
      <c r="L64" s="8">
        <f t="shared" si="13"/>
        <v>1.1000000000000001</v>
      </c>
      <c r="M64" s="42">
        <f t="shared" si="14"/>
        <v>220.00000000000003</v>
      </c>
      <c r="N64" s="43">
        <v>200</v>
      </c>
      <c r="O64" s="8">
        <f t="shared" si="15"/>
        <v>1.1000000000000001</v>
      </c>
    </row>
    <row r="65" spans="1:15" ht="15">
      <c r="A65" s="13" t="s">
        <v>205</v>
      </c>
      <c r="B65" s="27" t="s">
        <v>93</v>
      </c>
      <c r="C65" s="13" t="s">
        <v>54</v>
      </c>
      <c r="D65" s="13"/>
      <c r="E65" s="4" t="s">
        <v>13</v>
      </c>
      <c r="F65" s="16">
        <v>1.25</v>
      </c>
      <c r="G65" s="18">
        <v>10</v>
      </c>
      <c r="H65" s="16">
        <v>2</v>
      </c>
      <c r="I65" s="16"/>
      <c r="J65" s="20">
        <f t="shared" si="6"/>
        <v>16</v>
      </c>
      <c r="K65" s="16">
        <v>1</v>
      </c>
      <c r="L65" s="26">
        <f>J65*K65</f>
        <v>16</v>
      </c>
      <c r="M65" s="43">
        <f t="shared" si="14"/>
        <v>3200</v>
      </c>
      <c r="N65" s="46">
        <v>200</v>
      </c>
      <c r="O65" s="8">
        <f t="shared" si="15"/>
        <v>8</v>
      </c>
    </row>
    <row r="66" spans="1:15" ht="15">
      <c r="A66" s="13" t="s">
        <v>206</v>
      </c>
      <c r="B66" s="27" t="s">
        <v>94</v>
      </c>
      <c r="C66" s="13" t="s">
        <v>54</v>
      </c>
      <c r="D66" s="13"/>
      <c r="E66" s="4" t="s">
        <v>13</v>
      </c>
      <c r="F66" s="16">
        <v>1.306</v>
      </c>
      <c r="G66" s="18">
        <v>10</v>
      </c>
      <c r="H66" s="16">
        <v>1</v>
      </c>
      <c r="I66" s="16"/>
      <c r="J66" s="20">
        <f t="shared" si="6"/>
        <v>7.656967840735069</v>
      </c>
      <c r="K66" s="16">
        <v>1</v>
      </c>
      <c r="L66" s="26">
        <f>J66*K66</f>
        <v>7.656967840735069</v>
      </c>
      <c r="M66" s="43">
        <f t="shared" si="14"/>
        <v>1531.3935681470139</v>
      </c>
      <c r="N66" s="46">
        <v>200</v>
      </c>
      <c r="O66" s="8">
        <f t="shared" si="15"/>
        <v>7.656967840735069</v>
      </c>
    </row>
    <row r="67" spans="1:15" ht="15">
      <c r="A67" s="13" t="s">
        <v>207</v>
      </c>
      <c r="B67" s="56" t="s">
        <v>55</v>
      </c>
      <c r="C67" s="13" t="s">
        <v>29</v>
      </c>
      <c r="D67" s="13"/>
      <c r="E67" s="17" t="s">
        <v>13</v>
      </c>
      <c r="F67" s="16">
        <v>6.25</v>
      </c>
      <c r="G67" s="18">
        <v>11</v>
      </c>
      <c r="H67" s="16">
        <v>1</v>
      </c>
      <c r="I67" s="16"/>
      <c r="J67" s="20">
        <f t="shared" si="6"/>
        <v>1.76</v>
      </c>
      <c r="K67" s="16">
        <v>1</v>
      </c>
      <c r="L67" s="26">
        <f t="shared" si="16" ref="L67:L70">J67*K67</f>
        <v>1.76</v>
      </c>
      <c r="M67" s="43">
        <f t="shared" si="14"/>
        <v>265.76</v>
      </c>
      <c r="N67" s="46">
        <v>151</v>
      </c>
      <c r="O67" s="8">
        <f t="shared" si="15"/>
        <v>1.76</v>
      </c>
    </row>
    <row r="68" spans="1:15" ht="15">
      <c r="A68" s="13" t="s">
        <v>208</v>
      </c>
      <c r="B68" s="56" t="s">
        <v>56</v>
      </c>
      <c r="C68" s="13" t="s">
        <v>29</v>
      </c>
      <c r="D68" s="13"/>
      <c r="E68" s="17" t="s">
        <v>13</v>
      </c>
      <c r="F68" s="16">
        <v>4.75</v>
      </c>
      <c r="G68" s="18">
        <v>11</v>
      </c>
      <c r="H68" s="16">
        <v>1</v>
      </c>
      <c r="I68" s="16"/>
      <c r="J68" s="20">
        <f t="shared" si="6"/>
        <v>2.3157894736842106</v>
      </c>
      <c r="K68" s="16">
        <v>1</v>
      </c>
      <c r="L68" s="26">
        <f t="shared" si="16"/>
        <v>2.3157894736842106</v>
      </c>
      <c r="M68" s="43">
        <f t="shared" si="14"/>
        <v>349.68421052631578</v>
      </c>
      <c r="N68" s="46">
        <v>151</v>
      </c>
      <c r="O68" s="8">
        <f t="shared" si="15"/>
        <v>2.3157894736842106</v>
      </c>
    </row>
    <row r="69" spans="1:17" ht="15">
      <c r="A69" s="13" t="s">
        <v>209</v>
      </c>
      <c r="B69" s="16" t="s">
        <v>57</v>
      </c>
      <c r="C69" s="13" t="s">
        <v>14</v>
      </c>
      <c r="D69" s="13"/>
      <c r="E69" s="17" t="s">
        <v>58</v>
      </c>
      <c r="F69" s="16">
        <v>40</v>
      </c>
      <c r="G69" s="18">
        <v>11</v>
      </c>
      <c r="H69" s="16">
        <v>1</v>
      </c>
      <c r="I69" s="16"/>
      <c r="J69" s="20">
        <f t="shared" si="6"/>
        <v>0.27500000000000002</v>
      </c>
      <c r="K69" s="16">
        <f>1.23*2</f>
        <v>2.46</v>
      </c>
      <c r="L69" s="26">
        <f t="shared" si="16"/>
        <v>0.67649999999999999</v>
      </c>
      <c r="M69" s="43">
        <f t="shared" si="14"/>
        <v>135.30000000000001</v>
      </c>
      <c r="N69" s="46">
        <v>200</v>
      </c>
      <c r="O69" s="8">
        <f t="shared" si="15"/>
        <v>0.67649999999999999</v>
      </c>
      <c r="P69" s="22"/>
      <c r="Q69" s="22"/>
    </row>
    <row r="70" spans="1:17" ht="30">
      <c r="A70" s="13" t="s">
        <v>210</v>
      </c>
      <c r="B70" s="19" t="s">
        <v>114</v>
      </c>
      <c r="C70" s="13" t="s">
        <v>54</v>
      </c>
      <c r="D70" s="13"/>
      <c r="E70" s="17" t="s">
        <v>13</v>
      </c>
      <c r="F70" s="16">
        <v>2.35</v>
      </c>
      <c r="G70" s="18">
        <v>11</v>
      </c>
      <c r="H70" s="16">
        <v>2</v>
      </c>
      <c r="I70" s="16"/>
      <c r="J70" s="20">
        <f t="shared" si="6"/>
        <v>9.3617021276595747</v>
      </c>
      <c r="K70" s="16">
        <v>1</v>
      </c>
      <c r="L70" s="26">
        <f t="shared" si="16"/>
        <v>9.3617021276595747</v>
      </c>
      <c r="M70" s="43">
        <f t="shared" si="14"/>
        <v>1872.3404255319149</v>
      </c>
      <c r="N70" s="46">
        <v>200</v>
      </c>
      <c r="O70" s="8">
        <f t="shared" si="15"/>
        <v>4.6808510638297873</v>
      </c>
      <c r="P70" s="22"/>
      <c r="Q70" s="22"/>
    </row>
    <row r="71" spans="1:15" ht="30">
      <c r="A71" s="13" t="s">
        <v>211</v>
      </c>
      <c r="B71" s="56" t="s">
        <v>60</v>
      </c>
      <c r="C71" s="13" t="s">
        <v>14</v>
      </c>
      <c r="D71" s="13"/>
      <c r="E71" s="25" t="s">
        <v>13</v>
      </c>
      <c r="F71" s="16">
        <v>1.25</v>
      </c>
      <c r="G71" s="18">
        <v>11</v>
      </c>
      <c r="H71" s="16">
        <v>1</v>
      </c>
      <c r="I71" s="16"/>
      <c r="J71" s="20">
        <f t="shared" si="6"/>
        <v>8.8000000000000007</v>
      </c>
      <c r="K71" s="16">
        <v>1</v>
      </c>
      <c r="L71" s="26">
        <f>J71*K71</f>
        <v>8.8000000000000007</v>
      </c>
      <c r="M71" s="43">
        <f t="shared" si="14"/>
        <v>1460.8000000000002</v>
      </c>
      <c r="N71" s="46">
        <v>166</v>
      </c>
      <c r="O71" s="8">
        <f t="shared" si="15"/>
        <v>8.8000000000000007</v>
      </c>
    </row>
    <row r="72" spans="1:15" ht="15">
      <c r="A72" s="39"/>
      <c r="B72" s="649" t="s">
        <v>140</v>
      </c>
      <c r="C72" s="649"/>
      <c r="D72" s="649"/>
      <c r="E72" s="649"/>
      <c r="F72" s="649"/>
      <c r="G72" s="649"/>
      <c r="H72" s="649"/>
      <c r="I72" s="649"/>
      <c r="J72" s="649"/>
      <c r="K72" s="649"/>
      <c r="L72" s="26"/>
      <c r="M72" s="40">
        <f>SUM(M73:M78)</f>
        <v>3105.6967840735069</v>
      </c>
      <c r="N72" s="41"/>
      <c r="O72" s="8"/>
    </row>
    <row r="73" spans="1:15" ht="15">
      <c r="A73" s="650" t="s">
        <v>212</v>
      </c>
      <c r="B73" s="638" t="s">
        <v>213</v>
      </c>
      <c r="C73" s="13" t="s">
        <v>315</v>
      </c>
      <c r="D73" s="13"/>
      <c r="E73" s="17" t="s">
        <v>142</v>
      </c>
      <c r="F73" s="16">
        <v>10</v>
      </c>
      <c r="G73" s="18">
        <v>11</v>
      </c>
      <c r="H73" s="16">
        <v>1</v>
      </c>
      <c r="I73" s="16"/>
      <c r="J73" s="20">
        <f t="shared" si="17" ref="J73:J76">G73/F73*H73</f>
        <v>1.1000000000000001</v>
      </c>
      <c r="K73" s="30">
        <v>1</v>
      </c>
      <c r="L73" s="8">
        <f t="shared" si="18" ref="L73:L78">J73*K73</f>
        <v>1.1000000000000001</v>
      </c>
      <c r="M73" s="42">
        <f t="shared" si="19" ref="M73:M78">L73*N73</f>
        <v>220.00000000000003</v>
      </c>
      <c r="N73" s="43">
        <v>200</v>
      </c>
      <c r="O73" s="8">
        <f t="shared" si="20" ref="O73:O78">J73/H73*K73</f>
        <v>1.1000000000000001</v>
      </c>
    </row>
    <row r="74" spans="1:15" ht="15">
      <c r="A74" s="650"/>
      <c r="B74" s="638"/>
      <c r="C74" s="13" t="s">
        <v>324</v>
      </c>
      <c r="D74" s="13"/>
      <c r="E74" s="17" t="s">
        <v>142</v>
      </c>
      <c r="F74" s="16">
        <v>10</v>
      </c>
      <c r="G74" s="18">
        <v>11</v>
      </c>
      <c r="H74" s="16">
        <v>1</v>
      </c>
      <c r="I74" s="16"/>
      <c r="J74" s="20">
        <f t="shared" si="17"/>
        <v>1.1000000000000001</v>
      </c>
      <c r="K74" s="30">
        <v>1</v>
      </c>
      <c r="L74" s="8">
        <f t="shared" si="18"/>
        <v>1.1000000000000001</v>
      </c>
      <c r="M74" s="42">
        <f t="shared" si="19"/>
        <v>220.00000000000003</v>
      </c>
      <c r="N74" s="43">
        <v>200</v>
      </c>
      <c r="O74" s="8">
        <f t="shared" si="20"/>
        <v>1.1000000000000001</v>
      </c>
    </row>
    <row r="75" spans="1:15" ht="30">
      <c r="A75" s="57" t="s">
        <v>214</v>
      </c>
      <c r="B75" s="56" t="s">
        <v>215</v>
      </c>
      <c r="C75" s="17" t="s">
        <v>33</v>
      </c>
      <c r="D75" s="17"/>
      <c r="E75" s="53" t="s">
        <v>142</v>
      </c>
      <c r="F75" s="16">
        <v>44</v>
      </c>
      <c r="G75" s="18">
        <v>11</v>
      </c>
      <c r="H75" s="16">
        <v>2</v>
      </c>
      <c r="I75" s="16"/>
      <c r="J75" s="20">
        <f t="shared" si="17"/>
        <v>0.50</v>
      </c>
      <c r="K75" s="16">
        <v>1</v>
      </c>
      <c r="L75" s="26">
        <f t="shared" si="18"/>
        <v>0.50</v>
      </c>
      <c r="M75" s="37">
        <f t="shared" si="19"/>
        <v>100</v>
      </c>
      <c r="N75" s="38">
        <v>200</v>
      </c>
      <c r="O75" s="8">
        <f t="shared" si="20"/>
        <v>0.25</v>
      </c>
    </row>
    <row r="76" spans="1:15" ht="15">
      <c r="A76" s="57" t="s">
        <v>216</v>
      </c>
      <c r="B76" s="56" t="s">
        <v>217</v>
      </c>
      <c r="C76" s="13" t="s">
        <v>218</v>
      </c>
      <c r="D76" s="13"/>
      <c r="E76" s="53" t="s">
        <v>142</v>
      </c>
      <c r="F76" s="16">
        <v>11</v>
      </c>
      <c r="G76" s="18">
        <v>11</v>
      </c>
      <c r="H76" s="16">
        <v>1</v>
      </c>
      <c r="I76" s="16"/>
      <c r="J76" s="20">
        <f t="shared" si="17"/>
        <v>1</v>
      </c>
      <c r="K76" s="30">
        <v>1</v>
      </c>
      <c r="L76" s="26">
        <f t="shared" si="18"/>
        <v>1</v>
      </c>
      <c r="M76" s="37">
        <f t="shared" si="19"/>
        <v>200</v>
      </c>
      <c r="N76" s="38">
        <v>200</v>
      </c>
      <c r="O76" s="8">
        <f t="shared" si="20"/>
        <v>1</v>
      </c>
    </row>
    <row r="77" spans="1:15" ht="15">
      <c r="A77" s="13" t="s">
        <v>219</v>
      </c>
      <c r="B77" s="56" t="s">
        <v>91</v>
      </c>
      <c r="C77" s="13" t="s">
        <v>54</v>
      </c>
      <c r="D77" s="13"/>
      <c r="E77" s="4" t="s">
        <v>59</v>
      </c>
      <c r="F77" s="16">
        <v>2.50</v>
      </c>
      <c r="G77" s="18">
        <v>10</v>
      </c>
      <c r="H77" s="16">
        <v>2</v>
      </c>
      <c r="I77" s="16"/>
      <c r="J77" s="20">
        <f t="shared" si="6"/>
        <v>8</v>
      </c>
      <c r="K77" s="16">
        <v>1</v>
      </c>
      <c r="L77" s="26">
        <f t="shared" si="18"/>
        <v>8</v>
      </c>
      <c r="M77" s="43">
        <f t="shared" si="19"/>
        <v>1600</v>
      </c>
      <c r="N77" s="46">
        <v>200</v>
      </c>
      <c r="O77" s="8">
        <f t="shared" si="20"/>
        <v>4</v>
      </c>
    </row>
    <row r="78" spans="1:15" ht="15">
      <c r="A78" s="13" t="s">
        <v>220</v>
      </c>
      <c r="B78" s="56" t="s">
        <v>92</v>
      </c>
      <c r="C78" s="13" t="s">
        <v>54</v>
      </c>
      <c r="D78" s="13"/>
      <c r="E78" s="4" t="s">
        <v>59</v>
      </c>
      <c r="F78" s="16">
        <v>2.6120000000000001</v>
      </c>
      <c r="G78" s="18">
        <v>10</v>
      </c>
      <c r="H78" s="16">
        <v>1</v>
      </c>
      <c r="I78" s="16"/>
      <c r="J78" s="20">
        <f t="shared" si="6"/>
        <v>3.8284839203675345</v>
      </c>
      <c r="K78" s="16">
        <v>1</v>
      </c>
      <c r="L78" s="26">
        <f t="shared" si="18"/>
        <v>3.8284839203675345</v>
      </c>
      <c r="M78" s="43">
        <f t="shared" si="19"/>
        <v>765.69678407350693</v>
      </c>
      <c r="N78" s="46">
        <v>200</v>
      </c>
      <c r="O78" s="8">
        <f t="shared" si="20"/>
        <v>3.8284839203675345</v>
      </c>
    </row>
    <row r="79" spans="1:15" ht="15">
      <c r="A79" s="39"/>
      <c r="B79" s="649" t="s">
        <v>135</v>
      </c>
      <c r="C79" s="649"/>
      <c r="D79" s="649"/>
      <c r="E79" s="649"/>
      <c r="F79" s="649"/>
      <c r="G79" s="649"/>
      <c r="H79" s="649"/>
      <c r="I79" s="649"/>
      <c r="J79" s="649"/>
      <c r="K79" s="649"/>
      <c r="L79" s="8"/>
      <c r="M79" s="40">
        <f>SUM(M80:M82)</f>
        <v>563.2124352331607</v>
      </c>
      <c r="N79" s="41"/>
      <c r="O79" s="8"/>
    </row>
    <row r="80" spans="1:15" ht="15">
      <c r="A80" s="13" t="s">
        <v>136</v>
      </c>
      <c r="B80" s="56" t="s">
        <v>137</v>
      </c>
      <c r="C80" s="13" t="s">
        <v>138</v>
      </c>
      <c r="D80" s="13"/>
      <c r="E80" s="4" t="s">
        <v>139</v>
      </c>
      <c r="F80" s="16">
        <v>11</v>
      </c>
      <c r="G80" s="18">
        <v>11</v>
      </c>
      <c r="H80" s="16">
        <v>2</v>
      </c>
      <c r="I80" s="16"/>
      <c r="J80" s="20">
        <f t="shared" si="21" ref="J80:J81">G80/F80*H80</f>
        <v>2</v>
      </c>
      <c r="K80" s="16">
        <v>1</v>
      </c>
      <c r="L80" s="8">
        <f t="shared" si="22" ref="L80:L81">J80*K80</f>
        <v>2</v>
      </c>
      <c r="M80" s="42">
        <f>L80*N80</f>
        <v>400</v>
      </c>
      <c r="N80" s="43">
        <v>200</v>
      </c>
      <c r="O80" s="8">
        <f>J80/H80*K80</f>
        <v>1</v>
      </c>
    </row>
    <row r="81" spans="1:15" ht="15">
      <c r="A81" s="13" t="s">
        <v>346</v>
      </c>
      <c r="B81" s="56" t="s">
        <v>347</v>
      </c>
      <c r="C81" s="13" t="s">
        <v>14</v>
      </c>
      <c r="D81" s="13"/>
      <c r="E81" s="17" t="s">
        <v>58</v>
      </c>
      <c r="F81" s="16">
        <v>23.16</v>
      </c>
      <c r="G81" s="18">
        <v>10</v>
      </c>
      <c r="H81" s="16">
        <v>1</v>
      </c>
      <c r="I81" s="16"/>
      <c r="J81" s="20">
        <f t="shared" si="21"/>
        <v>0.43177892918825561</v>
      </c>
      <c r="K81" s="16">
        <f>0.2*4</f>
        <v>0.80</v>
      </c>
      <c r="L81" s="8">
        <f t="shared" si="22"/>
        <v>0.34542314335060453</v>
      </c>
      <c r="M81" s="42">
        <f>L81*N81</f>
        <v>63.212435233160633</v>
      </c>
      <c r="N81" s="43">
        <v>183</v>
      </c>
      <c r="O81" s="8">
        <f>J81/H81*K81</f>
        <v>0.34542314335060453</v>
      </c>
    </row>
    <row r="82" spans="1:15" ht="15">
      <c r="A82" s="13" t="s">
        <v>344</v>
      </c>
      <c r="B82" s="56" t="s">
        <v>345</v>
      </c>
      <c r="C82" s="17" t="s">
        <v>24</v>
      </c>
      <c r="D82" s="13"/>
      <c r="E82" s="4" t="s">
        <v>139</v>
      </c>
      <c r="F82" s="16">
        <v>40</v>
      </c>
      <c r="G82" s="18">
        <v>10</v>
      </c>
      <c r="H82" s="16">
        <v>2</v>
      </c>
      <c r="I82" s="16"/>
      <c r="J82" s="20">
        <f t="shared" si="23" ref="J82">G82/F82*H82</f>
        <v>0.50</v>
      </c>
      <c r="K82" s="16">
        <v>1</v>
      </c>
      <c r="L82" s="8">
        <f t="shared" si="24" ref="L82">J82*K82</f>
        <v>0.50</v>
      </c>
      <c r="M82" s="42">
        <f>L82*N82</f>
        <v>100</v>
      </c>
      <c r="N82" s="43">
        <v>200</v>
      </c>
      <c r="O82" s="8">
        <f>J82/H82*K82</f>
        <v>0.25</v>
      </c>
    </row>
    <row r="83" spans="1:15" ht="15">
      <c r="A83" s="39"/>
      <c r="B83" s="649" t="s">
        <v>133</v>
      </c>
      <c r="C83" s="649"/>
      <c r="D83" s="649"/>
      <c r="E83" s="649"/>
      <c r="F83" s="649"/>
      <c r="G83" s="649"/>
      <c r="H83" s="649"/>
      <c r="I83" s="649"/>
      <c r="J83" s="649"/>
      <c r="K83" s="649"/>
      <c r="L83" s="26"/>
      <c r="M83" s="40">
        <f>SUM(M84:M131)</f>
        <v>26279.914287424064</v>
      </c>
      <c r="N83" s="41"/>
      <c r="O83" s="8"/>
    </row>
    <row r="84" spans="1:15" ht="15">
      <c r="A84" s="637" t="s">
        <v>221</v>
      </c>
      <c r="B84" s="638" t="s">
        <v>129</v>
      </c>
      <c r="C84" s="13" t="s">
        <v>24</v>
      </c>
      <c r="D84" s="13"/>
      <c r="E84" s="17" t="s">
        <v>11</v>
      </c>
      <c r="F84" s="16">
        <v>4.4000000000000004</v>
      </c>
      <c r="G84" s="18">
        <v>11</v>
      </c>
      <c r="H84" s="16">
        <v>2</v>
      </c>
      <c r="I84" s="16"/>
      <c r="J84" s="20">
        <f t="shared" si="6"/>
        <v>5</v>
      </c>
      <c r="K84" s="16">
        <v>1</v>
      </c>
      <c r="L84" s="26">
        <f t="shared" si="25" ref="L84:L131">J84*K84</f>
        <v>5</v>
      </c>
      <c r="M84" s="43">
        <f t="shared" si="26" ref="M84:M131">L84*N84</f>
        <v>1000</v>
      </c>
      <c r="N84" s="46">
        <v>200</v>
      </c>
      <c r="O84" s="8">
        <f t="shared" si="27" ref="O84:O131">J84/H84*K84</f>
        <v>2.50</v>
      </c>
    </row>
    <row r="85" spans="1:15" ht="15">
      <c r="A85" s="637"/>
      <c r="B85" s="638"/>
      <c r="C85" s="13" t="s">
        <v>48</v>
      </c>
      <c r="D85" s="13" t="s">
        <v>53</v>
      </c>
      <c r="E85" s="17" t="s">
        <v>10</v>
      </c>
      <c r="F85" s="16">
        <v>20</v>
      </c>
      <c r="G85" s="18">
        <v>11</v>
      </c>
      <c r="H85" s="16">
        <v>1</v>
      </c>
      <c r="I85" s="16"/>
      <c r="J85" s="20">
        <f t="shared" si="6"/>
        <v>0.55000000000000004</v>
      </c>
      <c r="K85" s="16">
        <f>4214/1000</f>
        <v>4.2140000000000004</v>
      </c>
      <c r="L85" s="26">
        <f t="shared" si="25"/>
        <v>2.3177000000000003</v>
      </c>
      <c r="M85" s="43">
        <f t="shared" si="26"/>
        <v>463.54000000000008</v>
      </c>
      <c r="N85" s="46">
        <v>200</v>
      </c>
      <c r="O85" s="8">
        <f t="shared" si="27"/>
        <v>2.3177000000000003</v>
      </c>
    </row>
    <row r="86" spans="1:15" ht="30">
      <c r="A86" s="637"/>
      <c r="B86" s="638"/>
      <c r="C86" s="4" t="s">
        <v>51</v>
      </c>
      <c r="D86" s="13"/>
      <c r="E86" s="25" t="s">
        <v>10</v>
      </c>
      <c r="F86" s="16">
        <v>25</v>
      </c>
      <c r="G86" s="18">
        <v>11</v>
      </c>
      <c r="H86" s="16">
        <v>1</v>
      </c>
      <c r="I86" s="16"/>
      <c r="J86" s="20">
        <f t="shared" si="6"/>
        <v>0.44</v>
      </c>
      <c r="K86" s="16">
        <f>4214/1000</f>
        <v>4.2140000000000004</v>
      </c>
      <c r="L86" s="26">
        <f t="shared" si="25"/>
        <v>1.8541600000000003</v>
      </c>
      <c r="M86" s="37">
        <f t="shared" si="26"/>
        <v>370.83200000000005</v>
      </c>
      <c r="N86" s="38">
        <v>200</v>
      </c>
      <c r="O86" s="8">
        <f t="shared" si="27"/>
        <v>1.8541600000000003</v>
      </c>
    </row>
    <row r="87" spans="1:15" ht="15">
      <c r="A87" s="54" t="s">
        <v>222</v>
      </c>
      <c r="B87" s="55" t="s">
        <v>223</v>
      </c>
      <c r="C87" s="17" t="s">
        <v>224</v>
      </c>
      <c r="D87" s="17"/>
      <c r="E87" s="17" t="s">
        <v>74</v>
      </c>
      <c r="F87" s="16">
        <v>22</v>
      </c>
      <c r="G87" s="18">
        <v>11</v>
      </c>
      <c r="H87" s="16">
        <v>2</v>
      </c>
      <c r="I87" s="16"/>
      <c r="J87" s="20">
        <f t="shared" si="6"/>
        <v>1</v>
      </c>
      <c r="K87" s="16">
        <v>1</v>
      </c>
      <c r="L87" s="26">
        <f t="shared" si="25"/>
        <v>1</v>
      </c>
      <c r="M87" s="37">
        <f t="shared" si="26"/>
        <v>200</v>
      </c>
      <c r="N87" s="38">
        <v>200</v>
      </c>
      <c r="O87" s="8">
        <f t="shared" si="27"/>
        <v>0.50</v>
      </c>
    </row>
    <row r="88" spans="1:15" ht="30">
      <c r="A88" s="13" t="s">
        <v>225</v>
      </c>
      <c r="B88" s="27" t="s">
        <v>230</v>
      </c>
      <c r="C88" s="17" t="s">
        <v>226</v>
      </c>
      <c r="D88" s="17"/>
      <c r="E88" s="17" t="s">
        <v>227</v>
      </c>
      <c r="F88" s="16">
        <f>660/2.5</f>
        <v>264</v>
      </c>
      <c r="G88" s="18">
        <v>11</v>
      </c>
      <c r="H88" s="16">
        <v>2</v>
      </c>
      <c r="I88" s="16"/>
      <c r="J88" s="20">
        <f t="shared" si="6"/>
        <v>0.083333333333333329</v>
      </c>
      <c r="K88" s="16">
        <v>85</v>
      </c>
      <c r="L88" s="8">
        <f t="shared" si="25"/>
        <v>7.083333333333333</v>
      </c>
      <c r="M88" s="37">
        <f t="shared" si="26"/>
        <v>1416.6666666666665</v>
      </c>
      <c r="N88" s="51">
        <v>200</v>
      </c>
      <c r="O88" s="8">
        <f t="shared" si="27"/>
        <v>3.5416666666666665</v>
      </c>
    </row>
    <row r="89" spans="1:15" ht="15">
      <c r="A89" s="13" t="s">
        <v>228</v>
      </c>
      <c r="B89" s="27" t="s">
        <v>231</v>
      </c>
      <c r="C89" s="17" t="s">
        <v>24</v>
      </c>
      <c r="D89" s="17"/>
      <c r="E89" s="17" t="s">
        <v>229</v>
      </c>
      <c r="F89" s="16">
        <v>660</v>
      </c>
      <c r="G89" s="18">
        <v>11</v>
      </c>
      <c r="H89" s="16">
        <v>2</v>
      </c>
      <c r="I89" s="16"/>
      <c r="J89" s="20">
        <f t="shared" si="6"/>
        <v>0.033333333333333333</v>
      </c>
      <c r="K89" s="16">
        <v>85</v>
      </c>
      <c r="L89" s="8">
        <f t="shared" si="25"/>
        <v>2.8333333333333335</v>
      </c>
      <c r="M89" s="37">
        <f t="shared" si="26"/>
        <v>391</v>
      </c>
      <c r="N89" s="43">
        <v>138</v>
      </c>
      <c r="O89" s="8">
        <f t="shared" si="27"/>
        <v>1.4166666666666667</v>
      </c>
    </row>
    <row r="90" spans="1:15" ht="15">
      <c r="A90" s="13" t="s">
        <v>232</v>
      </c>
      <c r="B90" s="19" t="s">
        <v>61</v>
      </c>
      <c r="C90" s="13" t="s">
        <v>62</v>
      </c>
      <c r="D90" s="13"/>
      <c r="E90" s="13" t="s">
        <v>63</v>
      </c>
      <c r="F90" s="16">
        <v>300</v>
      </c>
      <c r="G90" s="18">
        <v>11</v>
      </c>
      <c r="H90" s="16">
        <v>2</v>
      </c>
      <c r="I90" s="16"/>
      <c r="J90" s="20">
        <f>G90/F90*H90</f>
        <v>0.073333333333333334</v>
      </c>
      <c r="K90" s="16">
        <v>85</v>
      </c>
      <c r="L90" s="26">
        <f t="shared" si="25"/>
        <v>6.2333333333333334</v>
      </c>
      <c r="M90" s="43">
        <f t="shared" si="26"/>
        <v>860.20</v>
      </c>
      <c r="N90" s="46">
        <v>138</v>
      </c>
      <c r="O90" s="8">
        <f t="shared" si="27"/>
        <v>3.1166666666666667</v>
      </c>
    </row>
    <row r="91" spans="1:15" ht="15">
      <c r="A91" s="13" t="s">
        <v>233</v>
      </c>
      <c r="B91" s="28" t="s">
        <v>66</v>
      </c>
      <c r="C91" s="13" t="s">
        <v>48</v>
      </c>
      <c r="D91" s="13"/>
      <c r="E91" s="17" t="s">
        <v>67</v>
      </c>
      <c r="F91" s="16">
        <v>88</v>
      </c>
      <c r="G91" s="18">
        <v>11</v>
      </c>
      <c r="H91" s="16">
        <v>2</v>
      </c>
      <c r="I91" s="16"/>
      <c r="J91" s="20">
        <f t="shared" si="28" ref="J91:J94">G91/F91*H91</f>
        <v>0.25</v>
      </c>
      <c r="K91" s="16">
        <v>4</v>
      </c>
      <c r="L91" s="26">
        <f t="shared" si="25"/>
        <v>1</v>
      </c>
      <c r="M91" s="43">
        <f t="shared" si="26"/>
        <v>200</v>
      </c>
      <c r="N91" s="46">
        <v>200</v>
      </c>
      <c r="O91" s="8">
        <f t="shared" si="27"/>
        <v>0.50</v>
      </c>
    </row>
    <row r="92" spans="1:15" ht="15" customHeight="1">
      <c r="A92" s="645" t="s">
        <v>234</v>
      </c>
      <c r="B92" s="648" t="s">
        <v>235</v>
      </c>
      <c r="C92" s="13" t="s">
        <v>72</v>
      </c>
      <c r="D92" s="13"/>
      <c r="E92" s="17" t="s">
        <v>236</v>
      </c>
      <c r="F92" s="16">
        <v>66</v>
      </c>
      <c r="G92" s="18">
        <v>11</v>
      </c>
      <c r="H92" s="16">
        <v>2</v>
      </c>
      <c r="I92" s="16"/>
      <c r="J92" s="20">
        <f t="shared" si="28"/>
        <v>0.33333333333333331</v>
      </c>
      <c r="K92" s="16">
        <v>3</v>
      </c>
      <c r="L92" s="26">
        <f t="shared" si="25"/>
        <v>1</v>
      </c>
      <c r="M92" s="43">
        <f t="shared" si="26"/>
        <v>200</v>
      </c>
      <c r="N92" s="46">
        <v>200</v>
      </c>
      <c r="O92" s="8">
        <f t="shared" si="27"/>
        <v>0.50</v>
      </c>
    </row>
    <row r="93" spans="1:15" ht="15">
      <c r="A93" s="647"/>
      <c r="B93" s="648"/>
      <c r="C93" s="13" t="s">
        <v>48</v>
      </c>
      <c r="D93" s="13" t="s">
        <v>73</v>
      </c>
      <c r="E93" s="17" t="s">
        <v>10</v>
      </c>
      <c r="F93" s="16">
        <v>20</v>
      </c>
      <c r="G93" s="18">
        <v>11</v>
      </c>
      <c r="H93" s="16">
        <v>1</v>
      </c>
      <c r="I93" s="16"/>
      <c r="J93" s="20">
        <f t="shared" si="28"/>
        <v>0.55000000000000004</v>
      </c>
      <c r="K93" s="31">
        <f>(2545+1539+1508)/1000</f>
        <v>5.5919999999999996</v>
      </c>
      <c r="L93" s="26">
        <f t="shared" si="25"/>
        <v>3.0756000000000001</v>
      </c>
      <c r="M93" s="43">
        <f t="shared" si="26"/>
        <v>615.12</v>
      </c>
      <c r="N93" s="46">
        <v>200</v>
      </c>
      <c r="O93" s="8">
        <f t="shared" si="27"/>
        <v>3.0756000000000001</v>
      </c>
    </row>
    <row r="94" spans="1:15" ht="15">
      <c r="A94" s="13" t="s">
        <v>237</v>
      </c>
      <c r="B94" s="56" t="s">
        <v>238</v>
      </c>
      <c r="C94" s="13" t="s">
        <v>69</v>
      </c>
      <c r="D94" s="13"/>
      <c r="E94" s="17" t="s">
        <v>34</v>
      </c>
      <c r="F94" s="16">
        <v>11</v>
      </c>
      <c r="G94" s="18">
        <v>11</v>
      </c>
      <c r="H94" s="16">
        <v>2</v>
      </c>
      <c r="I94" s="16"/>
      <c r="J94" s="20">
        <f t="shared" si="28"/>
        <v>2</v>
      </c>
      <c r="K94" s="16">
        <v>1</v>
      </c>
      <c r="L94" s="26">
        <f t="shared" si="25"/>
        <v>2</v>
      </c>
      <c r="M94" s="43">
        <f t="shared" si="26"/>
        <v>400</v>
      </c>
      <c r="N94" s="46">
        <v>200</v>
      </c>
      <c r="O94" s="8">
        <f t="shared" si="27"/>
        <v>1</v>
      </c>
    </row>
    <row r="95" spans="1:15" ht="30">
      <c r="A95" s="13" t="s">
        <v>239</v>
      </c>
      <c r="B95" s="56" t="s">
        <v>240</v>
      </c>
      <c r="C95" s="17" t="s">
        <v>25</v>
      </c>
      <c r="D95" s="17"/>
      <c r="E95" s="17" t="s">
        <v>63</v>
      </c>
      <c r="F95" s="16">
        <f>124*H95</f>
        <v>124</v>
      </c>
      <c r="G95" s="18">
        <v>11</v>
      </c>
      <c r="H95" s="16">
        <v>1</v>
      </c>
      <c r="I95" s="16"/>
      <c r="J95" s="20">
        <f t="shared" si="6"/>
        <v>0.088709677419354843</v>
      </c>
      <c r="K95" s="16">
        <v>85</v>
      </c>
      <c r="L95" s="26">
        <f t="shared" si="25"/>
        <v>7.5403225806451619</v>
      </c>
      <c r="M95" s="43">
        <f t="shared" si="26"/>
        <v>1960.4838709677422</v>
      </c>
      <c r="N95" s="46">
        <v>260</v>
      </c>
      <c r="O95" s="8">
        <f t="shared" si="27"/>
        <v>7.5403225806451619</v>
      </c>
    </row>
    <row r="96" spans="1:15" ht="30">
      <c r="A96" s="13" t="s">
        <v>241</v>
      </c>
      <c r="B96" s="56" t="s">
        <v>410</v>
      </c>
      <c r="C96" s="17" t="s">
        <v>25</v>
      </c>
      <c r="D96" s="17" t="s">
        <v>122</v>
      </c>
      <c r="E96" s="17" t="s">
        <v>10</v>
      </c>
      <c r="F96" s="16">
        <v>20</v>
      </c>
      <c r="G96" s="18">
        <v>11</v>
      </c>
      <c r="H96" s="16">
        <v>1</v>
      </c>
      <c r="I96" s="16"/>
      <c r="J96" s="20">
        <f t="shared" si="6"/>
        <v>0.55000000000000004</v>
      </c>
      <c r="K96" s="30">
        <f>0.91*3.1415</f>
        <v>2.8587650000000004</v>
      </c>
      <c r="L96" s="26">
        <f t="shared" si="25"/>
        <v>1.5723207500000003</v>
      </c>
      <c r="M96" s="43">
        <f t="shared" si="26"/>
        <v>408.80339500000008</v>
      </c>
      <c r="N96" s="46">
        <v>260</v>
      </c>
      <c r="O96" s="8">
        <f t="shared" si="27"/>
        <v>1.5723207500000003</v>
      </c>
    </row>
    <row r="97" spans="1:15" ht="30">
      <c r="A97" s="13" t="s">
        <v>243</v>
      </c>
      <c r="B97" s="56" t="s">
        <v>244</v>
      </c>
      <c r="C97" s="17" t="s">
        <v>25</v>
      </c>
      <c r="D97" s="17" t="s">
        <v>53</v>
      </c>
      <c r="E97" s="17" t="s">
        <v>10</v>
      </c>
      <c r="F97" s="16">
        <v>20</v>
      </c>
      <c r="G97" s="18">
        <v>11</v>
      </c>
      <c r="H97" s="16">
        <v>1</v>
      </c>
      <c r="I97" s="16"/>
      <c r="J97" s="20">
        <f t="shared" si="6"/>
        <v>0.55000000000000004</v>
      </c>
      <c r="K97" s="16">
        <f>4214/1000</f>
        <v>4.2140000000000004</v>
      </c>
      <c r="L97" s="26">
        <f t="shared" si="25"/>
        <v>2.3177000000000003</v>
      </c>
      <c r="M97" s="43">
        <f t="shared" si="26"/>
        <v>602.60200000000009</v>
      </c>
      <c r="N97" s="46">
        <v>260</v>
      </c>
      <c r="O97" s="8">
        <f t="shared" si="27"/>
        <v>2.3177000000000003</v>
      </c>
    </row>
    <row r="98" spans="1:15" ht="15">
      <c r="A98" s="13" t="s">
        <v>237</v>
      </c>
      <c r="B98" s="56" t="s">
        <v>71</v>
      </c>
      <c r="C98" s="13" t="s">
        <v>68</v>
      </c>
      <c r="D98" s="13"/>
      <c r="E98" s="17" t="s">
        <v>34</v>
      </c>
      <c r="F98" s="16">
        <v>22</v>
      </c>
      <c r="G98" s="18">
        <v>11</v>
      </c>
      <c r="H98" s="16">
        <v>2</v>
      </c>
      <c r="I98" s="16"/>
      <c r="J98" s="20">
        <f t="shared" si="6"/>
        <v>1</v>
      </c>
      <c r="K98" s="16">
        <v>1</v>
      </c>
      <c r="L98" s="26">
        <f t="shared" si="25"/>
        <v>1</v>
      </c>
      <c r="M98" s="43">
        <f t="shared" si="26"/>
        <v>200</v>
      </c>
      <c r="N98" s="46">
        <v>200</v>
      </c>
      <c r="O98" s="8">
        <f t="shared" si="27"/>
        <v>0.50</v>
      </c>
    </row>
    <row r="99" spans="1:15" ht="30">
      <c r="A99" s="13" t="s">
        <v>245</v>
      </c>
      <c r="B99" s="56" t="s">
        <v>246</v>
      </c>
      <c r="C99" s="17" t="s">
        <v>25</v>
      </c>
      <c r="D99" s="17"/>
      <c r="E99" s="17" t="s">
        <v>63</v>
      </c>
      <c r="F99" s="16">
        <f>124*H99</f>
        <v>124</v>
      </c>
      <c r="G99" s="18">
        <v>11</v>
      </c>
      <c r="H99" s="16">
        <v>1</v>
      </c>
      <c r="I99" s="16"/>
      <c r="J99" s="20">
        <f t="shared" si="6"/>
        <v>0.088709677419354843</v>
      </c>
      <c r="K99" s="16">
        <v>85</v>
      </c>
      <c r="L99" s="26">
        <f t="shared" si="25"/>
        <v>7.5403225806451619</v>
      </c>
      <c r="M99" s="43">
        <f t="shared" si="26"/>
        <v>1960.4838709677422</v>
      </c>
      <c r="N99" s="46">
        <v>260</v>
      </c>
      <c r="O99" s="8">
        <f t="shared" si="27"/>
        <v>7.5403225806451619</v>
      </c>
    </row>
    <row r="100" spans="1:15" ht="30">
      <c r="A100" s="13" t="s">
        <v>249</v>
      </c>
      <c r="B100" s="56" t="s">
        <v>248</v>
      </c>
      <c r="C100" s="13" t="s">
        <v>25</v>
      </c>
      <c r="D100" s="13" t="s">
        <v>53</v>
      </c>
      <c r="E100" s="17" t="s">
        <v>10</v>
      </c>
      <c r="F100" s="16">
        <v>20</v>
      </c>
      <c r="G100" s="18">
        <v>11</v>
      </c>
      <c r="H100" s="16">
        <v>1</v>
      </c>
      <c r="I100" s="16"/>
      <c r="J100" s="20">
        <f t="shared" si="6"/>
        <v>0.55000000000000004</v>
      </c>
      <c r="K100" s="16">
        <f>4214/1000</f>
        <v>4.2140000000000004</v>
      </c>
      <c r="L100" s="26">
        <f t="shared" si="25"/>
        <v>2.3177000000000003</v>
      </c>
      <c r="M100" s="43">
        <f t="shared" si="26"/>
        <v>602.60200000000009</v>
      </c>
      <c r="N100" s="46">
        <v>260</v>
      </c>
      <c r="O100" s="8">
        <f t="shared" si="27"/>
        <v>2.3177000000000003</v>
      </c>
    </row>
    <row r="101" spans="1:15" ht="15">
      <c r="A101" s="13" t="s">
        <v>247</v>
      </c>
      <c r="B101" s="56" t="s">
        <v>64</v>
      </c>
      <c r="C101" s="13" t="s">
        <v>77</v>
      </c>
      <c r="D101" s="13" t="s">
        <v>65</v>
      </c>
      <c r="E101" s="17" t="s">
        <v>10</v>
      </c>
      <c r="F101" s="16">
        <v>20</v>
      </c>
      <c r="G101" s="18">
        <v>11</v>
      </c>
      <c r="H101" s="16">
        <v>1</v>
      </c>
      <c r="I101" s="16"/>
      <c r="J101" s="20">
        <f t="shared" si="6"/>
        <v>0.55000000000000004</v>
      </c>
      <c r="K101" s="31">
        <f>426*3.1415/1000*2</f>
        <v>2.676558</v>
      </c>
      <c r="L101" s="26">
        <f t="shared" si="25"/>
        <v>1.4721069000000002</v>
      </c>
      <c r="M101" s="37">
        <f t="shared" si="26"/>
        <v>382.74779400000006</v>
      </c>
      <c r="N101" s="38">
        <v>260</v>
      </c>
      <c r="O101" s="8">
        <f t="shared" si="27"/>
        <v>1.4721069000000002</v>
      </c>
    </row>
    <row r="102" spans="1:15" ht="15">
      <c r="A102" s="13" t="s">
        <v>237</v>
      </c>
      <c r="B102" s="56" t="s">
        <v>71</v>
      </c>
      <c r="C102" s="13" t="s">
        <v>68</v>
      </c>
      <c r="D102" s="13"/>
      <c r="E102" s="17" t="s">
        <v>34</v>
      </c>
      <c r="F102" s="16">
        <v>22</v>
      </c>
      <c r="G102" s="18">
        <v>11</v>
      </c>
      <c r="H102" s="16">
        <v>2</v>
      </c>
      <c r="I102" s="16"/>
      <c r="J102" s="20">
        <f t="shared" si="6"/>
        <v>1</v>
      </c>
      <c r="K102" s="16">
        <v>1</v>
      </c>
      <c r="L102" s="26">
        <f t="shared" si="25"/>
        <v>1</v>
      </c>
      <c r="M102" s="43">
        <f t="shared" si="26"/>
        <v>200</v>
      </c>
      <c r="N102" s="46">
        <v>200</v>
      </c>
      <c r="O102" s="8">
        <f t="shared" si="27"/>
        <v>0.50</v>
      </c>
    </row>
    <row r="103" spans="1:15" ht="30">
      <c r="A103" s="13" t="s">
        <v>250</v>
      </c>
      <c r="B103" s="56" t="s">
        <v>251</v>
      </c>
      <c r="C103" s="17" t="s">
        <v>117</v>
      </c>
      <c r="D103" s="13"/>
      <c r="E103" s="17" t="s">
        <v>63</v>
      </c>
      <c r="F103" s="16">
        <f>660/1.5</f>
        <v>440</v>
      </c>
      <c r="G103" s="18">
        <v>11</v>
      </c>
      <c r="H103" s="16">
        <v>1</v>
      </c>
      <c r="I103" s="16"/>
      <c r="J103" s="20">
        <f t="shared" si="6"/>
        <v>0.025</v>
      </c>
      <c r="K103" s="16">
        <v>85</v>
      </c>
      <c r="L103" s="8">
        <f t="shared" si="25"/>
        <v>2.125</v>
      </c>
      <c r="M103" s="42">
        <f t="shared" si="26"/>
        <v>293.25</v>
      </c>
      <c r="N103" s="43">
        <v>138</v>
      </c>
      <c r="O103" s="8">
        <f t="shared" si="27"/>
        <v>2.125</v>
      </c>
    </row>
    <row r="104" spans="1:15" ht="30">
      <c r="A104" s="13" t="s">
        <v>252</v>
      </c>
      <c r="B104" s="56" t="s">
        <v>253</v>
      </c>
      <c r="C104" s="17" t="s">
        <v>117</v>
      </c>
      <c r="D104" s="13"/>
      <c r="E104" s="17" t="s">
        <v>63</v>
      </c>
      <c r="F104" s="16">
        <f>660/1.5</f>
        <v>440</v>
      </c>
      <c r="G104" s="18">
        <v>11</v>
      </c>
      <c r="H104" s="16">
        <v>1</v>
      </c>
      <c r="I104" s="16"/>
      <c r="J104" s="20">
        <f t="shared" si="6"/>
        <v>0.025</v>
      </c>
      <c r="K104" s="16">
        <v>85</v>
      </c>
      <c r="L104" s="8">
        <f t="shared" si="25"/>
        <v>2.125</v>
      </c>
      <c r="M104" s="42">
        <f t="shared" si="26"/>
        <v>293.25</v>
      </c>
      <c r="N104" s="43">
        <v>138</v>
      </c>
      <c r="O104" s="8">
        <f t="shared" si="27"/>
        <v>2.125</v>
      </c>
    </row>
    <row r="105" spans="1:15" ht="15">
      <c r="A105" s="637" t="s">
        <v>255</v>
      </c>
      <c r="B105" s="638" t="s">
        <v>115</v>
      </c>
      <c r="C105" s="13" t="s">
        <v>72</v>
      </c>
      <c r="D105" s="13"/>
      <c r="E105" s="25" t="s">
        <v>75</v>
      </c>
      <c r="F105" s="16">
        <v>9</v>
      </c>
      <c r="G105" s="18">
        <v>11</v>
      </c>
      <c r="H105" s="16">
        <v>2</v>
      </c>
      <c r="I105" s="16"/>
      <c r="J105" s="20">
        <f t="shared" si="6"/>
        <v>2.4444444444444446</v>
      </c>
      <c r="K105" s="16">
        <v>1</v>
      </c>
      <c r="L105" s="26">
        <f t="shared" si="25"/>
        <v>2.4444444444444446</v>
      </c>
      <c r="M105" s="43">
        <f t="shared" si="26"/>
        <v>488.88888888888891</v>
      </c>
      <c r="N105" s="46">
        <v>200</v>
      </c>
      <c r="O105" s="8">
        <f t="shared" si="27"/>
        <v>1.2222222222222223</v>
      </c>
    </row>
    <row r="106" spans="1:15" ht="15">
      <c r="A106" s="637"/>
      <c r="B106" s="638"/>
      <c r="C106" s="13" t="s">
        <v>48</v>
      </c>
      <c r="D106" s="13" t="s">
        <v>65</v>
      </c>
      <c r="E106" s="17" t="s">
        <v>10</v>
      </c>
      <c r="F106" s="16">
        <v>20</v>
      </c>
      <c r="G106" s="18">
        <v>11</v>
      </c>
      <c r="H106" s="16">
        <v>1</v>
      </c>
      <c r="I106" s="16"/>
      <c r="J106" s="20">
        <f t="shared" si="6"/>
        <v>0.55000000000000004</v>
      </c>
      <c r="K106" s="16">
        <f>4214/1000</f>
        <v>4.2140000000000004</v>
      </c>
      <c r="L106" s="26">
        <f t="shared" si="25"/>
        <v>2.3177000000000003</v>
      </c>
      <c r="M106" s="43">
        <f t="shared" si="26"/>
        <v>463.54000000000008</v>
      </c>
      <c r="N106" s="46">
        <v>200</v>
      </c>
      <c r="O106" s="8">
        <f t="shared" si="27"/>
        <v>2.3177000000000003</v>
      </c>
    </row>
    <row r="107" spans="1:15" ht="15" customHeight="1">
      <c r="A107" s="637" t="s">
        <v>256</v>
      </c>
      <c r="B107" s="638" t="s">
        <v>80</v>
      </c>
      <c r="C107" s="13" t="s">
        <v>72</v>
      </c>
      <c r="D107" s="13"/>
      <c r="E107" s="25" t="s">
        <v>75</v>
      </c>
      <c r="F107" s="16">
        <v>9</v>
      </c>
      <c r="G107" s="18">
        <v>11</v>
      </c>
      <c r="H107" s="16">
        <v>2</v>
      </c>
      <c r="I107" s="16"/>
      <c r="J107" s="20">
        <f t="shared" si="6"/>
        <v>2.4444444444444446</v>
      </c>
      <c r="K107" s="16">
        <v>1</v>
      </c>
      <c r="L107" s="26">
        <f t="shared" si="25"/>
        <v>2.4444444444444446</v>
      </c>
      <c r="M107" s="43">
        <f t="shared" si="26"/>
        <v>488.88888888888891</v>
      </c>
      <c r="N107" s="46">
        <v>200</v>
      </c>
      <c r="O107" s="8">
        <f t="shared" si="27"/>
        <v>1.2222222222222223</v>
      </c>
    </row>
    <row r="108" spans="1:15" ht="15">
      <c r="A108" s="637"/>
      <c r="B108" s="638"/>
      <c r="C108" s="13" t="s">
        <v>48</v>
      </c>
      <c r="D108" s="13" t="s">
        <v>65</v>
      </c>
      <c r="E108" s="17" t="s">
        <v>10</v>
      </c>
      <c r="F108" s="16">
        <v>20</v>
      </c>
      <c r="G108" s="18">
        <v>11</v>
      </c>
      <c r="H108" s="16">
        <v>1</v>
      </c>
      <c r="I108" s="16"/>
      <c r="J108" s="20">
        <f t="shared" si="6"/>
        <v>0.55000000000000004</v>
      </c>
      <c r="K108" s="16">
        <f>4214/1000</f>
        <v>4.2140000000000004</v>
      </c>
      <c r="L108" s="26">
        <f t="shared" si="25"/>
        <v>2.3177000000000003</v>
      </c>
      <c r="M108" s="43">
        <f t="shared" si="26"/>
        <v>463.54000000000008</v>
      </c>
      <c r="N108" s="46">
        <v>200</v>
      </c>
      <c r="O108" s="8">
        <f t="shared" si="27"/>
        <v>2.3177000000000003</v>
      </c>
    </row>
    <row r="109" spans="1:15" ht="15" customHeight="1">
      <c r="A109" s="645" t="s">
        <v>254</v>
      </c>
      <c r="B109" s="639" t="s">
        <v>81</v>
      </c>
      <c r="C109" s="13" t="s">
        <v>76</v>
      </c>
      <c r="D109" s="13"/>
      <c r="E109" s="13" t="s">
        <v>78</v>
      </c>
      <c r="F109" s="16">
        <v>22</v>
      </c>
      <c r="G109" s="18">
        <v>11</v>
      </c>
      <c r="H109" s="16">
        <v>2</v>
      </c>
      <c r="I109" s="16"/>
      <c r="J109" s="20">
        <f t="shared" si="6"/>
        <v>1</v>
      </c>
      <c r="K109" s="16">
        <v>2</v>
      </c>
      <c r="L109" s="26">
        <f t="shared" si="25"/>
        <v>2</v>
      </c>
      <c r="M109" s="37">
        <f t="shared" si="26"/>
        <v>400</v>
      </c>
      <c r="N109" s="38">
        <v>200</v>
      </c>
      <c r="O109" s="8">
        <f t="shared" si="27"/>
        <v>1</v>
      </c>
    </row>
    <row r="110" spans="1:15" ht="15">
      <c r="A110" s="647"/>
      <c r="B110" s="641"/>
      <c r="C110" s="13" t="s">
        <v>77</v>
      </c>
      <c r="D110" s="13" t="s">
        <v>79</v>
      </c>
      <c r="E110" s="17" t="s">
        <v>10</v>
      </c>
      <c r="F110" s="16">
        <v>20</v>
      </c>
      <c r="G110" s="18">
        <v>11</v>
      </c>
      <c r="H110" s="16">
        <v>1</v>
      </c>
      <c r="I110" s="16"/>
      <c r="J110" s="20">
        <f t="shared" si="29" ref="J110:J131">G110/F110*H110</f>
        <v>0.55000000000000004</v>
      </c>
      <c r="K110" s="31">
        <f>116*4*2/1000</f>
        <v>0.92800000000000005</v>
      </c>
      <c r="L110" s="26">
        <f t="shared" si="25"/>
        <v>0.51040000000000008</v>
      </c>
      <c r="M110" s="37">
        <f t="shared" si="26"/>
        <v>102.08000000000001</v>
      </c>
      <c r="N110" s="38">
        <v>200</v>
      </c>
      <c r="O110" s="8">
        <f t="shared" si="27"/>
        <v>0.51040000000000008</v>
      </c>
    </row>
    <row r="111" spans="1:15" ht="15">
      <c r="A111" s="637" t="s">
        <v>257</v>
      </c>
      <c r="B111" s="638" t="s">
        <v>258</v>
      </c>
      <c r="C111" s="13" t="s">
        <v>259</v>
      </c>
      <c r="D111" s="13" t="s">
        <v>260</v>
      </c>
      <c r="E111" s="17" t="s">
        <v>261</v>
      </c>
      <c r="F111" s="16">
        <f>8*2</f>
        <v>16</v>
      </c>
      <c r="G111" s="18">
        <v>11</v>
      </c>
      <c r="H111" s="16">
        <v>2</v>
      </c>
      <c r="I111" s="16"/>
      <c r="J111" s="20">
        <f t="shared" si="29"/>
        <v>1.375</v>
      </c>
      <c r="K111" s="16">
        <v>1</v>
      </c>
      <c r="L111" s="8">
        <f t="shared" si="25"/>
        <v>1.375</v>
      </c>
      <c r="M111" s="42">
        <f t="shared" si="26"/>
        <v>275</v>
      </c>
      <c r="N111" s="43">
        <v>200</v>
      </c>
      <c r="O111" s="8">
        <f t="shared" si="27"/>
        <v>0.6875</v>
      </c>
    </row>
    <row r="112" spans="1:15" ht="15">
      <c r="A112" s="637"/>
      <c r="B112" s="638"/>
      <c r="C112" s="13" t="s">
        <v>262</v>
      </c>
      <c r="D112" s="13" t="s">
        <v>260</v>
      </c>
      <c r="E112" s="17" t="s">
        <v>261</v>
      </c>
      <c r="F112" s="16">
        <f>16*2</f>
        <v>32</v>
      </c>
      <c r="G112" s="18">
        <v>11</v>
      </c>
      <c r="H112" s="16">
        <v>2</v>
      </c>
      <c r="I112" s="16"/>
      <c r="J112" s="20">
        <f t="shared" si="29"/>
        <v>0.6875</v>
      </c>
      <c r="K112" s="16">
        <v>2</v>
      </c>
      <c r="L112" s="8">
        <f t="shared" si="25"/>
        <v>1.375</v>
      </c>
      <c r="M112" s="42">
        <f t="shared" si="26"/>
        <v>275</v>
      </c>
      <c r="N112" s="43">
        <v>200</v>
      </c>
      <c r="O112" s="8">
        <f t="shared" si="27"/>
        <v>0.6875</v>
      </c>
    </row>
    <row r="113" spans="1:15" ht="15">
      <c r="A113" s="637"/>
      <c r="B113" s="638"/>
      <c r="C113" s="13" t="s">
        <v>263</v>
      </c>
      <c r="D113" s="13" t="s">
        <v>260</v>
      </c>
      <c r="E113" s="17" t="s">
        <v>261</v>
      </c>
      <c r="F113" s="16">
        <f>50*2</f>
        <v>100</v>
      </c>
      <c r="G113" s="18">
        <v>11</v>
      </c>
      <c r="H113" s="16">
        <v>2</v>
      </c>
      <c r="I113" s="16"/>
      <c r="J113" s="20">
        <f t="shared" si="29"/>
        <v>0.22</v>
      </c>
      <c r="K113" s="16">
        <v>4</v>
      </c>
      <c r="L113" s="8">
        <f t="shared" si="25"/>
        <v>0.88</v>
      </c>
      <c r="M113" s="42">
        <f t="shared" si="26"/>
        <v>176</v>
      </c>
      <c r="N113" s="43">
        <v>200</v>
      </c>
      <c r="O113" s="8">
        <f t="shared" si="27"/>
        <v>0.44</v>
      </c>
    </row>
    <row r="114" spans="1:15" ht="15">
      <c r="A114" s="637" t="s">
        <v>265</v>
      </c>
      <c r="B114" s="638" t="s">
        <v>266</v>
      </c>
      <c r="C114" s="13" t="s">
        <v>76</v>
      </c>
      <c r="D114" s="13"/>
      <c r="E114" s="13" t="s">
        <v>82</v>
      </c>
      <c r="F114" s="16">
        <v>22</v>
      </c>
      <c r="G114" s="18">
        <v>11</v>
      </c>
      <c r="H114" s="16">
        <v>2</v>
      </c>
      <c r="I114" s="16"/>
      <c r="J114" s="20">
        <f t="shared" si="29"/>
        <v>1</v>
      </c>
      <c r="K114" s="16">
        <v>3</v>
      </c>
      <c r="L114" s="26">
        <f t="shared" si="25"/>
        <v>3</v>
      </c>
      <c r="M114" s="43">
        <f t="shared" si="26"/>
        <v>600</v>
      </c>
      <c r="N114" s="46">
        <v>200</v>
      </c>
      <c r="O114" s="8">
        <f t="shared" si="27"/>
        <v>1.50</v>
      </c>
    </row>
    <row r="115" spans="1:15" ht="15">
      <c r="A115" s="637"/>
      <c r="B115" s="638"/>
      <c r="C115" s="17" t="s">
        <v>77</v>
      </c>
      <c r="D115" s="13" t="s">
        <v>264</v>
      </c>
      <c r="E115" s="17" t="s">
        <v>10</v>
      </c>
      <c r="F115" s="16">
        <v>20</v>
      </c>
      <c r="G115" s="18">
        <v>11</v>
      </c>
      <c r="H115" s="16">
        <v>1</v>
      </c>
      <c r="I115" s="16"/>
      <c r="J115" s="20">
        <f t="shared" si="29"/>
        <v>0.55000000000000004</v>
      </c>
      <c r="K115" s="31">
        <f>(273*3.1415+133*3.1415*2)/1000*2</f>
        <v>3.3865370000000001</v>
      </c>
      <c r="L115" s="26">
        <f t="shared" si="25"/>
        <v>1.8625953500000003</v>
      </c>
      <c r="M115" s="43">
        <f t="shared" si="26"/>
        <v>372.51907000000006</v>
      </c>
      <c r="N115" s="46">
        <v>200</v>
      </c>
      <c r="O115" s="8">
        <f t="shared" si="27"/>
        <v>1.8625953500000003</v>
      </c>
    </row>
    <row r="116" spans="1:15" ht="30">
      <c r="A116" s="13" t="s">
        <v>267</v>
      </c>
      <c r="B116" s="27" t="s">
        <v>116</v>
      </c>
      <c r="C116" s="17" t="s">
        <v>77</v>
      </c>
      <c r="D116" s="13"/>
      <c r="E116" s="17" t="s">
        <v>67</v>
      </c>
      <c r="F116" s="16">
        <v>22</v>
      </c>
      <c r="G116" s="18">
        <v>11</v>
      </c>
      <c r="H116" s="16">
        <v>2</v>
      </c>
      <c r="I116" s="16"/>
      <c r="J116" s="20">
        <f t="shared" si="29"/>
        <v>1</v>
      </c>
      <c r="K116" s="16">
        <v>2</v>
      </c>
      <c r="L116" s="26">
        <f t="shared" si="25"/>
        <v>2</v>
      </c>
      <c r="M116" s="43">
        <f t="shared" si="26"/>
        <v>400</v>
      </c>
      <c r="N116" s="46">
        <v>200</v>
      </c>
      <c r="O116" s="8">
        <f t="shared" si="27"/>
        <v>1</v>
      </c>
    </row>
    <row r="117" spans="1:15" ht="15" customHeight="1">
      <c r="A117" s="13" t="s">
        <v>268</v>
      </c>
      <c r="B117" s="27" t="s">
        <v>334</v>
      </c>
      <c r="C117" s="13" t="s">
        <v>83</v>
      </c>
      <c r="D117" s="13"/>
      <c r="E117" s="25" t="s">
        <v>84</v>
      </c>
      <c r="F117" s="16">
        <v>11</v>
      </c>
      <c r="G117" s="18">
        <v>11</v>
      </c>
      <c r="H117" s="16">
        <v>2</v>
      </c>
      <c r="I117" s="16"/>
      <c r="J117" s="20">
        <f t="shared" si="29"/>
        <v>2</v>
      </c>
      <c r="K117" s="16">
        <v>1</v>
      </c>
      <c r="L117" s="26">
        <f t="shared" si="25"/>
        <v>2</v>
      </c>
      <c r="M117" s="43">
        <f t="shared" si="26"/>
        <v>400</v>
      </c>
      <c r="N117" s="46">
        <v>200</v>
      </c>
      <c r="O117" s="8">
        <f t="shared" si="27"/>
        <v>1</v>
      </c>
    </row>
    <row r="118" spans="1:15" ht="15" customHeight="1">
      <c r="A118" s="13" t="s">
        <v>335</v>
      </c>
      <c r="B118" s="27" t="s">
        <v>336</v>
      </c>
      <c r="C118" s="13" t="s">
        <v>83</v>
      </c>
      <c r="D118" s="13"/>
      <c r="E118" s="25" t="s">
        <v>84</v>
      </c>
      <c r="F118" s="16">
        <v>5.50</v>
      </c>
      <c r="G118" s="18">
        <v>11</v>
      </c>
      <c r="H118" s="16">
        <v>2</v>
      </c>
      <c r="I118" s="16"/>
      <c r="J118" s="20">
        <f t="shared" si="30" ref="J118">G118/F118*H118</f>
        <v>4</v>
      </c>
      <c r="K118" s="16">
        <v>1</v>
      </c>
      <c r="L118" s="26">
        <f t="shared" si="31" ref="L118">J118*K118</f>
        <v>4</v>
      </c>
      <c r="M118" s="43">
        <f t="shared" si="26"/>
        <v>800</v>
      </c>
      <c r="N118" s="46">
        <v>200</v>
      </c>
      <c r="O118" s="8">
        <f t="shared" si="27"/>
        <v>2</v>
      </c>
    </row>
    <row r="119" spans="1:15" ht="15" customHeight="1">
      <c r="A119" s="13" t="s">
        <v>269</v>
      </c>
      <c r="B119" s="56" t="s">
        <v>270</v>
      </c>
      <c r="C119" s="13" t="s">
        <v>87</v>
      </c>
      <c r="D119" s="13"/>
      <c r="E119" s="25" t="s">
        <v>88</v>
      </c>
      <c r="F119" s="16">
        <v>17.60</v>
      </c>
      <c r="G119" s="18">
        <v>11</v>
      </c>
      <c r="H119" s="16">
        <v>2</v>
      </c>
      <c r="I119" s="16"/>
      <c r="J119" s="20">
        <f t="shared" si="29"/>
        <v>1.25</v>
      </c>
      <c r="K119" s="16">
        <v>2</v>
      </c>
      <c r="L119" s="26">
        <f t="shared" si="25"/>
        <v>2.50</v>
      </c>
      <c r="M119" s="43">
        <f t="shared" si="26"/>
        <v>500</v>
      </c>
      <c r="N119" s="46">
        <v>200</v>
      </c>
      <c r="O119" s="8">
        <f t="shared" si="27"/>
        <v>1.25</v>
      </c>
    </row>
    <row r="120" spans="1:15" ht="30" customHeight="1">
      <c r="A120" s="13" t="s">
        <v>271</v>
      </c>
      <c r="B120" s="56" t="s">
        <v>85</v>
      </c>
      <c r="C120" s="13" t="s">
        <v>83</v>
      </c>
      <c r="D120" s="13"/>
      <c r="E120" s="13" t="s">
        <v>12</v>
      </c>
      <c r="F120" s="16">
        <v>2.10</v>
      </c>
      <c r="G120" s="18">
        <v>11</v>
      </c>
      <c r="H120" s="16">
        <v>2</v>
      </c>
      <c r="I120" s="16"/>
      <c r="J120" s="20">
        <f t="shared" si="29"/>
        <v>10.476190476190476</v>
      </c>
      <c r="K120" s="16">
        <v>1</v>
      </c>
      <c r="L120" s="26">
        <f t="shared" si="25"/>
        <v>10.476190476190476</v>
      </c>
      <c r="M120" s="43">
        <f t="shared" si="26"/>
        <v>2095.2380952380954</v>
      </c>
      <c r="N120" s="46">
        <v>200</v>
      </c>
      <c r="O120" s="8">
        <f t="shared" si="27"/>
        <v>5.2380952380952381</v>
      </c>
    </row>
    <row r="121" spans="1:15" ht="15">
      <c r="A121" s="13" t="s">
        <v>272</v>
      </c>
      <c r="B121" s="27" t="s">
        <v>337</v>
      </c>
      <c r="C121" s="13" t="s">
        <v>83</v>
      </c>
      <c r="D121" s="13"/>
      <c r="E121" s="25" t="s">
        <v>89</v>
      </c>
      <c r="F121" s="16">
        <v>11</v>
      </c>
      <c r="G121" s="18">
        <v>11</v>
      </c>
      <c r="H121" s="16">
        <v>2</v>
      </c>
      <c r="I121" s="16"/>
      <c r="J121" s="20">
        <f t="shared" si="29"/>
        <v>2</v>
      </c>
      <c r="K121" s="16">
        <v>1</v>
      </c>
      <c r="L121" s="26">
        <f t="shared" si="25"/>
        <v>2</v>
      </c>
      <c r="M121" s="43">
        <f t="shared" si="26"/>
        <v>400</v>
      </c>
      <c r="N121" s="46">
        <v>200</v>
      </c>
      <c r="O121" s="8">
        <f t="shared" si="27"/>
        <v>1</v>
      </c>
    </row>
    <row r="122" spans="1:15" ht="30">
      <c r="A122" s="13" t="s">
        <v>339</v>
      </c>
      <c r="B122" s="27" t="s">
        <v>338</v>
      </c>
      <c r="C122" s="13" t="s">
        <v>83</v>
      </c>
      <c r="D122" s="13"/>
      <c r="E122" s="25" t="s">
        <v>89</v>
      </c>
      <c r="F122" s="16">
        <v>5.50</v>
      </c>
      <c r="G122" s="18">
        <v>11</v>
      </c>
      <c r="H122" s="16">
        <v>2</v>
      </c>
      <c r="I122" s="16"/>
      <c r="J122" s="20">
        <f t="shared" si="32" ref="J122">G122/F122*H122</f>
        <v>4</v>
      </c>
      <c r="K122" s="16">
        <v>1</v>
      </c>
      <c r="L122" s="26">
        <f t="shared" si="33" ref="L122">J122*K122</f>
        <v>4</v>
      </c>
      <c r="M122" s="43">
        <f t="shared" si="26"/>
        <v>800</v>
      </c>
      <c r="N122" s="46">
        <v>200</v>
      </c>
      <c r="O122" s="8">
        <f t="shared" si="27"/>
        <v>2</v>
      </c>
    </row>
    <row r="123" spans="1:15" ht="30" customHeight="1">
      <c r="A123" s="13" t="s">
        <v>273</v>
      </c>
      <c r="B123" s="27" t="s">
        <v>125</v>
      </c>
      <c r="C123" s="13" t="s">
        <v>54</v>
      </c>
      <c r="D123" s="13"/>
      <c r="E123" s="25" t="s">
        <v>88</v>
      </c>
      <c r="F123" s="16">
        <v>17.60</v>
      </c>
      <c r="G123" s="18">
        <v>11</v>
      </c>
      <c r="H123" s="16">
        <v>2</v>
      </c>
      <c r="I123" s="16"/>
      <c r="J123" s="20">
        <f t="shared" si="29"/>
        <v>1.25</v>
      </c>
      <c r="K123" s="16">
        <v>2</v>
      </c>
      <c r="L123" s="26">
        <f t="shared" si="25"/>
        <v>2.50</v>
      </c>
      <c r="M123" s="43">
        <f t="shared" si="26"/>
        <v>500</v>
      </c>
      <c r="N123" s="46">
        <v>200</v>
      </c>
      <c r="O123" s="8">
        <f t="shared" si="27"/>
        <v>1.25</v>
      </c>
    </row>
    <row r="124" spans="1:15" ht="15">
      <c r="A124" s="13" t="s">
        <v>274</v>
      </c>
      <c r="B124" s="27" t="s">
        <v>275</v>
      </c>
      <c r="C124" s="13" t="s">
        <v>83</v>
      </c>
      <c r="D124" s="13"/>
      <c r="E124" s="25" t="s">
        <v>276</v>
      </c>
      <c r="F124" s="16">
        <v>22</v>
      </c>
      <c r="G124" s="18">
        <v>11</v>
      </c>
      <c r="H124" s="16">
        <v>2</v>
      </c>
      <c r="I124" s="16"/>
      <c r="J124" s="20">
        <f t="shared" si="29"/>
        <v>1</v>
      </c>
      <c r="K124" s="16">
        <v>1</v>
      </c>
      <c r="L124" s="26">
        <f t="shared" si="25"/>
        <v>1</v>
      </c>
      <c r="M124" s="37">
        <f t="shared" si="26"/>
        <v>200</v>
      </c>
      <c r="N124" s="38">
        <v>200</v>
      </c>
      <c r="O124" s="8">
        <f t="shared" si="27"/>
        <v>0.50</v>
      </c>
    </row>
    <row r="125" spans="1:15" ht="15">
      <c r="A125" s="13" t="s">
        <v>277</v>
      </c>
      <c r="B125" s="27" t="s">
        <v>278</v>
      </c>
      <c r="C125" s="13" t="s">
        <v>83</v>
      </c>
      <c r="D125" s="13"/>
      <c r="E125" s="25" t="s">
        <v>90</v>
      </c>
      <c r="F125" s="16">
        <v>14</v>
      </c>
      <c r="G125" s="18">
        <v>11</v>
      </c>
      <c r="H125" s="16">
        <v>2</v>
      </c>
      <c r="I125" s="16"/>
      <c r="J125" s="20">
        <f t="shared" si="29"/>
        <v>1.5714285714285714</v>
      </c>
      <c r="K125" s="16">
        <v>1</v>
      </c>
      <c r="L125" s="26">
        <f t="shared" si="25"/>
        <v>1.5714285714285714</v>
      </c>
      <c r="M125" s="37">
        <f t="shared" si="26"/>
        <v>314.28571428571428</v>
      </c>
      <c r="N125" s="38">
        <v>200</v>
      </c>
      <c r="O125" s="8">
        <f t="shared" si="27"/>
        <v>0.7857142857142857</v>
      </c>
    </row>
    <row r="126" spans="1:15" ht="15">
      <c r="A126" s="13" t="s">
        <v>279</v>
      </c>
      <c r="B126" s="19" t="s">
        <v>280</v>
      </c>
      <c r="C126" s="13" t="s">
        <v>29</v>
      </c>
      <c r="D126" s="13"/>
      <c r="E126" s="17" t="s">
        <v>12</v>
      </c>
      <c r="F126" s="16">
        <v>10</v>
      </c>
      <c r="G126" s="18">
        <v>11</v>
      </c>
      <c r="H126" s="16">
        <v>1</v>
      </c>
      <c r="I126" s="16"/>
      <c r="J126" s="20">
        <f t="shared" si="29"/>
        <v>1.1000000000000001</v>
      </c>
      <c r="K126" s="16">
        <v>1</v>
      </c>
      <c r="L126" s="8">
        <f t="shared" si="25"/>
        <v>1.1000000000000001</v>
      </c>
      <c r="M126" s="42">
        <f t="shared" si="26"/>
        <v>182.60000000000002</v>
      </c>
      <c r="N126" s="43">
        <v>166</v>
      </c>
      <c r="O126" s="8">
        <f t="shared" si="27"/>
        <v>1.1000000000000001</v>
      </c>
    </row>
    <row r="127" spans="1:15" ht="15">
      <c r="A127" s="13" t="s">
        <v>281</v>
      </c>
      <c r="B127" s="56" t="s">
        <v>30</v>
      </c>
      <c r="C127" s="13" t="s">
        <v>29</v>
      </c>
      <c r="D127" s="13"/>
      <c r="E127" s="17" t="s">
        <v>12</v>
      </c>
      <c r="F127" s="16">
        <v>3</v>
      </c>
      <c r="G127" s="18">
        <v>11</v>
      </c>
      <c r="H127" s="16">
        <v>1</v>
      </c>
      <c r="I127" s="16"/>
      <c r="J127" s="20">
        <f t="shared" si="29"/>
        <v>3.6666666666666665</v>
      </c>
      <c r="K127" s="16">
        <v>1</v>
      </c>
      <c r="L127" s="26">
        <f t="shared" si="25"/>
        <v>3.6666666666666665</v>
      </c>
      <c r="M127" s="43">
        <f t="shared" si="26"/>
        <v>553.66666666666663</v>
      </c>
      <c r="N127" s="46">
        <v>151</v>
      </c>
      <c r="O127" s="8">
        <f t="shared" si="27"/>
        <v>3.6666666666666665</v>
      </c>
    </row>
    <row r="128" spans="1:15" ht="30">
      <c r="A128" s="13" t="s">
        <v>282</v>
      </c>
      <c r="B128" s="56" t="s">
        <v>283</v>
      </c>
      <c r="C128" s="13" t="s">
        <v>29</v>
      </c>
      <c r="D128" s="13"/>
      <c r="E128" s="17" t="s">
        <v>12</v>
      </c>
      <c r="F128" s="16">
        <v>2</v>
      </c>
      <c r="G128" s="18">
        <v>11</v>
      </c>
      <c r="H128" s="16">
        <v>1</v>
      </c>
      <c r="I128" s="16"/>
      <c r="J128" s="20">
        <f t="shared" si="29"/>
        <v>5.50</v>
      </c>
      <c r="K128" s="16">
        <v>1</v>
      </c>
      <c r="L128" s="26">
        <f t="shared" si="25"/>
        <v>5.50</v>
      </c>
      <c r="M128" s="43">
        <f t="shared" si="26"/>
        <v>830.50</v>
      </c>
      <c r="N128" s="46">
        <v>151</v>
      </c>
      <c r="O128" s="8">
        <f t="shared" si="27"/>
        <v>5.50</v>
      </c>
    </row>
    <row r="129" spans="1:15" ht="15" customHeight="1">
      <c r="A129" s="13" t="s">
        <v>284</v>
      </c>
      <c r="B129" s="56" t="s">
        <v>126</v>
      </c>
      <c r="C129" s="13" t="s">
        <v>83</v>
      </c>
      <c r="D129" s="13"/>
      <c r="E129" s="17" t="s">
        <v>127</v>
      </c>
      <c r="F129" s="16">
        <v>10</v>
      </c>
      <c r="G129" s="18">
        <v>11</v>
      </c>
      <c r="H129" s="16">
        <v>2</v>
      </c>
      <c r="I129" s="16"/>
      <c r="J129" s="20">
        <f t="shared" si="29"/>
        <v>2.2000000000000002</v>
      </c>
      <c r="K129" s="16">
        <v>1</v>
      </c>
      <c r="L129" s="26">
        <f t="shared" si="25"/>
        <v>2.2000000000000002</v>
      </c>
      <c r="M129" s="43">
        <f t="shared" si="26"/>
        <v>440.00000000000006</v>
      </c>
      <c r="N129" s="46">
        <v>200</v>
      </c>
      <c r="O129" s="8">
        <f t="shared" si="27"/>
        <v>1.1000000000000001</v>
      </c>
    </row>
    <row r="130" spans="1:15" ht="15" customHeight="1">
      <c r="A130" s="13" t="s">
        <v>285</v>
      </c>
      <c r="B130" s="56" t="s">
        <v>95</v>
      </c>
      <c r="C130" s="13" t="s">
        <v>83</v>
      </c>
      <c r="D130" s="13"/>
      <c r="E130" s="17" t="s">
        <v>12</v>
      </c>
      <c r="F130" s="16">
        <v>8.1999999999999993</v>
      </c>
      <c r="G130" s="18">
        <v>11</v>
      </c>
      <c r="H130" s="16">
        <v>2</v>
      </c>
      <c r="I130" s="16"/>
      <c r="J130" s="20">
        <f t="shared" si="29"/>
        <v>2.6829268292682928</v>
      </c>
      <c r="K130" s="16">
        <v>1</v>
      </c>
      <c r="L130" s="26">
        <f t="shared" si="25"/>
        <v>2.6829268292682928</v>
      </c>
      <c r="M130" s="43">
        <f t="shared" si="26"/>
        <v>536.58536585365857</v>
      </c>
      <c r="N130" s="46">
        <v>200</v>
      </c>
      <c r="O130" s="8">
        <f t="shared" si="27"/>
        <v>1.3414634146341464</v>
      </c>
    </row>
    <row r="131" spans="1:15" ht="15" customHeight="1">
      <c r="A131" s="13" t="s">
        <v>286</v>
      </c>
      <c r="B131" s="28" t="s">
        <v>288</v>
      </c>
      <c r="C131" s="13" t="s">
        <v>287</v>
      </c>
      <c r="D131" s="13"/>
      <c r="E131" s="17" t="s">
        <v>67</v>
      </c>
      <c r="F131" s="16">
        <v>44</v>
      </c>
      <c r="G131" s="18">
        <v>11</v>
      </c>
      <c r="H131" s="16">
        <v>1</v>
      </c>
      <c r="I131" s="16"/>
      <c r="J131" s="20">
        <f t="shared" si="29"/>
        <v>0.25</v>
      </c>
      <c r="K131" s="16">
        <v>4</v>
      </c>
      <c r="L131" s="26">
        <f t="shared" si="25"/>
        <v>1</v>
      </c>
      <c r="M131" s="43">
        <f t="shared" si="26"/>
        <v>200</v>
      </c>
      <c r="N131" s="46">
        <v>200</v>
      </c>
      <c r="O131" s="8">
        <f t="shared" si="27"/>
        <v>1</v>
      </c>
    </row>
    <row r="132" spans="1:15" ht="15" customHeight="1">
      <c r="A132" s="39"/>
      <c r="B132" s="649" t="s">
        <v>134</v>
      </c>
      <c r="C132" s="649"/>
      <c r="D132" s="649"/>
      <c r="E132" s="649"/>
      <c r="F132" s="649"/>
      <c r="G132" s="649"/>
      <c r="H132" s="649"/>
      <c r="I132" s="649"/>
      <c r="J132" s="649"/>
      <c r="K132" s="649"/>
      <c r="L132" s="26"/>
      <c r="M132" s="40">
        <f>SUM(M133:M149)</f>
        <v>15446.096344070476</v>
      </c>
      <c r="N132" s="41"/>
      <c r="O132" s="8"/>
    </row>
    <row r="133" spans="1:17" ht="30">
      <c r="A133" s="13" t="s">
        <v>297</v>
      </c>
      <c r="B133" s="56" t="s">
        <v>298</v>
      </c>
      <c r="C133" s="17" t="s">
        <v>33</v>
      </c>
      <c r="D133" s="13"/>
      <c r="E133" s="17" t="s">
        <v>96</v>
      </c>
      <c r="F133" s="16">
        <v>8</v>
      </c>
      <c r="G133" s="18">
        <v>11</v>
      </c>
      <c r="H133" s="16">
        <v>2</v>
      </c>
      <c r="I133" s="16"/>
      <c r="J133" s="20">
        <f t="shared" si="34" ref="J133:J149">G133/F133*H133</f>
        <v>2.75</v>
      </c>
      <c r="K133" s="16">
        <v>1</v>
      </c>
      <c r="L133" s="26">
        <f t="shared" si="35" ref="L133:L149">J133*K133</f>
        <v>2.75</v>
      </c>
      <c r="M133" s="43">
        <f t="shared" si="36" ref="M133:M139">L133*N133</f>
        <v>550</v>
      </c>
      <c r="N133" s="46">
        <v>200</v>
      </c>
      <c r="O133" s="8">
        <f>J133/H133*K133</f>
        <v>1.375</v>
      </c>
      <c r="P133" s="22"/>
      <c r="Q133" s="22"/>
    </row>
    <row r="134" spans="1:17" ht="30">
      <c r="A134" s="13" t="s">
        <v>299</v>
      </c>
      <c r="B134" s="56" t="s">
        <v>300</v>
      </c>
      <c r="C134" s="17" t="s">
        <v>33</v>
      </c>
      <c r="D134" s="13"/>
      <c r="E134" s="17" t="s">
        <v>96</v>
      </c>
      <c r="F134" s="16">
        <v>11</v>
      </c>
      <c r="G134" s="18">
        <v>11</v>
      </c>
      <c r="H134" s="16">
        <v>2</v>
      </c>
      <c r="I134" s="16"/>
      <c r="J134" s="20">
        <f t="shared" si="34"/>
        <v>2</v>
      </c>
      <c r="K134" s="16">
        <v>1</v>
      </c>
      <c r="L134" s="26">
        <f t="shared" si="35"/>
        <v>2</v>
      </c>
      <c r="M134" s="37">
        <f t="shared" si="36"/>
        <v>400</v>
      </c>
      <c r="N134" s="38">
        <v>200</v>
      </c>
      <c r="O134" s="8">
        <f>J134/H134*K134</f>
        <v>1</v>
      </c>
      <c r="P134" s="22"/>
      <c r="Q134" s="22"/>
    </row>
    <row r="135" spans="1:17" ht="30">
      <c r="A135" s="13" t="s">
        <v>301</v>
      </c>
      <c r="B135" s="19" t="s">
        <v>97</v>
      </c>
      <c r="C135" s="13" t="s">
        <v>83</v>
      </c>
      <c r="D135" s="13"/>
      <c r="E135" s="17" t="s">
        <v>12</v>
      </c>
      <c r="F135" s="16">
        <v>1.60</v>
      </c>
      <c r="G135" s="18">
        <v>11</v>
      </c>
      <c r="H135" s="16">
        <v>2</v>
      </c>
      <c r="I135" s="16"/>
      <c r="J135" s="20">
        <f t="shared" si="34"/>
        <v>13.75</v>
      </c>
      <c r="K135" s="16">
        <v>1</v>
      </c>
      <c r="L135" s="26">
        <f t="shared" si="35"/>
        <v>13.75</v>
      </c>
      <c r="M135" s="43">
        <f t="shared" si="36"/>
        <v>2750</v>
      </c>
      <c r="N135" s="46">
        <v>200</v>
      </c>
      <c r="O135" s="8">
        <f>J135/H135*K135</f>
        <v>6.875</v>
      </c>
      <c r="P135" s="22"/>
      <c r="Q135" s="22"/>
    </row>
    <row r="136" spans="1:17" ht="15">
      <c r="A136" s="13" t="s">
        <v>290</v>
      </c>
      <c r="B136" s="16" t="s">
        <v>31</v>
      </c>
      <c r="C136" s="13" t="s">
        <v>14</v>
      </c>
      <c r="D136" s="13"/>
      <c r="E136" s="17" t="s">
        <v>12</v>
      </c>
      <c r="F136" s="16">
        <v>9.3000000000000007</v>
      </c>
      <c r="G136" s="18">
        <v>11</v>
      </c>
      <c r="H136" s="16">
        <v>1</v>
      </c>
      <c r="I136" s="16"/>
      <c r="J136" s="20">
        <f t="shared" si="34"/>
        <v>1.182795698924731</v>
      </c>
      <c r="K136" s="16">
        <v>1</v>
      </c>
      <c r="L136" s="26">
        <f t="shared" si="35"/>
        <v>1.182795698924731</v>
      </c>
      <c r="M136" s="43">
        <f t="shared" si="36"/>
        <v>196.34408602150535</v>
      </c>
      <c r="N136" s="46">
        <v>166</v>
      </c>
      <c r="O136" s="8">
        <f>J136/H136*K136</f>
        <v>1.182795698924731</v>
      </c>
      <c r="P136" s="22"/>
      <c r="Q136" s="22"/>
    </row>
    <row r="137" spans="1:17" ht="15">
      <c r="A137" s="13" t="s">
        <v>289</v>
      </c>
      <c r="B137" s="16" t="s">
        <v>98</v>
      </c>
      <c r="C137" s="13" t="s">
        <v>33</v>
      </c>
      <c r="D137" s="13"/>
      <c r="E137" s="17" t="s">
        <v>12</v>
      </c>
      <c r="F137" s="16">
        <v>11</v>
      </c>
      <c r="G137" s="18">
        <v>11</v>
      </c>
      <c r="H137" s="16">
        <v>1</v>
      </c>
      <c r="I137" s="16"/>
      <c r="J137" s="20">
        <f t="shared" si="34"/>
        <v>1</v>
      </c>
      <c r="K137" s="16">
        <v>1</v>
      </c>
      <c r="L137" s="26">
        <f t="shared" si="35"/>
        <v>1</v>
      </c>
      <c r="M137" s="43">
        <f t="shared" si="36"/>
        <v>166</v>
      </c>
      <c r="N137" s="46">
        <v>166</v>
      </c>
      <c r="O137" s="8">
        <f t="shared" si="37" ref="O137:O147">J137/H137*K137</f>
        <v>1</v>
      </c>
      <c r="P137" s="22"/>
      <c r="Q137" s="22"/>
    </row>
    <row r="138" spans="1:17" ht="15">
      <c r="A138" s="13" t="s">
        <v>302</v>
      </c>
      <c r="B138" s="16" t="s">
        <v>99</v>
      </c>
      <c r="C138" s="13" t="s">
        <v>86</v>
      </c>
      <c r="D138" s="13"/>
      <c r="E138" s="17" t="s">
        <v>100</v>
      </c>
      <c r="F138" s="16">
        <v>14</v>
      </c>
      <c r="G138" s="18">
        <v>11</v>
      </c>
      <c r="H138" s="16">
        <v>2</v>
      </c>
      <c r="I138" s="16"/>
      <c r="J138" s="20">
        <f t="shared" si="34"/>
        <v>1.5714285714285714</v>
      </c>
      <c r="K138" s="16">
        <v>2</v>
      </c>
      <c r="L138" s="26">
        <f t="shared" si="35"/>
        <v>3.1428571428571428</v>
      </c>
      <c r="M138" s="43">
        <f t="shared" si="36"/>
        <v>521.71428571428567</v>
      </c>
      <c r="N138" s="46">
        <v>166</v>
      </c>
      <c r="O138" s="8">
        <f t="shared" si="37"/>
        <v>1.5714285714285714</v>
      </c>
      <c r="P138" s="22"/>
      <c r="Q138" s="22"/>
    </row>
    <row r="139" spans="1:17" ht="15">
      <c r="A139" s="13" t="s">
        <v>292</v>
      </c>
      <c r="B139" s="16" t="s">
        <v>21</v>
      </c>
      <c r="C139" s="13" t="s">
        <v>33</v>
      </c>
      <c r="D139" s="13"/>
      <c r="E139" s="17" t="s">
        <v>12</v>
      </c>
      <c r="F139" s="16">
        <v>1.20</v>
      </c>
      <c r="G139" s="18">
        <v>11</v>
      </c>
      <c r="H139" s="16">
        <v>2</v>
      </c>
      <c r="I139" s="16"/>
      <c r="J139" s="20">
        <f t="shared" si="34"/>
        <v>18.333333333333336</v>
      </c>
      <c r="K139" s="16">
        <v>1</v>
      </c>
      <c r="L139" s="26">
        <f t="shared" si="35"/>
        <v>18.333333333333336</v>
      </c>
      <c r="M139" s="43">
        <f t="shared" si="36"/>
        <v>3043.3333333333339</v>
      </c>
      <c r="N139" s="46">
        <v>166</v>
      </c>
      <c r="O139" s="8">
        <f t="shared" si="37"/>
        <v>9.1666666666666679</v>
      </c>
      <c r="P139" s="22"/>
      <c r="Q139" s="22"/>
    </row>
    <row r="140" spans="1:17" ht="15">
      <c r="A140" s="13" t="s">
        <v>406</v>
      </c>
      <c r="B140" s="16" t="s">
        <v>407</v>
      </c>
      <c r="C140" s="17" t="s">
        <v>14</v>
      </c>
      <c r="D140" s="17"/>
      <c r="E140" s="17" t="s">
        <v>12</v>
      </c>
      <c r="F140" s="31">
        <f>G140*N140/30</f>
        <v>61</v>
      </c>
      <c r="G140" s="18">
        <v>10</v>
      </c>
      <c r="H140" s="16">
        <v>1</v>
      </c>
      <c r="I140" s="16"/>
      <c r="J140" s="20">
        <f t="shared" si="34"/>
        <v>0.16393442622950818</v>
      </c>
      <c r="K140" s="16">
        <f>1.015*2</f>
        <v>2.0299999999999998</v>
      </c>
      <c r="L140" s="8">
        <f t="shared" si="35"/>
        <v>0.33278688524590161</v>
      </c>
      <c r="M140" s="42">
        <f t="shared" si="38" ref="M140">L140*N140</f>
        <v>60.899999999999991</v>
      </c>
      <c r="N140" s="43">
        <v>183</v>
      </c>
      <c r="O140" s="8">
        <f t="shared" si="37"/>
        <v>0.33278688524590161</v>
      </c>
      <c r="P140" s="22"/>
      <c r="Q140" s="22"/>
    </row>
    <row r="141" spans="1:17" ht="15">
      <c r="A141" s="13" t="s">
        <v>291</v>
      </c>
      <c r="B141" s="16" t="s">
        <v>101</v>
      </c>
      <c r="C141" s="13" t="s">
        <v>33</v>
      </c>
      <c r="D141" s="13"/>
      <c r="E141" s="17" t="s">
        <v>12</v>
      </c>
      <c r="F141" s="16">
        <v>5</v>
      </c>
      <c r="G141" s="18">
        <v>11</v>
      </c>
      <c r="H141" s="16">
        <v>2</v>
      </c>
      <c r="I141" s="16"/>
      <c r="J141" s="20">
        <f t="shared" si="34"/>
        <v>4.4000000000000004</v>
      </c>
      <c r="K141" s="16">
        <v>1</v>
      </c>
      <c r="L141" s="26">
        <f t="shared" si="35"/>
        <v>4.4000000000000004</v>
      </c>
      <c r="M141" s="43">
        <f t="shared" si="39" ref="M141:M149">L141*N141</f>
        <v>880.00000000000011</v>
      </c>
      <c r="N141" s="46">
        <v>200</v>
      </c>
      <c r="O141" s="8">
        <f t="shared" si="37"/>
        <v>2.2000000000000002</v>
      </c>
      <c r="P141" s="22"/>
      <c r="Q141" s="22"/>
    </row>
    <row r="142" spans="1:17" ht="15">
      <c r="A142" s="13" t="s">
        <v>303</v>
      </c>
      <c r="B142" s="16" t="s">
        <v>304</v>
      </c>
      <c r="C142" s="13" t="s">
        <v>226</v>
      </c>
      <c r="D142" s="13"/>
      <c r="E142" s="17" t="s">
        <v>103</v>
      </c>
      <c r="F142" s="52">
        <f>660/7.3</f>
        <v>90.410958904109592</v>
      </c>
      <c r="G142" s="18">
        <v>11</v>
      </c>
      <c r="H142" s="16">
        <v>1</v>
      </c>
      <c r="I142" s="16"/>
      <c r="J142" s="20">
        <f t="shared" si="34"/>
        <v>0.12166666666666666</v>
      </c>
      <c r="K142" s="16">
        <v>85</v>
      </c>
      <c r="L142" s="26">
        <f t="shared" si="35"/>
        <v>10.341666666666667</v>
      </c>
      <c r="M142" s="37">
        <f t="shared" si="39"/>
        <v>1561.5916666666667</v>
      </c>
      <c r="N142" s="38">
        <v>151</v>
      </c>
      <c r="O142" s="8">
        <f>J142/H142*K142</f>
        <v>10.341666666666667</v>
      </c>
      <c r="P142" s="22"/>
      <c r="Q142" s="22"/>
    </row>
    <row r="143" spans="1:17" ht="15">
      <c r="A143" s="13" t="s">
        <v>293</v>
      </c>
      <c r="B143" s="16" t="s">
        <v>102</v>
      </c>
      <c r="C143" s="13" t="s">
        <v>33</v>
      </c>
      <c r="D143" s="13"/>
      <c r="E143" s="17" t="s">
        <v>103</v>
      </c>
      <c r="F143" s="16">
        <v>660</v>
      </c>
      <c r="G143" s="18">
        <v>11</v>
      </c>
      <c r="H143" s="16">
        <v>1</v>
      </c>
      <c r="I143" s="16"/>
      <c r="J143" s="20">
        <f t="shared" si="34"/>
        <v>0.016666666666666666</v>
      </c>
      <c r="K143" s="16">
        <v>85</v>
      </c>
      <c r="L143" s="26">
        <f t="shared" si="35"/>
        <v>1.4166666666666667</v>
      </c>
      <c r="M143" s="37">
        <f t="shared" si="39"/>
        <v>283.33333333333337</v>
      </c>
      <c r="N143" s="38">
        <v>200</v>
      </c>
      <c r="O143" s="8">
        <f>J143/H143*K143</f>
        <v>1.4166666666666667</v>
      </c>
      <c r="P143" s="22"/>
      <c r="Q143" s="22"/>
    </row>
    <row r="144" spans="1:17" ht="15">
      <c r="A144" s="13" t="s">
        <v>305</v>
      </c>
      <c r="B144" s="19" t="s">
        <v>343</v>
      </c>
      <c r="C144" s="13" t="s">
        <v>14</v>
      </c>
      <c r="D144" s="13"/>
      <c r="E144" s="17" t="s">
        <v>13</v>
      </c>
      <c r="F144" s="16">
        <v>3.20</v>
      </c>
      <c r="G144" s="18">
        <v>11</v>
      </c>
      <c r="H144" s="16">
        <v>1</v>
      </c>
      <c r="I144" s="16"/>
      <c r="J144" s="20">
        <f t="shared" si="34"/>
        <v>3.4375</v>
      </c>
      <c r="K144" s="16">
        <v>1</v>
      </c>
      <c r="L144" s="8">
        <f t="shared" si="35"/>
        <v>3.4375</v>
      </c>
      <c r="M144" s="42">
        <f t="shared" si="39"/>
        <v>629.0625</v>
      </c>
      <c r="N144" s="43">
        <v>183</v>
      </c>
      <c r="O144" s="8">
        <f t="shared" si="40" ref="O144:O145">J144/H144*K144</f>
        <v>3.4375</v>
      </c>
      <c r="P144" s="22"/>
      <c r="Q144" s="22"/>
    </row>
    <row r="145" spans="1:17" ht="30">
      <c r="A145" s="13" t="s">
        <v>306</v>
      </c>
      <c r="B145" s="19" t="s">
        <v>307</v>
      </c>
      <c r="C145" s="13" t="s">
        <v>14</v>
      </c>
      <c r="D145" s="13"/>
      <c r="E145" s="17" t="s">
        <v>12</v>
      </c>
      <c r="F145" s="16">
        <v>5.20</v>
      </c>
      <c r="G145" s="18">
        <v>11</v>
      </c>
      <c r="H145" s="16">
        <v>1</v>
      </c>
      <c r="I145" s="16"/>
      <c r="J145" s="20">
        <f t="shared" si="34"/>
        <v>2.1153846153846154</v>
      </c>
      <c r="K145" s="16">
        <v>1</v>
      </c>
      <c r="L145" s="8">
        <f t="shared" si="35"/>
        <v>2.1153846153846154</v>
      </c>
      <c r="M145" s="42">
        <f t="shared" si="39"/>
        <v>387.11538461538464</v>
      </c>
      <c r="N145" s="43">
        <v>183</v>
      </c>
      <c r="O145" s="8">
        <f t="shared" si="40"/>
        <v>2.1153846153846154</v>
      </c>
      <c r="P145" s="22"/>
      <c r="Q145" s="22"/>
    </row>
    <row r="146" spans="1:17" ht="15">
      <c r="A146" s="13" t="s">
        <v>296</v>
      </c>
      <c r="B146" s="56" t="s">
        <v>105</v>
      </c>
      <c r="C146" s="13" t="s">
        <v>33</v>
      </c>
      <c r="D146" s="13"/>
      <c r="E146" s="17" t="s">
        <v>96</v>
      </c>
      <c r="F146" s="16">
        <v>7.20</v>
      </c>
      <c r="G146" s="18">
        <v>11</v>
      </c>
      <c r="H146" s="16">
        <v>2</v>
      </c>
      <c r="I146" s="16"/>
      <c r="J146" s="20">
        <f t="shared" si="34"/>
        <v>3.0555555555555554</v>
      </c>
      <c r="K146" s="16">
        <v>1</v>
      </c>
      <c r="L146" s="26">
        <f t="shared" si="35"/>
        <v>3.0555555555555554</v>
      </c>
      <c r="M146" s="43">
        <f t="shared" si="39"/>
        <v>611.11111111111109</v>
      </c>
      <c r="N146" s="46">
        <v>200</v>
      </c>
      <c r="O146" s="8">
        <f t="shared" si="37"/>
        <v>1.5277777777777777</v>
      </c>
      <c r="P146" s="22"/>
      <c r="Q146" s="22"/>
    </row>
    <row r="147" spans="1:17" ht="15">
      <c r="A147" s="13" t="s">
        <v>308</v>
      </c>
      <c r="B147" s="19" t="s">
        <v>309</v>
      </c>
      <c r="C147" s="13" t="s">
        <v>14</v>
      </c>
      <c r="D147" s="13"/>
      <c r="E147" s="17" t="s">
        <v>12</v>
      </c>
      <c r="F147" s="16">
        <v>13.50</v>
      </c>
      <c r="G147" s="18">
        <v>11</v>
      </c>
      <c r="H147" s="16">
        <v>2</v>
      </c>
      <c r="I147" s="16"/>
      <c r="J147" s="20">
        <f t="shared" si="34"/>
        <v>1.6296296296296295</v>
      </c>
      <c r="K147" s="16">
        <v>1</v>
      </c>
      <c r="L147" s="8">
        <f t="shared" si="35"/>
        <v>1.6296296296296295</v>
      </c>
      <c r="M147" s="42">
        <f t="shared" si="39"/>
        <v>298.22222222222223</v>
      </c>
      <c r="N147" s="43">
        <v>183</v>
      </c>
      <c r="O147" s="8">
        <f t="shared" si="37"/>
        <v>0.81481481481481477</v>
      </c>
      <c r="P147" s="22"/>
      <c r="Q147" s="22"/>
    </row>
    <row r="148" spans="1:17" ht="30">
      <c r="A148" s="13" t="s">
        <v>294</v>
      </c>
      <c r="B148" s="19" t="s">
        <v>310</v>
      </c>
      <c r="C148" s="13" t="s">
        <v>14</v>
      </c>
      <c r="D148" s="13"/>
      <c r="E148" s="17" t="s">
        <v>12</v>
      </c>
      <c r="F148" s="16">
        <v>1.1000000000000001</v>
      </c>
      <c r="G148" s="18">
        <v>11</v>
      </c>
      <c r="H148" s="16">
        <v>1</v>
      </c>
      <c r="I148" s="16"/>
      <c r="J148" s="20">
        <f t="shared" si="34"/>
        <v>10</v>
      </c>
      <c r="K148" s="16">
        <v>1</v>
      </c>
      <c r="L148" s="26">
        <f t="shared" si="35"/>
        <v>10</v>
      </c>
      <c r="M148" s="43">
        <f t="shared" si="39"/>
        <v>1660</v>
      </c>
      <c r="N148" s="46">
        <v>166</v>
      </c>
      <c r="O148" s="8">
        <f>J148/H148*K148</f>
        <v>10</v>
      </c>
      <c r="P148" s="22"/>
      <c r="Q148" s="22"/>
    </row>
    <row r="149" spans="1:17" ht="15">
      <c r="A149" s="13" t="s">
        <v>295</v>
      </c>
      <c r="B149" s="16" t="s">
        <v>104</v>
      </c>
      <c r="C149" s="13" t="s">
        <v>33</v>
      </c>
      <c r="D149" s="13"/>
      <c r="E149" s="17" t="s">
        <v>12</v>
      </c>
      <c r="F149" s="16">
        <v>1.90</v>
      </c>
      <c r="G149" s="18">
        <v>11</v>
      </c>
      <c r="H149" s="16">
        <v>2</v>
      </c>
      <c r="I149" s="16"/>
      <c r="J149" s="20">
        <f t="shared" si="34"/>
        <v>11.578947368421053</v>
      </c>
      <c r="K149" s="16">
        <v>1</v>
      </c>
      <c r="L149" s="26">
        <f t="shared" si="35"/>
        <v>11.578947368421053</v>
      </c>
      <c r="M149" s="43">
        <f t="shared" si="39"/>
        <v>1447.3684210526317</v>
      </c>
      <c r="N149" s="46">
        <v>125</v>
      </c>
      <c r="O149" s="8">
        <f>J149/H149*K149</f>
        <v>5.7894736842105265</v>
      </c>
      <c r="P149" s="21"/>
      <c r="Q149" s="21"/>
    </row>
    <row r="150" spans="1:16" s="9" customFormat="1" ht="15">
      <c r="A150" s="32"/>
      <c r="B150" s="32" t="s">
        <v>15</v>
      </c>
      <c r="C150" s="32"/>
      <c r="D150" s="32"/>
      <c r="E150" s="33"/>
      <c r="F150" s="32"/>
      <c r="G150" s="34"/>
      <c r="H150" s="32"/>
      <c r="I150" s="32"/>
      <c r="J150" s="35"/>
      <c r="K150" s="32"/>
      <c r="L150" s="36">
        <f>SUM(L5:L149)</f>
        <v>360.37486389634512</v>
      </c>
      <c r="M150" s="47">
        <f>M5+M39+M61+M72+M83+M132+M79</f>
        <v>68926.546235165704</v>
      </c>
      <c r="N150" s="48"/>
      <c r="O150" s="36">
        <f>SUM(O5:O149)</f>
        <v>260.63314565693787</v>
      </c>
      <c r="P150" s="49"/>
    </row>
    <row r="151" spans="12:16" ht="15">
      <c r="L151" s="10" t="s">
        <v>16</v>
      </c>
      <c r="O151" s="10" t="s">
        <v>17</v>
      </c>
      <c r="P151" s="9"/>
    </row>
    <row r="152" spans="2:15" ht="15">
      <c r="B152" t="s">
        <v>32</v>
      </c>
      <c r="C152" s="66"/>
      <c r="E152" s="23"/>
      <c r="J152" s="11"/>
      <c r="K152" s="24" t="s">
        <v>18</v>
      </c>
      <c r="L152" s="12">
        <f>L150/F2</f>
        <v>119.72586840410138</v>
      </c>
      <c r="M152" s="11" t="s">
        <v>19</v>
      </c>
      <c r="N152" s="11"/>
      <c r="O152" s="11"/>
    </row>
    <row r="153" spans="5:12" ht="15">
      <c r="E153" s="23"/>
      <c r="K153" s="14"/>
      <c r="L153" s="67"/>
    </row>
    <row r="154" spans="2:12" ht="15">
      <c r="B154" t="s">
        <v>351</v>
      </c>
      <c r="C154" s="66"/>
      <c r="E154" s="23"/>
      <c r="K154" s="14"/>
      <c r="L154" s="67"/>
    </row>
    <row r="155" spans="5:12" ht="15">
      <c r="E155" s="23"/>
      <c r="K155" s="14"/>
      <c r="L155" s="67"/>
    </row>
    <row r="157" spans="1:6" ht="15">
      <c r="A157" s="64" t="s">
        <v>328</v>
      </c>
      <c r="B157" s="64" t="s">
        <v>329</v>
      </c>
      <c r="C157" s="64" t="s">
        <v>330</v>
      </c>
      <c r="D157" s="64" t="s">
        <v>331</v>
      </c>
      <c r="E157" s="64" t="s">
        <v>332</v>
      </c>
      <c r="F157" s="64" t="s">
        <v>333</v>
      </c>
    </row>
    <row r="158" spans="1:6" ht="30">
      <c r="A158" s="13">
        <v>1</v>
      </c>
      <c r="B158" s="27" t="s">
        <v>350</v>
      </c>
      <c r="C158" s="13"/>
      <c r="D158" s="13"/>
      <c r="E158" s="13"/>
      <c r="F158" s="60">
        <v>43510</v>
      </c>
    </row>
    <row r="159" spans="1:6" ht="30">
      <c r="A159" s="13">
        <v>2</v>
      </c>
      <c r="B159" s="27" t="s">
        <v>408</v>
      </c>
      <c r="C159" s="13"/>
      <c r="D159" s="13"/>
      <c r="E159" s="13"/>
      <c r="F159" s="60">
        <v>43510</v>
      </c>
    </row>
    <row r="160" spans="1:6" ht="30">
      <c r="A160" s="13">
        <v>3</v>
      </c>
      <c r="B160" s="27" t="s">
        <v>416</v>
      </c>
      <c r="C160" s="13"/>
      <c r="D160" s="13"/>
      <c r="E160" s="13"/>
      <c r="F160" s="60">
        <v>43565</v>
      </c>
    </row>
    <row r="161" spans="1:6" ht="45">
      <c r="A161" s="13">
        <v>4</v>
      </c>
      <c r="B161" s="27" t="s">
        <v>417</v>
      </c>
      <c r="C161" s="4" t="s">
        <v>118</v>
      </c>
      <c r="D161" s="4" t="s">
        <v>411</v>
      </c>
      <c r="E161" s="13"/>
      <c r="F161" s="60">
        <v>43565</v>
      </c>
    </row>
  </sheetData>
  <mergeCells count="62">
    <mergeCell ref="A114:A115"/>
    <mergeCell ref="B114:B115"/>
    <mergeCell ref="B132:K132"/>
    <mergeCell ref="A107:A108"/>
    <mergeCell ref="B107:B108"/>
    <mergeCell ref="A109:A110"/>
    <mergeCell ref="B109:B110"/>
    <mergeCell ref="A111:A113"/>
    <mergeCell ref="B111:B113"/>
    <mergeCell ref="B61:K61"/>
    <mergeCell ref="A105:A106"/>
    <mergeCell ref="B105:B106"/>
    <mergeCell ref="A62:A64"/>
    <mergeCell ref="B62:B64"/>
    <mergeCell ref="B72:K72"/>
    <mergeCell ref="A73:A74"/>
    <mergeCell ref="B73:B74"/>
    <mergeCell ref="B79:K79"/>
    <mergeCell ref="B83:K83"/>
    <mergeCell ref="A84:A86"/>
    <mergeCell ref="B84:B86"/>
    <mergeCell ref="A92:A93"/>
    <mergeCell ref="B92:B93"/>
    <mergeCell ref="A53:A54"/>
    <mergeCell ref="B53:B54"/>
    <mergeCell ref="A56:A57"/>
    <mergeCell ref="B56:B57"/>
    <mergeCell ref="A58:A60"/>
    <mergeCell ref="B58:B60"/>
    <mergeCell ref="A30:A32"/>
    <mergeCell ref="B30:B32"/>
    <mergeCell ref="A45:A48"/>
    <mergeCell ref="B45:B48"/>
    <mergeCell ref="A50:A51"/>
    <mergeCell ref="B50:B51"/>
    <mergeCell ref="A18:A19"/>
    <mergeCell ref="B18:B19"/>
    <mergeCell ref="A23:A25"/>
    <mergeCell ref="B23:B25"/>
    <mergeCell ref="A43:A44"/>
    <mergeCell ref="B43:B44"/>
    <mergeCell ref="A33:A35"/>
    <mergeCell ref="B33:B35"/>
    <mergeCell ref="A37:A38"/>
    <mergeCell ref="B37:B38"/>
    <mergeCell ref="B39:K39"/>
    <mergeCell ref="A40:A41"/>
    <mergeCell ref="B40:B41"/>
    <mergeCell ref="D24:D25"/>
    <mergeCell ref="A26:A29"/>
    <mergeCell ref="B26:B29"/>
    <mergeCell ref="B5:K5"/>
    <mergeCell ref="A6:A7"/>
    <mergeCell ref="B6:B7"/>
    <mergeCell ref="A16:A17"/>
    <mergeCell ref="B16:B17"/>
    <mergeCell ref="A10:A15"/>
    <mergeCell ref="B10:B15"/>
    <mergeCell ref="D10:D12"/>
    <mergeCell ref="D13:D15"/>
    <mergeCell ref="A8:A9"/>
    <mergeCell ref="B8:B9"/>
  </mergeCells>
  <printOptions horizontalCentered="1"/>
  <pageMargins left="0.4330708661417323" right="0.4330708661417323" top="0.3937007874015748" bottom="0.1968503937007874" header="0.31496062992125984" footer="0.31496062992125984"/>
  <pageSetup fitToHeight="0" orientation="landscape" paperSize="8" scale="67" r:id="rId1"/>
  <ignoredErrors>
    <ignoredError sqref="M39 M61 M72 M83 M79 M13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15"/>
  <sheetViews>
    <sheetView zoomScale="85" zoomScaleNormal="85" workbookViewId="0" topLeftCell="A1">
      <pane ySplit="4" topLeftCell="A205" activePane="bottomLeft" state="frozen"/>
      <selection pane="topLeft" activeCell="A1" sqref="A1"/>
      <selection pane="bottomLeft" activeCell="A212" sqref="A212:XFD213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5.285714285714285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44496</v>
      </c>
    </row>
    <row r="2" spans="2:9" ht="31.5">
      <c r="B2" s="492" t="s">
        <v>921</v>
      </c>
      <c r="F2" s="429" t="s">
        <v>22</v>
      </c>
      <c r="G2" s="268">
        <f>856/1000</f>
        <v>0.85599999999999998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SUM(M6:M18)</f>
        <v>491.15733333333344</v>
      </c>
      <c r="N5" s="263"/>
      <c r="O5" s="264">
        <f>SUM(O6:O18)</f>
        <v>2.7906666666666662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8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21</v>
      </c>
      <c r="L6" s="465">
        <f t="shared" si="1" ref="L6:L18">J6*K6</f>
        <v>0.40949999999999998</v>
      </c>
      <c r="M6" s="466">
        <f t="shared" si="2" ref="M6:M18">L6*N6</f>
        <v>72.072000000000003</v>
      </c>
      <c r="N6" s="466">
        <v>176</v>
      </c>
      <c r="O6" s="456">
        <f t="shared" si="3" ref="O6:O18">J6/I6*K6</f>
        <v>0.40949999999999998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3</v>
      </c>
      <c r="L9" s="465">
        <f t="shared" si="1"/>
        <v>0.051500000000000004</v>
      </c>
      <c r="M9" s="466">
        <f t="shared" si="2"/>
        <v>9.0640000000000001</v>
      </c>
      <c r="N9" s="466">
        <v>176</v>
      </c>
      <c r="O9" s="456">
        <f t="shared" si="3"/>
        <v>0.051500000000000004</v>
      </c>
    </row>
    <row r="10" spans="1:15" s="457" customFormat="1" ht="15">
      <c r="A10" s="459" t="s">
        <v>839</v>
      </c>
      <c r="B10" s="494" t="s">
        <v>853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29.239766081871348</v>
      </c>
      <c r="H10" s="462">
        <v>10</v>
      </c>
      <c r="I10" s="463">
        <v>1</v>
      </c>
      <c r="J10" s="464">
        <f>20.52/60</f>
        <v>0.34199999999999997</v>
      </c>
      <c r="K10" s="461">
        <v>1</v>
      </c>
      <c r="L10" s="465">
        <f t="shared" si="1"/>
        <v>0.34199999999999997</v>
      </c>
      <c r="M10" s="466">
        <f t="shared" si="2"/>
        <v>60.191999999999993</v>
      </c>
      <c r="N10" s="466">
        <v>176</v>
      </c>
      <c r="O10" s="456">
        <f t="shared" si="3"/>
        <v>0.34199999999999997</v>
      </c>
    </row>
    <row r="11" spans="1:15" s="457" customFormat="1" ht="15">
      <c r="A11" s="459" t="s">
        <v>840</v>
      </c>
      <c r="B11" s="494" t="s">
        <v>920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495.86776859504135</v>
      </c>
      <c r="H11" s="462">
        <v>10</v>
      </c>
      <c r="I11" s="463">
        <v>1</v>
      </c>
      <c r="J11" s="464">
        <f>1.21/60</f>
        <v>0.020166666666666666</v>
      </c>
      <c r="K11" s="461">
        <v>7</v>
      </c>
      <c r="L11" s="465">
        <f t="shared" si="1"/>
        <v>0.14116666666666666</v>
      </c>
      <c r="M11" s="466">
        <f t="shared" si="2"/>
        <v>24.845333333333333</v>
      </c>
      <c r="N11" s="466">
        <v>176</v>
      </c>
      <c r="O11" s="456">
        <f t="shared" si="3"/>
        <v>0.14116666666666666</v>
      </c>
    </row>
    <row r="12" spans="1:15" s="457" customFormat="1" ht="15">
      <c r="A12" s="459" t="s">
        <v>841</v>
      </c>
      <c r="B12" s="494" t="s">
        <v>857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322.58064516129036</v>
      </c>
      <c r="H12" s="462">
        <v>10</v>
      </c>
      <c r="I12" s="463">
        <v>1</v>
      </c>
      <c r="J12" s="464">
        <f>1.86/60</f>
        <v>0.030999999999999996</v>
      </c>
      <c r="K12" s="461">
        <v>1</v>
      </c>
      <c r="L12" s="465">
        <f t="shared" si="1"/>
        <v>0.030999999999999996</v>
      </c>
      <c r="M12" s="466">
        <f t="shared" si="2"/>
        <v>5.4559999999999995</v>
      </c>
      <c r="N12" s="466">
        <v>176</v>
      </c>
      <c r="O12" s="456">
        <f t="shared" si="3"/>
        <v>0.030999999999999996</v>
      </c>
    </row>
    <row r="13" spans="1:15" s="457" customFormat="1" ht="15">
      <c r="A13" s="459" t="s">
        <v>842</v>
      </c>
      <c r="B13" s="494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0.038833333333333338</v>
      </c>
      <c r="K13" s="461">
        <v>30</v>
      </c>
      <c r="L13" s="465">
        <f t="shared" si="1"/>
        <v>1.165</v>
      </c>
      <c r="M13" s="466">
        <f t="shared" si="2"/>
        <v>205.04000000000002</v>
      </c>
      <c r="N13" s="466">
        <v>176</v>
      </c>
      <c r="O13" s="456">
        <f t="shared" si="3"/>
        <v>1.165</v>
      </c>
    </row>
    <row r="14" spans="1:15" s="457" customFormat="1" ht="15">
      <c r="A14" s="459" t="s">
        <v>843</v>
      </c>
      <c r="B14" s="494" t="s">
        <v>860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263.15789473684208</v>
      </c>
      <c r="H14" s="462">
        <v>10</v>
      </c>
      <c r="I14" s="463">
        <v>1</v>
      </c>
      <c r="J14" s="464">
        <f>2.28/60</f>
        <v>0.038000000000000006</v>
      </c>
      <c r="K14" s="461">
        <v>3</v>
      </c>
      <c r="L14" s="465">
        <f t="shared" si="1"/>
        <v>0.11400000000000002</v>
      </c>
      <c r="M14" s="466">
        <f t="shared" si="2"/>
        <v>20.064000000000004</v>
      </c>
      <c r="N14" s="466">
        <v>176</v>
      </c>
      <c r="O14" s="456">
        <f t="shared" si="3"/>
        <v>0.11400000000000002</v>
      </c>
    </row>
    <row r="15" spans="1:15" s="457" customFormat="1" ht="15">
      <c r="A15" s="459" t="s">
        <v>844</v>
      </c>
      <c r="B15" s="494" t="s">
        <v>919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96.774193548387103</v>
      </c>
      <c r="H15" s="462">
        <v>10</v>
      </c>
      <c r="I15" s="463">
        <v>1</v>
      </c>
      <c r="J15" s="464">
        <f>6.2/60</f>
        <v>0.10333333333333333</v>
      </c>
      <c r="K15" s="461">
        <v>2</v>
      </c>
      <c r="L15" s="465">
        <f t="shared" si="1"/>
        <v>0.20666666666666667</v>
      </c>
      <c r="M15" s="466">
        <f t="shared" si="2"/>
        <v>36.373333333333335</v>
      </c>
      <c r="N15" s="466">
        <v>176</v>
      </c>
      <c r="O15" s="456">
        <f t="shared" si="3"/>
        <v>0.20666666666666667</v>
      </c>
    </row>
    <row r="16" spans="1:15" s="457" customFormat="1" ht="15">
      <c r="A16" s="459" t="s">
        <v>845</v>
      </c>
      <c r="B16" s="494" t="s">
        <v>854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631.57894736842115</v>
      </c>
      <c r="H16" s="462">
        <v>10</v>
      </c>
      <c r="I16" s="463">
        <v>1</v>
      </c>
      <c r="J16" s="464">
        <f>0.95/60</f>
        <v>0.015833333333333331</v>
      </c>
      <c r="K16" s="461">
        <v>1</v>
      </c>
      <c r="L16" s="465">
        <f t="shared" si="1"/>
        <v>0.015833333333333331</v>
      </c>
      <c r="M16" s="466">
        <f t="shared" si="2"/>
        <v>2.7866666666666662</v>
      </c>
      <c r="N16" s="466">
        <v>176</v>
      </c>
      <c r="O16" s="456">
        <f t="shared" si="3"/>
        <v>0.015833333333333331</v>
      </c>
    </row>
    <row r="17" spans="1:15" s="457" customFormat="1" ht="15">
      <c r="A17" s="459" t="s">
        <v>846</v>
      </c>
      <c r="B17" s="494" t="s">
        <v>855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454.5454545454545</v>
      </c>
      <c r="H17" s="462">
        <v>10</v>
      </c>
      <c r="I17" s="463">
        <v>1</v>
      </c>
      <c r="J17" s="464">
        <f>1.32/60</f>
        <v>0.022000000000000002</v>
      </c>
      <c r="K17" s="461">
        <v>4</v>
      </c>
      <c r="L17" s="465">
        <f t="shared" si="1"/>
        <v>0.088000000000000009</v>
      </c>
      <c r="M17" s="466">
        <f t="shared" si="2"/>
        <v>15.488000000000001</v>
      </c>
      <c r="N17" s="466">
        <v>176</v>
      </c>
      <c r="O17" s="456">
        <f t="shared" si="3"/>
        <v>0.088000000000000009</v>
      </c>
    </row>
    <row r="18" spans="1:15" s="457" customFormat="1" ht="15">
      <c r="A18" s="459" t="s">
        <v>847</v>
      </c>
      <c r="B18" s="494" t="s">
        <v>861</v>
      </c>
      <c r="C18" s="460" t="s">
        <v>532</v>
      </c>
      <c r="D18" s="460" t="s">
        <v>1330</v>
      </c>
      <c r="E18" s="460"/>
      <c r="F18" s="460" t="s">
        <v>533</v>
      </c>
      <c r="G18" s="461">
        <f t="shared" si="0"/>
        <v>857.14285714285722</v>
      </c>
      <c r="H18" s="462">
        <v>10</v>
      </c>
      <c r="I18" s="463">
        <v>1</v>
      </c>
      <c r="J18" s="464">
        <f>0.7/60</f>
        <v>0.011666666666666665</v>
      </c>
      <c r="K18" s="461">
        <v>2</v>
      </c>
      <c r="L18" s="465">
        <f t="shared" si="1"/>
        <v>0.023333333333333331</v>
      </c>
      <c r="M18" s="466">
        <f t="shared" si="2"/>
        <v>4.1066666666666665</v>
      </c>
      <c r="N18" s="466">
        <v>176</v>
      </c>
      <c r="O18" s="456">
        <f t="shared" si="3"/>
        <v>0.023333333333333331</v>
      </c>
    </row>
    <row r="19" spans="1:15" ht="15">
      <c r="A19" s="39"/>
      <c r="B19" s="649" t="s">
        <v>130</v>
      </c>
      <c r="C19" s="649"/>
      <c r="D19" s="649"/>
      <c r="E19" s="649"/>
      <c r="F19" s="649"/>
      <c r="G19" s="649"/>
      <c r="H19" s="649"/>
      <c r="I19" s="649"/>
      <c r="J19" s="649"/>
      <c r="K19" s="649"/>
      <c r="L19" s="265"/>
      <c r="M19" s="262">
        <f>SUM(M20:M47)</f>
        <v>3096.7504797494421</v>
      </c>
      <c r="N19" s="430"/>
      <c r="O19" s="264">
        <f>SUM(O20:O47)</f>
        <v>13.332466915855461</v>
      </c>
    </row>
    <row r="20" spans="1:15" s="0" customFormat="1" ht="15">
      <c r="A20" s="57" t="s">
        <v>143</v>
      </c>
      <c r="B20" s="56" t="s">
        <v>144</v>
      </c>
      <c r="C20" s="13" t="s">
        <v>905</v>
      </c>
      <c r="D20" s="13">
        <v>105</v>
      </c>
      <c r="E20" s="13"/>
      <c r="F20" s="17" t="s">
        <v>353</v>
      </c>
      <c r="G20" s="469">
        <v>20.70</v>
      </c>
      <c r="H20" s="252">
        <v>10</v>
      </c>
      <c r="I20" s="16">
        <v>1</v>
      </c>
      <c r="J20" s="253">
        <f>H20/G20*I20</f>
        <v>0.48309178743961356</v>
      </c>
      <c r="K20" s="52">
        <v>1</v>
      </c>
      <c r="L20" s="26">
        <f t="shared" si="4" ref="L20:L47">J20*K20</f>
        <v>0.48309178743961356</v>
      </c>
      <c r="M20" s="43">
        <f>L20*N20</f>
        <v>96.618357487922708</v>
      </c>
      <c r="N20" s="85">
        <v>200</v>
      </c>
      <c r="O20" s="8">
        <f>J20/I20*K20</f>
        <v>0.48309178743961356</v>
      </c>
    </row>
    <row r="21" spans="1:15" s="0" customFormat="1" ht="15">
      <c r="A21" s="650" t="s">
        <v>146</v>
      </c>
      <c r="B21" s="638" t="s">
        <v>411</v>
      </c>
      <c r="C21" s="13" t="s">
        <v>909</v>
      </c>
      <c r="D21" s="13">
        <v>109</v>
      </c>
      <c r="E21" s="637" t="s">
        <v>911</v>
      </c>
      <c r="F21" s="17" t="s">
        <v>10</v>
      </c>
      <c r="G21" s="16">
        <v>40</v>
      </c>
      <c r="H21" s="252">
        <v>10</v>
      </c>
      <c r="I21" s="16">
        <v>1</v>
      </c>
      <c r="J21" s="253">
        <f t="shared" si="5" ref="J21:J47">H21/G21*I21</f>
        <v>0.25</v>
      </c>
      <c r="K21" s="260">
        <f>770/1000+0.1</f>
        <v>0.87</v>
      </c>
      <c r="L21" s="26">
        <f t="shared" si="4"/>
        <v>0.2175</v>
      </c>
      <c r="M21" s="43">
        <f t="shared" si="6" ref="M21:M47">L21*N21</f>
        <v>43.50</v>
      </c>
      <c r="N21" s="85">
        <v>200</v>
      </c>
      <c r="O21" s="8">
        <f t="shared" si="7" ref="O21:O47">J21/I21*K21</f>
        <v>0.2175</v>
      </c>
    </row>
    <row r="22" spans="1:15" s="0" customFormat="1" ht="15">
      <c r="A22" s="637"/>
      <c r="B22" s="638"/>
      <c r="C22" s="13" t="s">
        <v>910</v>
      </c>
      <c r="D22" s="13">
        <v>109</v>
      </c>
      <c r="E22" s="637"/>
      <c r="F22" s="17" t="s">
        <v>10</v>
      </c>
      <c r="G22" s="16">
        <v>27</v>
      </c>
      <c r="H22" s="252">
        <v>10</v>
      </c>
      <c r="I22" s="16">
        <v>1</v>
      </c>
      <c r="J22" s="253">
        <f t="shared" si="5"/>
        <v>0.37037037037037035</v>
      </c>
      <c r="K22" s="260">
        <f>770/1000+0.2</f>
        <v>0.97</v>
      </c>
      <c r="L22" s="26">
        <f t="shared" si="4"/>
        <v>0.35925925925925922</v>
      </c>
      <c r="M22" s="43">
        <f t="shared" si="6"/>
        <v>71.851851851851848</v>
      </c>
      <c r="N22" s="85">
        <v>200</v>
      </c>
      <c r="O22" s="8">
        <f t="shared" si="7"/>
        <v>0.35925925925925922</v>
      </c>
    </row>
    <row r="23" spans="1:15" s="0" customFormat="1" ht="15">
      <c r="A23" s="650" t="s">
        <v>148</v>
      </c>
      <c r="B23" s="638" t="s">
        <v>412</v>
      </c>
      <c r="C23" s="13" t="s">
        <v>906</v>
      </c>
      <c r="D23" s="13">
        <v>107</v>
      </c>
      <c r="E23" s="637" t="s">
        <v>43</v>
      </c>
      <c r="F23" s="17" t="s">
        <v>10</v>
      </c>
      <c r="G23" s="16">
        <v>40</v>
      </c>
      <c r="H23" s="252">
        <v>10</v>
      </c>
      <c r="I23" s="16">
        <v>1</v>
      </c>
      <c r="J23" s="253">
        <f t="shared" si="5"/>
        <v>0.25</v>
      </c>
      <c r="K23" s="30">
        <f>(770)/1000+0.1</f>
        <v>0.87</v>
      </c>
      <c r="L23" s="26">
        <f t="shared" si="4"/>
        <v>0.2175</v>
      </c>
      <c r="M23" s="43">
        <f t="shared" si="6"/>
        <v>43.50</v>
      </c>
      <c r="N23" s="85">
        <v>200</v>
      </c>
      <c r="O23" s="8">
        <f t="shared" si="7"/>
        <v>0.2175</v>
      </c>
    </row>
    <row r="24" spans="1:15" s="0" customFormat="1" ht="15">
      <c r="A24" s="650"/>
      <c r="B24" s="638"/>
      <c r="C24" s="13" t="s">
        <v>907</v>
      </c>
      <c r="D24" s="13">
        <v>107</v>
      </c>
      <c r="E24" s="637"/>
      <c r="F24" s="17" t="s">
        <v>10</v>
      </c>
      <c r="G24" s="16">
        <v>25</v>
      </c>
      <c r="H24" s="252">
        <v>10</v>
      </c>
      <c r="I24" s="16">
        <v>1</v>
      </c>
      <c r="J24" s="253">
        <f t="shared" si="5"/>
        <v>0.40</v>
      </c>
      <c r="K24" s="30">
        <f>(770)/1000</f>
        <v>0.77</v>
      </c>
      <c r="L24" s="26">
        <f t="shared" si="4"/>
        <v>0.30800000000000005</v>
      </c>
      <c r="M24" s="43">
        <f t="shared" si="6"/>
        <v>54.208000000000013</v>
      </c>
      <c r="N24" s="85">
        <v>176</v>
      </c>
      <c r="O24" s="8">
        <f t="shared" si="7"/>
        <v>0.30800000000000005</v>
      </c>
    </row>
    <row r="25" spans="1:15" s="0" customFormat="1" ht="15">
      <c r="A25" s="650"/>
      <c r="B25" s="638"/>
      <c r="C25" s="13" t="s">
        <v>908</v>
      </c>
      <c r="D25" s="13">
        <v>107</v>
      </c>
      <c r="E25" s="637"/>
      <c r="F25" s="17" t="s">
        <v>10</v>
      </c>
      <c r="G25" s="16">
        <v>28.50</v>
      </c>
      <c r="H25" s="252">
        <v>10</v>
      </c>
      <c r="I25" s="16">
        <v>1</v>
      </c>
      <c r="J25" s="253">
        <f t="shared" si="5"/>
        <v>0.35087719298245612</v>
      </c>
      <c r="K25" s="30">
        <f>(770)/1000+0.1</f>
        <v>0.87</v>
      </c>
      <c r="L25" s="26">
        <f t="shared" si="4"/>
        <v>0.30526315789473685</v>
      </c>
      <c r="M25" s="43">
        <f t="shared" si="6"/>
        <v>61.05263157894737</v>
      </c>
      <c r="N25" s="85">
        <v>200</v>
      </c>
      <c r="O25" s="8">
        <f t="shared" si="7"/>
        <v>0.30526315789473685</v>
      </c>
    </row>
    <row r="26" spans="1:15" s="0" customFormat="1" ht="30">
      <c r="A26" s="57" t="s">
        <v>421</v>
      </c>
      <c r="B26" s="56" t="s">
        <v>149</v>
      </c>
      <c r="C26" s="13" t="s">
        <v>905</v>
      </c>
      <c r="D26" s="13">
        <v>105</v>
      </c>
      <c r="E26" s="13"/>
      <c r="F26" s="17" t="s">
        <v>353</v>
      </c>
      <c r="G26" s="469">
        <f>20.7/0.65</f>
        <v>31.846153846153843</v>
      </c>
      <c r="H26" s="252">
        <v>10</v>
      </c>
      <c r="I26" s="16">
        <v>1</v>
      </c>
      <c r="J26" s="253">
        <f t="shared" si="5"/>
        <v>0.3140096618357488</v>
      </c>
      <c r="K26" s="52">
        <v>1</v>
      </c>
      <c r="L26" s="26">
        <f t="shared" si="4"/>
        <v>0.3140096618357488</v>
      </c>
      <c r="M26" s="43">
        <f t="shared" si="6"/>
        <v>62.80193236714976</v>
      </c>
      <c r="N26" s="43">
        <v>200</v>
      </c>
      <c r="O26" s="8">
        <f t="shared" si="7"/>
        <v>0.3140096618357488</v>
      </c>
    </row>
    <row r="27" spans="1:15" s="0" customFormat="1" ht="30">
      <c r="A27" s="565" t="s">
        <v>1662</v>
      </c>
      <c r="B27" s="522" t="s">
        <v>1661</v>
      </c>
      <c r="C27" s="523" t="s">
        <v>9</v>
      </c>
      <c r="D27" s="523">
        <v>109</v>
      </c>
      <c r="E27" s="523"/>
      <c r="F27" s="524" t="s">
        <v>10</v>
      </c>
      <c r="G27" s="525">
        <v>33</v>
      </c>
      <c r="H27" s="526">
        <v>10</v>
      </c>
      <c r="I27" s="527">
        <v>1</v>
      </c>
      <c r="J27" s="528">
        <f t="shared" si="5"/>
        <v>0.30303030303030304</v>
      </c>
      <c r="K27" s="525">
        <f>(350*2)/1000</f>
        <v>0.70</v>
      </c>
      <c r="L27" s="267">
        <f t="shared" si="4"/>
        <v>0.21212121212121213</v>
      </c>
      <c r="M27" s="266">
        <f t="shared" si="6"/>
        <v>32.242424242424242</v>
      </c>
      <c r="N27" s="433">
        <v>152</v>
      </c>
      <c r="O27" s="267">
        <f t="shared" si="7"/>
        <v>0.21212121212121213</v>
      </c>
    </row>
    <row r="28" spans="1:15" ht="15">
      <c r="A28" s="57" t="s">
        <v>152</v>
      </c>
      <c r="B28" s="56" t="s">
        <v>153</v>
      </c>
      <c r="C28" s="13" t="s">
        <v>154</v>
      </c>
      <c r="D28" s="13">
        <v>124</v>
      </c>
      <c r="E28" s="13"/>
      <c r="F28" s="13" t="s">
        <v>354</v>
      </c>
      <c r="G28" s="442">
        <v>15.50</v>
      </c>
      <c r="H28" s="440">
        <v>10</v>
      </c>
      <c r="I28" s="28">
        <v>1</v>
      </c>
      <c r="J28" s="441">
        <f t="shared" si="5"/>
        <v>0.64516129032258063</v>
      </c>
      <c r="K28" s="432">
        <v>1</v>
      </c>
      <c r="L28" s="267">
        <f t="shared" si="4"/>
        <v>0.64516129032258063</v>
      </c>
      <c r="M28" s="433">
        <f t="shared" si="6"/>
        <v>129.03225806451613</v>
      </c>
      <c r="N28" s="434">
        <v>200</v>
      </c>
      <c r="O28" s="435">
        <f t="shared" si="7"/>
        <v>0.64516129032258063</v>
      </c>
    </row>
    <row r="29" spans="1:15" ht="30">
      <c r="A29" s="57" t="s">
        <v>155</v>
      </c>
      <c r="B29" s="56" t="s">
        <v>156</v>
      </c>
      <c r="C29" s="13" t="s">
        <v>157</v>
      </c>
      <c r="D29" s="13" t="s">
        <v>1329</v>
      </c>
      <c r="E29" s="13"/>
      <c r="F29" s="13" t="s">
        <v>354</v>
      </c>
      <c r="G29" s="442">
        <v>6.70</v>
      </c>
      <c r="H29" s="440">
        <v>10</v>
      </c>
      <c r="I29" s="28">
        <v>1</v>
      </c>
      <c r="J29" s="441">
        <f t="shared" si="5"/>
        <v>1.4925373134328357</v>
      </c>
      <c r="K29" s="432">
        <v>1</v>
      </c>
      <c r="L29" s="267">
        <f t="shared" si="4"/>
        <v>1.4925373134328357</v>
      </c>
      <c r="M29" s="433">
        <f t="shared" si="6"/>
        <v>298.50746268656712</v>
      </c>
      <c r="N29" s="434">
        <v>200</v>
      </c>
      <c r="O29" s="435">
        <f t="shared" si="7"/>
        <v>1.4925373134328357</v>
      </c>
    </row>
    <row r="30" spans="1:15" ht="30">
      <c r="A30" s="57" t="s">
        <v>158</v>
      </c>
      <c r="B30" s="56" t="s">
        <v>159</v>
      </c>
      <c r="C30" s="13" t="s">
        <v>160</v>
      </c>
      <c r="D30" s="13" t="s">
        <v>1331</v>
      </c>
      <c r="E30" s="13" t="s">
        <v>161</v>
      </c>
      <c r="F30" s="13" t="s">
        <v>10</v>
      </c>
      <c r="G30" s="439">
        <v>15.40</v>
      </c>
      <c r="H30" s="440">
        <v>10</v>
      </c>
      <c r="I30" s="28">
        <v>1</v>
      </c>
      <c r="J30" s="441">
        <f t="shared" si="5"/>
        <v>0.64935064935064934</v>
      </c>
      <c r="K30" s="436">
        <f>(61/1000)*3.1415*4</f>
        <v>0.76652600000000004</v>
      </c>
      <c r="L30" s="435">
        <f t="shared" si="4"/>
        <v>0.49774415584415588</v>
      </c>
      <c r="M30" s="266">
        <f t="shared" si="6"/>
        <v>99.548831168831171</v>
      </c>
      <c r="N30" s="433">
        <v>200</v>
      </c>
      <c r="O30" s="435">
        <f t="shared" si="7"/>
        <v>0.49774415584415588</v>
      </c>
    </row>
    <row r="31" spans="1:15" ht="15">
      <c r="A31" s="57" t="s">
        <v>427</v>
      </c>
      <c r="B31" s="56" t="s">
        <v>428</v>
      </c>
      <c r="C31" s="13" t="s">
        <v>24</v>
      </c>
      <c r="D31" s="13">
        <v>110</v>
      </c>
      <c r="E31" s="13"/>
      <c r="F31" s="4" t="s">
        <v>38</v>
      </c>
      <c r="G31" s="442">
        <v>15.50</v>
      </c>
      <c r="H31" s="440">
        <v>10</v>
      </c>
      <c r="I31" s="28">
        <v>2</v>
      </c>
      <c r="J31" s="441">
        <f t="shared" si="5"/>
        <v>1.2903225806451613</v>
      </c>
      <c r="K31" s="28">
        <v>1</v>
      </c>
      <c r="L31" s="267">
        <f t="shared" si="4"/>
        <v>1.2903225806451613</v>
      </c>
      <c r="M31" s="433">
        <f t="shared" si="6"/>
        <v>258.06451612903226</v>
      </c>
      <c r="N31" s="434">
        <v>200</v>
      </c>
      <c r="O31" s="435">
        <f t="shared" si="7"/>
        <v>0.64516129032258063</v>
      </c>
    </row>
    <row r="32" spans="1:15" ht="15">
      <c r="A32" s="637" t="s">
        <v>162</v>
      </c>
      <c r="B32" s="638" t="s">
        <v>429</v>
      </c>
      <c r="C32" s="13" t="s">
        <v>160</v>
      </c>
      <c r="D32" s="13">
        <v>109</v>
      </c>
      <c r="E32" s="637" t="s">
        <v>911</v>
      </c>
      <c r="F32" s="13" t="s">
        <v>10</v>
      </c>
      <c r="G32" s="28">
        <v>40</v>
      </c>
      <c r="H32" s="440">
        <v>10</v>
      </c>
      <c r="I32" s="28">
        <v>1</v>
      </c>
      <c r="J32" s="441">
        <f t="shared" si="5"/>
        <v>0.25</v>
      </c>
      <c r="K32" s="436">
        <f>530/1000*3.1415</f>
        <v>1.6649950000000002</v>
      </c>
      <c r="L32" s="267">
        <f t="shared" si="4"/>
        <v>0.41624875000000006</v>
      </c>
      <c r="M32" s="433">
        <f t="shared" si="6"/>
        <v>83.249750000000006</v>
      </c>
      <c r="N32" s="434">
        <v>200</v>
      </c>
      <c r="O32" s="435">
        <f t="shared" si="7"/>
        <v>0.41624875000000006</v>
      </c>
    </row>
    <row r="33" spans="1:15" ht="15">
      <c r="A33" s="637"/>
      <c r="B33" s="638"/>
      <c r="C33" s="13" t="s">
        <v>9</v>
      </c>
      <c r="D33" s="13">
        <v>109</v>
      </c>
      <c r="E33" s="637"/>
      <c r="F33" s="13" t="s">
        <v>10</v>
      </c>
      <c r="G33" s="28">
        <v>27</v>
      </c>
      <c r="H33" s="440">
        <v>10</v>
      </c>
      <c r="I33" s="28">
        <v>1</v>
      </c>
      <c r="J33" s="441">
        <f t="shared" si="5"/>
        <v>0.37037037037037035</v>
      </c>
      <c r="K33" s="436">
        <f>530/1000*3.1415</f>
        <v>1.6649950000000002</v>
      </c>
      <c r="L33" s="267">
        <f t="shared" si="4"/>
        <v>0.61666481481481483</v>
      </c>
      <c r="M33" s="433">
        <f t="shared" si="6"/>
        <v>123.33296296296297</v>
      </c>
      <c r="N33" s="434">
        <v>200</v>
      </c>
      <c r="O33" s="435">
        <f t="shared" si="7"/>
        <v>0.61666481481481483</v>
      </c>
    </row>
    <row r="34" spans="1:15" ht="15">
      <c r="A34" s="650" t="s">
        <v>430</v>
      </c>
      <c r="B34" s="638" t="s">
        <v>431</v>
      </c>
      <c r="C34" s="13" t="s">
        <v>160</v>
      </c>
      <c r="D34" s="13">
        <v>107</v>
      </c>
      <c r="E34" s="637" t="s">
        <v>43</v>
      </c>
      <c r="F34" s="13" t="s">
        <v>10</v>
      </c>
      <c r="G34" s="28">
        <v>40</v>
      </c>
      <c r="H34" s="440">
        <v>10</v>
      </c>
      <c r="I34" s="28">
        <v>1</v>
      </c>
      <c r="J34" s="441">
        <f t="shared" si="5"/>
        <v>0.25</v>
      </c>
      <c r="K34" s="436">
        <f>530/1000*3.1415</f>
        <v>1.6649950000000002</v>
      </c>
      <c r="L34" s="267">
        <f t="shared" si="4"/>
        <v>0.41624875000000006</v>
      </c>
      <c r="M34" s="433">
        <f t="shared" si="6"/>
        <v>83.249750000000006</v>
      </c>
      <c r="N34" s="434">
        <v>200</v>
      </c>
      <c r="O34" s="435">
        <f t="shared" si="7"/>
        <v>0.41624875000000006</v>
      </c>
    </row>
    <row r="35" spans="1:15" ht="15">
      <c r="A35" s="650"/>
      <c r="B35" s="638"/>
      <c r="C35" s="13" t="s">
        <v>511</v>
      </c>
      <c r="D35" s="13">
        <v>107</v>
      </c>
      <c r="E35" s="637"/>
      <c r="F35" s="13" t="s">
        <v>10</v>
      </c>
      <c r="G35" s="28">
        <v>25</v>
      </c>
      <c r="H35" s="440">
        <v>10</v>
      </c>
      <c r="I35" s="28">
        <v>1</v>
      </c>
      <c r="J35" s="453">
        <f t="shared" si="5"/>
        <v>0.40</v>
      </c>
      <c r="K35" s="436">
        <f>530*3.1415/1000</f>
        <v>1.6649950000000002</v>
      </c>
      <c r="L35" s="267">
        <f t="shared" si="4"/>
        <v>0.66599800000000009</v>
      </c>
      <c r="M35" s="433">
        <f t="shared" si="6"/>
        <v>117.21564800000002</v>
      </c>
      <c r="N35" s="434">
        <v>176</v>
      </c>
      <c r="O35" s="435">
        <f t="shared" si="7"/>
        <v>0.66599800000000009</v>
      </c>
    </row>
    <row r="36" spans="1:15" ht="15">
      <c r="A36" s="650"/>
      <c r="B36" s="638"/>
      <c r="C36" s="13" t="s">
        <v>313</v>
      </c>
      <c r="D36" s="13">
        <v>107</v>
      </c>
      <c r="E36" s="637"/>
      <c r="F36" s="13" t="s">
        <v>10</v>
      </c>
      <c r="G36" s="28">
        <v>28.50</v>
      </c>
      <c r="H36" s="440">
        <v>10</v>
      </c>
      <c r="I36" s="28">
        <v>1</v>
      </c>
      <c r="J36" s="453">
        <f t="shared" si="5"/>
        <v>0.35087719298245612</v>
      </c>
      <c r="K36" s="436">
        <f>530*3.1415/1000</f>
        <v>1.6649950000000002</v>
      </c>
      <c r="L36" s="267">
        <f t="shared" si="4"/>
        <v>0.58420877192982457</v>
      </c>
      <c r="M36" s="433">
        <f t="shared" si="6"/>
        <v>116.84175438596492</v>
      </c>
      <c r="N36" s="434">
        <v>200</v>
      </c>
      <c r="O36" s="435">
        <f t="shared" si="7"/>
        <v>0.58420877192982457</v>
      </c>
    </row>
    <row r="37" spans="1:15" ht="15">
      <c r="A37" s="57" t="s">
        <v>629</v>
      </c>
      <c r="B37" s="56" t="s">
        <v>923</v>
      </c>
      <c r="C37" s="13" t="s">
        <v>862</v>
      </c>
      <c r="D37" s="13">
        <v>224</v>
      </c>
      <c r="E37" s="13"/>
      <c r="F37" s="17"/>
      <c r="G37" s="28">
        <f>(600-25)/10</f>
        <v>57.50</v>
      </c>
      <c r="H37" s="440">
        <v>10</v>
      </c>
      <c r="I37" s="28">
        <v>2</v>
      </c>
      <c r="J37" s="441">
        <f t="shared" si="5"/>
        <v>0.34782608695652173</v>
      </c>
      <c r="K37" s="28">
        <v>1</v>
      </c>
      <c r="L37" s="267">
        <f t="shared" si="4"/>
        <v>0.34782608695652173</v>
      </c>
      <c r="M37" s="433">
        <f t="shared" si="6"/>
        <v>69.565217391304344</v>
      </c>
      <c r="N37" s="434">
        <v>200</v>
      </c>
      <c r="O37" s="435">
        <f t="shared" si="7"/>
        <v>0.17391304347826086</v>
      </c>
    </row>
    <row r="38" spans="1:15" ht="15">
      <c r="A38" s="637" t="s">
        <v>314</v>
      </c>
      <c r="B38" s="638" t="s">
        <v>107</v>
      </c>
      <c r="C38" s="13" t="s">
        <v>24</v>
      </c>
      <c r="D38" s="13">
        <v>110</v>
      </c>
      <c r="E38" s="13"/>
      <c r="F38" s="4" t="s">
        <v>40</v>
      </c>
      <c r="G38" s="442">
        <v>20</v>
      </c>
      <c r="H38" s="440">
        <v>10</v>
      </c>
      <c r="I38" s="28">
        <v>2</v>
      </c>
      <c r="J38" s="441">
        <f t="shared" si="5"/>
        <v>1</v>
      </c>
      <c r="K38" s="28">
        <v>1</v>
      </c>
      <c r="L38" s="267">
        <f t="shared" si="4"/>
        <v>1</v>
      </c>
      <c r="M38" s="433">
        <f t="shared" si="6"/>
        <v>200</v>
      </c>
      <c r="N38" s="434">
        <v>200</v>
      </c>
      <c r="O38" s="435">
        <f t="shared" si="7"/>
        <v>0.50</v>
      </c>
    </row>
    <row r="39" spans="1:15" ht="15">
      <c r="A39" s="637"/>
      <c r="B39" s="638"/>
      <c r="C39" s="13" t="s">
        <v>25</v>
      </c>
      <c r="D39" s="13">
        <v>110</v>
      </c>
      <c r="E39" s="13" t="s">
        <v>41</v>
      </c>
      <c r="F39" s="13" t="s">
        <v>10</v>
      </c>
      <c r="G39" s="28">
        <v>40</v>
      </c>
      <c r="H39" s="440">
        <v>10</v>
      </c>
      <c r="I39" s="28">
        <v>1</v>
      </c>
      <c r="J39" s="441">
        <f t="shared" si="5"/>
        <v>0.25</v>
      </c>
      <c r="K39" s="436">
        <f>530/1000*3.1415*2</f>
        <v>3.3299900000000004</v>
      </c>
      <c r="L39" s="267">
        <f t="shared" si="4"/>
        <v>0.83249750000000011</v>
      </c>
      <c r="M39" s="433">
        <f t="shared" si="6"/>
        <v>166.49950000000001</v>
      </c>
      <c r="N39" s="434">
        <v>200</v>
      </c>
      <c r="O39" s="435">
        <f t="shared" si="7"/>
        <v>0.83249750000000011</v>
      </c>
    </row>
    <row r="40" spans="1:15" ht="15">
      <c r="A40" s="57" t="s">
        <v>1285</v>
      </c>
      <c r="B40" s="56" t="s">
        <v>1519</v>
      </c>
      <c r="C40" s="13" t="s">
        <v>1286</v>
      </c>
      <c r="D40" s="13">
        <v>105</v>
      </c>
      <c r="E40" s="13"/>
      <c r="F40" s="13" t="s">
        <v>353</v>
      </c>
      <c r="G40" s="436">
        <v>22</v>
      </c>
      <c r="H40" s="440">
        <v>10</v>
      </c>
      <c r="I40" s="28">
        <v>1</v>
      </c>
      <c r="J40" s="441">
        <f t="shared" si="5"/>
        <v>0.45454545454545453</v>
      </c>
      <c r="K40" s="432">
        <v>1</v>
      </c>
      <c r="L40" s="435">
        <f t="shared" si="4"/>
        <v>0.45454545454545453</v>
      </c>
      <c r="M40" s="266">
        <f t="shared" si="6"/>
        <v>90.909090909090907</v>
      </c>
      <c r="N40" s="433">
        <v>200</v>
      </c>
      <c r="O40" s="435">
        <f t="shared" si="7"/>
        <v>0.45454545454545453</v>
      </c>
    </row>
    <row r="41" spans="1:15" ht="15">
      <c r="A41" s="57" t="s">
        <v>648</v>
      </c>
      <c r="B41" s="567" t="s">
        <v>1520</v>
      </c>
      <c r="C41" s="13" t="s">
        <v>1287</v>
      </c>
      <c r="D41" s="13">
        <v>108</v>
      </c>
      <c r="E41" s="13"/>
      <c r="F41" s="13" t="s">
        <v>10</v>
      </c>
      <c r="G41" s="28">
        <v>40</v>
      </c>
      <c r="H41" s="440">
        <v>10</v>
      </c>
      <c r="I41" s="28">
        <v>1</v>
      </c>
      <c r="J41" s="453">
        <f t="shared" si="5"/>
        <v>0.25</v>
      </c>
      <c r="K41" s="436">
        <f>158*2/1000</f>
        <v>0.316</v>
      </c>
      <c r="L41" s="267">
        <f t="shared" si="4"/>
        <v>0.079000000000000001</v>
      </c>
      <c r="M41" s="433">
        <f t="shared" si="6"/>
        <v>15.80</v>
      </c>
      <c r="N41" s="434">
        <v>200</v>
      </c>
      <c r="O41" s="435">
        <f t="shared" si="7"/>
        <v>0.079000000000000001</v>
      </c>
    </row>
    <row r="42" spans="1:15" ht="15">
      <c r="A42" s="57" t="s">
        <v>1288</v>
      </c>
      <c r="B42" s="56" t="s">
        <v>1521</v>
      </c>
      <c r="C42" s="13" t="s">
        <v>1286</v>
      </c>
      <c r="D42" s="13">
        <v>105</v>
      </c>
      <c r="E42" s="13"/>
      <c r="F42" s="13" t="s">
        <v>353</v>
      </c>
      <c r="G42" s="436">
        <v>34</v>
      </c>
      <c r="H42" s="440">
        <v>10</v>
      </c>
      <c r="I42" s="28">
        <v>1</v>
      </c>
      <c r="J42" s="441">
        <f t="shared" si="5"/>
        <v>0.29411764705882354</v>
      </c>
      <c r="K42" s="432">
        <v>1</v>
      </c>
      <c r="L42" s="435">
        <f t="shared" si="4"/>
        <v>0.29411764705882354</v>
      </c>
      <c r="M42" s="266">
        <f t="shared" si="6"/>
        <v>58.82352941176471</v>
      </c>
      <c r="N42" s="433">
        <v>200</v>
      </c>
      <c r="O42" s="435">
        <f t="shared" si="7"/>
        <v>0.29411764705882354</v>
      </c>
    </row>
    <row r="43" spans="1:15" ht="15">
      <c r="A43" s="57" t="s">
        <v>176</v>
      </c>
      <c r="B43" s="56" t="s">
        <v>1522</v>
      </c>
      <c r="C43" s="13" t="s">
        <v>154</v>
      </c>
      <c r="D43" s="13">
        <v>124</v>
      </c>
      <c r="E43" s="13"/>
      <c r="F43" s="13" t="s">
        <v>354</v>
      </c>
      <c r="G43" s="442">
        <v>18</v>
      </c>
      <c r="H43" s="440">
        <v>10</v>
      </c>
      <c r="I43" s="28">
        <v>1</v>
      </c>
      <c r="J43" s="441">
        <f t="shared" si="5"/>
        <v>0.55555555555555558</v>
      </c>
      <c r="K43" s="432">
        <v>1</v>
      </c>
      <c r="L43" s="267">
        <f t="shared" si="4"/>
        <v>0.55555555555555558</v>
      </c>
      <c r="M43" s="433">
        <f t="shared" si="6"/>
        <v>111.11111111111111</v>
      </c>
      <c r="N43" s="434">
        <v>200</v>
      </c>
      <c r="O43" s="435">
        <f t="shared" si="7"/>
        <v>0.55555555555555558</v>
      </c>
    </row>
    <row r="44" spans="1:15" ht="30">
      <c r="A44" s="57" t="s">
        <v>1289</v>
      </c>
      <c r="B44" s="56" t="s">
        <v>1523</v>
      </c>
      <c r="C44" s="13" t="s">
        <v>24</v>
      </c>
      <c r="D44" s="13">
        <v>117</v>
      </c>
      <c r="E44" s="13"/>
      <c r="F44" s="4" t="s">
        <v>38</v>
      </c>
      <c r="G44" s="442">
        <v>20</v>
      </c>
      <c r="H44" s="440">
        <v>10</v>
      </c>
      <c r="I44" s="28">
        <v>2</v>
      </c>
      <c r="J44" s="441">
        <f t="shared" si="5"/>
        <v>1</v>
      </c>
      <c r="K44" s="28">
        <v>1</v>
      </c>
      <c r="L44" s="267">
        <f t="shared" si="4"/>
        <v>1</v>
      </c>
      <c r="M44" s="433">
        <f t="shared" si="6"/>
        <v>200</v>
      </c>
      <c r="N44" s="434">
        <v>200</v>
      </c>
      <c r="O44" s="435">
        <f t="shared" si="7"/>
        <v>0.50</v>
      </c>
    </row>
    <row r="45" spans="1:15" ht="30">
      <c r="A45" s="13" t="s">
        <v>1290</v>
      </c>
      <c r="B45" s="56" t="s">
        <v>1524</v>
      </c>
      <c r="C45" s="13" t="s">
        <v>160</v>
      </c>
      <c r="D45" s="13">
        <v>117</v>
      </c>
      <c r="E45" s="13" t="s">
        <v>869</v>
      </c>
      <c r="F45" s="13" t="s">
        <v>10</v>
      </c>
      <c r="G45" s="28">
        <v>40</v>
      </c>
      <c r="H45" s="440">
        <v>10</v>
      </c>
      <c r="I45" s="28">
        <v>1</v>
      </c>
      <c r="J45" s="441">
        <f t="shared" si="5"/>
        <v>0.25</v>
      </c>
      <c r="K45" s="436">
        <f>444*3.1415*2/1000</f>
        <v>2.7896520000000002</v>
      </c>
      <c r="L45" s="267">
        <f t="shared" si="4"/>
        <v>0.69741300000000006</v>
      </c>
      <c r="M45" s="433">
        <f t="shared" si="6"/>
        <v>139.48260000000002</v>
      </c>
      <c r="N45" s="434">
        <v>200</v>
      </c>
      <c r="O45" s="435">
        <f t="shared" si="7"/>
        <v>0.69741300000000006</v>
      </c>
    </row>
    <row r="46" spans="1:15" ht="30">
      <c r="A46" s="57" t="s">
        <v>1291</v>
      </c>
      <c r="B46" s="56" t="s">
        <v>1525</v>
      </c>
      <c r="C46" s="13" t="s">
        <v>24</v>
      </c>
      <c r="D46" s="13">
        <v>110</v>
      </c>
      <c r="E46" s="13"/>
      <c r="F46" s="4" t="s">
        <v>38</v>
      </c>
      <c r="G46" s="442">
        <v>20</v>
      </c>
      <c r="H46" s="440">
        <v>10</v>
      </c>
      <c r="I46" s="28">
        <v>2</v>
      </c>
      <c r="J46" s="441">
        <f t="shared" si="5"/>
        <v>1</v>
      </c>
      <c r="K46" s="28">
        <v>1</v>
      </c>
      <c r="L46" s="267">
        <f t="shared" si="4"/>
        <v>1</v>
      </c>
      <c r="M46" s="433">
        <f t="shared" si="6"/>
        <v>200</v>
      </c>
      <c r="N46" s="434">
        <v>200</v>
      </c>
      <c r="O46" s="435">
        <f t="shared" si="7"/>
        <v>0.50</v>
      </c>
    </row>
    <row r="47" spans="1:15" ht="30">
      <c r="A47" s="13" t="s">
        <v>177</v>
      </c>
      <c r="B47" s="56" t="s">
        <v>1526</v>
      </c>
      <c r="C47" s="13" t="s">
        <v>160</v>
      </c>
      <c r="D47" s="13">
        <v>110</v>
      </c>
      <c r="E47" s="13" t="s">
        <v>869</v>
      </c>
      <c r="F47" s="13" t="s">
        <v>10</v>
      </c>
      <c r="G47" s="28">
        <v>40</v>
      </c>
      <c r="H47" s="440">
        <v>10</v>
      </c>
      <c r="I47" s="28">
        <v>1</v>
      </c>
      <c r="J47" s="441">
        <f t="shared" si="5"/>
        <v>0.25</v>
      </c>
      <c r="K47" s="436">
        <f>444*3.1415/1000</f>
        <v>1.3948260000000001</v>
      </c>
      <c r="L47" s="267">
        <f t="shared" si="4"/>
        <v>0.34870650000000003</v>
      </c>
      <c r="M47" s="433">
        <f t="shared" si="6"/>
        <v>69.74130000000001</v>
      </c>
      <c r="N47" s="434">
        <v>200</v>
      </c>
      <c r="O47" s="435">
        <f t="shared" si="7"/>
        <v>0.34870650000000003</v>
      </c>
    </row>
    <row r="48" spans="1:15" ht="15">
      <c r="A48" s="39"/>
      <c r="B48" s="649" t="s">
        <v>131</v>
      </c>
      <c r="C48" s="649"/>
      <c r="D48" s="649"/>
      <c r="E48" s="649"/>
      <c r="F48" s="649"/>
      <c r="G48" s="649"/>
      <c r="H48" s="649"/>
      <c r="I48" s="649"/>
      <c r="J48" s="649"/>
      <c r="K48" s="649"/>
      <c r="L48" s="267"/>
      <c r="M48" s="262">
        <f>SUM(M49:M61)</f>
        <v>1696.7975268458674</v>
      </c>
      <c r="N48" s="263"/>
      <c r="O48" s="264">
        <f>SUM(O49:O61)</f>
        <v>6.5451852785817648</v>
      </c>
    </row>
    <row r="49" spans="1:15" ht="15">
      <c r="A49" s="57" t="s">
        <v>182</v>
      </c>
      <c r="B49" s="56" t="s">
        <v>183</v>
      </c>
      <c r="C49" s="13" t="s">
        <v>912</v>
      </c>
      <c r="D49" s="13">
        <v>105</v>
      </c>
      <c r="E49" s="13"/>
      <c r="F49" s="13" t="s">
        <v>353</v>
      </c>
      <c r="G49" s="436">
        <v>15.30</v>
      </c>
      <c r="H49" s="440">
        <v>10</v>
      </c>
      <c r="I49" s="28">
        <v>1</v>
      </c>
      <c r="J49" s="441">
        <f t="shared" si="8" ref="J49:J61">H49/G49*I49</f>
        <v>0.65359477124183007</v>
      </c>
      <c r="K49" s="432">
        <v>1</v>
      </c>
      <c r="L49" s="435">
        <f t="shared" si="9" ref="L49:L61">J49*K49</f>
        <v>0.65359477124183007</v>
      </c>
      <c r="M49" s="266">
        <f t="shared" si="10" ref="M49:M61">L49*N49</f>
        <v>130.718954248366</v>
      </c>
      <c r="N49" s="433">
        <v>200</v>
      </c>
      <c r="O49" s="435">
        <f t="shared" si="11" ref="O49:O61">J49/I49*K49</f>
        <v>0.65359477124183007</v>
      </c>
    </row>
    <row r="50" spans="1:15" ht="30">
      <c r="A50" s="57" t="s">
        <v>185</v>
      </c>
      <c r="B50" s="56" t="s">
        <v>186</v>
      </c>
      <c r="C50" s="13" t="s">
        <v>187</v>
      </c>
      <c r="D50" s="13">
        <v>105</v>
      </c>
      <c r="E50" s="13"/>
      <c r="F50" s="13" t="s">
        <v>522</v>
      </c>
      <c r="G50" s="28">
        <v>55</v>
      </c>
      <c r="H50" s="440">
        <v>10</v>
      </c>
      <c r="I50" s="28">
        <v>1</v>
      </c>
      <c r="J50" s="441">
        <f t="shared" si="8"/>
        <v>0.18181818181818182</v>
      </c>
      <c r="K50" s="432">
        <v>3</v>
      </c>
      <c r="L50" s="435">
        <f t="shared" si="9"/>
        <v>0.54545454545454541</v>
      </c>
      <c r="M50" s="266">
        <f t="shared" si="10"/>
        <v>109.09090909090908</v>
      </c>
      <c r="N50" s="433">
        <v>200</v>
      </c>
      <c r="O50" s="435">
        <f t="shared" si="11"/>
        <v>0.54545454545454541</v>
      </c>
    </row>
    <row r="51" spans="1:15" ht="15">
      <c r="A51" s="650" t="s">
        <v>188</v>
      </c>
      <c r="B51" s="656" t="s">
        <v>438</v>
      </c>
      <c r="C51" s="13" t="s">
        <v>913</v>
      </c>
      <c r="D51" s="13">
        <v>109</v>
      </c>
      <c r="E51" s="637" t="s">
        <v>36</v>
      </c>
      <c r="F51" s="13" t="s">
        <v>10</v>
      </c>
      <c r="G51" s="28">
        <v>40</v>
      </c>
      <c r="H51" s="440">
        <v>10</v>
      </c>
      <c r="I51" s="28">
        <v>1</v>
      </c>
      <c r="J51" s="453">
        <f t="shared" si="8"/>
        <v>0.25</v>
      </c>
      <c r="K51" s="436">
        <f>(985)/1000+0.1</f>
        <v>1.085</v>
      </c>
      <c r="L51" s="267">
        <f t="shared" si="9"/>
        <v>0.27125</v>
      </c>
      <c r="M51" s="433">
        <f t="shared" si="10"/>
        <v>54.25</v>
      </c>
      <c r="N51" s="434">
        <v>200</v>
      </c>
      <c r="O51" s="435">
        <f t="shared" si="11"/>
        <v>0.27125</v>
      </c>
    </row>
    <row r="52" spans="1:15" ht="15">
      <c r="A52" s="652"/>
      <c r="B52" s="654"/>
      <c r="C52" s="13" t="s">
        <v>914</v>
      </c>
      <c r="D52" s="13">
        <v>109</v>
      </c>
      <c r="E52" s="637"/>
      <c r="F52" s="13" t="s">
        <v>10</v>
      </c>
      <c r="G52" s="28">
        <v>27</v>
      </c>
      <c r="H52" s="440">
        <v>10</v>
      </c>
      <c r="I52" s="28">
        <v>1</v>
      </c>
      <c r="J52" s="441">
        <f t="shared" si="8"/>
        <v>0.37037037037037035</v>
      </c>
      <c r="K52" s="436">
        <f>(985)/1000+0.1</f>
        <v>1.085</v>
      </c>
      <c r="L52" s="435">
        <f t="shared" si="9"/>
        <v>0.40185185185185179</v>
      </c>
      <c r="M52" s="266">
        <f t="shared" si="10"/>
        <v>80.370370370370352</v>
      </c>
      <c r="N52" s="433">
        <v>200</v>
      </c>
      <c r="O52" s="435">
        <f t="shared" si="11"/>
        <v>0.40185185185185179</v>
      </c>
    </row>
    <row r="53" spans="1:15" ht="15">
      <c r="A53" s="650" t="s">
        <v>437</v>
      </c>
      <c r="B53" s="638" t="s">
        <v>439</v>
      </c>
      <c r="C53" s="13" t="s">
        <v>913</v>
      </c>
      <c r="D53" s="13">
        <v>107</v>
      </c>
      <c r="E53" s="637" t="s">
        <v>43</v>
      </c>
      <c r="F53" s="13" t="s">
        <v>10</v>
      </c>
      <c r="G53" s="28">
        <v>40</v>
      </c>
      <c r="H53" s="440">
        <v>10</v>
      </c>
      <c r="I53" s="28">
        <v>1</v>
      </c>
      <c r="J53" s="441">
        <f t="shared" si="8"/>
        <v>0.25</v>
      </c>
      <c r="K53" s="436">
        <f>985/1000+0.1</f>
        <v>1.085</v>
      </c>
      <c r="L53" s="267">
        <f t="shared" si="9"/>
        <v>0.27125</v>
      </c>
      <c r="M53" s="433">
        <f t="shared" si="10"/>
        <v>54.25</v>
      </c>
      <c r="N53" s="434">
        <v>200</v>
      </c>
      <c r="O53" s="435">
        <f t="shared" si="11"/>
        <v>0.27125</v>
      </c>
    </row>
    <row r="54" spans="1:15" ht="15">
      <c r="A54" s="650"/>
      <c r="B54" s="638"/>
      <c r="C54" s="13" t="s">
        <v>915</v>
      </c>
      <c r="D54" s="13">
        <v>107</v>
      </c>
      <c r="E54" s="637"/>
      <c r="F54" s="13" t="s">
        <v>10</v>
      </c>
      <c r="G54" s="28">
        <v>25</v>
      </c>
      <c r="H54" s="440">
        <v>10</v>
      </c>
      <c r="I54" s="28">
        <v>1</v>
      </c>
      <c r="J54" s="453">
        <f t="shared" si="8"/>
        <v>0.40</v>
      </c>
      <c r="K54" s="436">
        <f>(985)/1000</f>
        <v>0.985</v>
      </c>
      <c r="L54" s="267">
        <f t="shared" si="9"/>
        <v>0.39400000000000002</v>
      </c>
      <c r="M54" s="433">
        <f t="shared" si="10"/>
        <v>69.344000000000008</v>
      </c>
      <c r="N54" s="434">
        <v>176</v>
      </c>
      <c r="O54" s="435">
        <f t="shared" si="11"/>
        <v>0.39400000000000002</v>
      </c>
    </row>
    <row r="55" spans="1:15" ht="15">
      <c r="A55" s="650"/>
      <c r="B55" s="638"/>
      <c r="C55" s="13" t="s">
        <v>916</v>
      </c>
      <c r="D55" s="13">
        <v>107</v>
      </c>
      <c r="E55" s="637"/>
      <c r="F55" s="13" t="s">
        <v>10</v>
      </c>
      <c r="G55" s="28">
        <v>28.50</v>
      </c>
      <c r="H55" s="440">
        <v>10</v>
      </c>
      <c r="I55" s="28">
        <v>1</v>
      </c>
      <c r="J55" s="453">
        <f t="shared" si="8"/>
        <v>0.35087719298245612</v>
      </c>
      <c r="K55" s="436">
        <f>(985)/1000+0.1</f>
        <v>1.085</v>
      </c>
      <c r="L55" s="267">
        <f t="shared" si="9"/>
        <v>0.38070175438596487</v>
      </c>
      <c r="M55" s="433">
        <f t="shared" si="10"/>
        <v>76.140350877192972</v>
      </c>
      <c r="N55" s="434">
        <v>200</v>
      </c>
      <c r="O55" s="435">
        <f t="shared" si="11"/>
        <v>0.38070175438596487</v>
      </c>
    </row>
    <row r="56" spans="1:15" s="0" customFormat="1" ht="15">
      <c r="A56" s="57" t="s">
        <v>348</v>
      </c>
      <c r="B56" s="56" t="s">
        <v>1007</v>
      </c>
      <c r="C56" s="17" t="s">
        <v>523</v>
      </c>
      <c r="D56" s="17">
        <v>224</v>
      </c>
      <c r="E56" s="13"/>
      <c r="F56" s="17"/>
      <c r="G56" s="16">
        <v>60</v>
      </c>
      <c r="H56" s="252">
        <v>10</v>
      </c>
      <c r="I56" s="16">
        <v>1</v>
      </c>
      <c r="J56" s="253">
        <f t="shared" si="8"/>
        <v>0.16666666666666666</v>
      </c>
      <c r="K56" s="52">
        <v>3</v>
      </c>
      <c r="L56" s="8">
        <f t="shared" si="9"/>
        <v>0.50</v>
      </c>
      <c r="M56" s="42">
        <f t="shared" si="10"/>
        <v>100</v>
      </c>
      <c r="N56" s="43">
        <v>200</v>
      </c>
      <c r="O56" s="8">
        <f t="shared" si="11"/>
        <v>0.50</v>
      </c>
    </row>
    <row r="57" spans="1:15" ht="15">
      <c r="A57" s="57" t="s">
        <v>325</v>
      </c>
      <c r="B57" s="56" t="s">
        <v>327</v>
      </c>
      <c r="C57" s="13" t="s">
        <v>326</v>
      </c>
      <c r="D57" s="13">
        <v>112</v>
      </c>
      <c r="E57" s="13"/>
      <c r="F57" s="13" t="s">
        <v>513</v>
      </c>
      <c r="G57" s="28">
        <v>17.50</v>
      </c>
      <c r="H57" s="440">
        <v>10</v>
      </c>
      <c r="I57" s="28">
        <v>2</v>
      </c>
      <c r="J57" s="441">
        <f t="shared" si="8"/>
        <v>1.1428571428571428</v>
      </c>
      <c r="K57" s="432">
        <v>1</v>
      </c>
      <c r="L57" s="435">
        <f t="shared" si="9"/>
        <v>1.1428571428571428</v>
      </c>
      <c r="M57" s="266">
        <f t="shared" si="10"/>
        <v>228.57142857142856</v>
      </c>
      <c r="N57" s="433">
        <v>200</v>
      </c>
      <c r="O57" s="435">
        <f t="shared" si="11"/>
        <v>0.5714285714285714</v>
      </c>
    </row>
    <row r="58" spans="1:15" s="0" customFormat="1" ht="15">
      <c r="A58" s="637" t="s">
        <v>197</v>
      </c>
      <c r="B58" s="638" t="s">
        <v>110</v>
      </c>
      <c r="C58" s="13" t="s">
        <v>47</v>
      </c>
      <c r="D58" s="13">
        <v>112</v>
      </c>
      <c r="E58" s="13"/>
      <c r="F58" s="25" t="s">
        <v>111</v>
      </c>
      <c r="G58" s="16">
        <v>20</v>
      </c>
      <c r="H58" s="252">
        <v>10</v>
      </c>
      <c r="I58" s="16">
        <v>2</v>
      </c>
      <c r="J58" s="253">
        <f t="shared" si="8"/>
        <v>1</v>
      </c>
      <c r="K58" s="16">
        <v>1</v>
      </c>
      <c r="L58" s="26">
        <f t="shared" si="9"/>
        <v>1</v>
      </c>
      <c r="M58" s="43">
        <f t="shared" si="10"/>
        <v>200</v>
      </c>
      <c r="N58" s="46">
        <v>200</v>
      </c>
      <c r="O58" s="8">
        <f t="shared" si="11"/>
        <v>0.50</v>
      </c>
    </row>
    <row r="59" spans="1:15" s="0" customFormat="1" ht="30">
      <c r="A59" s="637"/>
      <c r="B59" s="638"/>
      <c r="C59" s="13" t="s">
        <v>48</v>
      </c>
      <c r="D59" s="13">
        <v>112</v>
      </c>
      <c r="E59" s="4" t="s">
        <v>520</v>
      </c>
      <c r="F59" s="17" t="s">
        <v>10</v>
      </c>
      <c r="G59" s="16">
        <v>40</v>
      </c>
      <c r="H59" s="252">
        <v>10</v>
      </c>
      <c r="I59" s="16">
        <v>1</v>
      </c>
      <c r="J59" s="253">
        <f t="shared" si="8"/>
        <v>0.25</v>
      </c>
      <c r="K59" s="30">
        <f>((1280*2+147)+(1238)+(619))/1000</f>
        <v>4.5640000000000001</v>
      </c>
      <c r="L59" s="26">
        <f t="shared" si="9"/>
        <v>1.141</v>
      </c>
      <c r="M59" s="43">
        <f t="shared" si="10"/>
        <v>228.20</v>
      </c>
      <c r="N59" s="46">
        <v>200</v>
      </c>
      <c r="O59" s="8">
        <f t="shared" si="11"/>
        <v>1.141</v>
      </c>
    </row>
    <row r="60" spans="1:15" ht="15">
      <c r="A60" s="13" t="s">
        <v>888</v>
      </c>
      <c r="B60" s="56" t="s">
        <v>1400</v>
      </c>
      <c r="C60" s="13" t="s">
        <v>862</v>
      </c>
      <c r="D60" s="13">
        <v>224</v>
      </c>
      <c r="E60" s="13"/>
      <c r="F60" s="17"/>
      <c r="G60" s="28">
        <f>(600-25)/10</f>
        <v>57.50</v>
      </c>
      <c r="H60" s="440">
        <v>10</v>
      </c>
      <c r="I60" s="28">
        <v>2</v>
      </c>
      <c r="J60" s="441">
        <f t="shared" si="8"/>
        <v>0.34782608695652173</v>
      </c>
      <c r="K60" s="28">
        <v>1</v>
      </c>
      <c r="L60" s="267">
        <f t="shared" si="9"/>
        <v>0.34782608695652173</v>
      </c>
      <c r="M60" s="433">
        <f t="shared" si="10"/>
        <v>69.565217391304344</v>
      </c>
      <c r="N60" s="434">
        <v>200</v>
      </c>
      <c r="O60" s="435">
        <f t="shared" si="11"/>
        <v>0.17391304347826086</v>
      </c>
    </row>
    <row r="61" spans="1:15" ht="15">
      <c r="A61" s="13" t="s">
        <v>199</v>
      </c>
      <c r="B61" s="27" t="s">
        <v>890</v>
      </c>
      <c r="C61" s="13" t="s">
        <v>47</v>
      </c>
      <c r="D61" s="13">
        <v>112</v>
      </c>
      <c r="E61" s="13"/>
      <c r="F61" s="4" t="s">
        <v>870</v>
      </c>
      <c r="G61" s="28">
        <v>13.50</v>
      </c>
      <c r="H61" s="440">
        <v>10</v>
      </c>
      <c r="I61" s="28">
        <v>2</v>
      </c>
      <c r="J61" s="441">
        <f t="shared" si="8"/>
        <v>1.4814814814814814</v>
      </c>
      <c r="K61" s="28">
        <v>1</v>
      </c>
      <c r="L61" s="267">
        <f t="shared" si="9"/>
        <v>1.4814814814814814</v>
      </c>
      <c r="M61" s="433">
        <f t="shared" si="10"/>
        <v>296.2962962962963</v>
      </c>
      <c r="N61" s="434">
        <v>200</v>
      </c>
      <c r="O61" s="435">
        <f t="shared" si="11"/>
        <v>0.7407407407407407</v>
      </c>
    </row>
    <row r="62" spans="1:15" ht="15">
      <c r="A62" s="39"/>
      <c r="B62" s="649" t="s">
        <v>132</v>
      </c>
      <c r="C62" s="649"/>
      <c r="D62" s="649"/>
      <c r="E62" s="649"/>
      <c r="F62" s="649"/>
      <c r="G62" s="649"/>
      <c r="H62" s="649"/>
      <c r="I62" s="649"/>
      <c r="J62" s="649"/>
      <c r="K62" s="649"/>
      <c r="L62" s="267"/>
      <c r="M62" s="262">
        <f>SUM(M63:M74)</f>
        <v>5045.0767279233214</v>
      </c>
      <c r="N62" s="263"/>
      <c r="O62" s="264">
        <f>SUM(O63:O74)</f>
        <v>18.464339466985585</v>
      </c>
    </row>
    <row r="63" spans="1:15" ht="15">
      <c r="A63" s="650" t="s">
        <v>200</v>
      </c>
      <c r="B63" s="638" t="s">
        <v>871</v>
      </c>
      <c r="C63" s="13" t="s">
        <v>924</v>
      </c>
      <c r="D63" s="13">
        <v>224</v>
      </c>
      <c r="E63" s="13"/>
      <c r="F63" s="13" t="s">
        <v>353</v>
      </c>
      <c r="G63" s="442">
        <f>600/10</f>
        <v>60</v>
      </c>
      <c r="H63" s="440">
        <v>10</v>
      </c>
      <c r="I63" s="28">
        <v>1</v>
      </c>
      <c r="J63" s="441">
        <f t="shared" si="12" ref="J63:J74">H63/G63*I63</f>
        <v>0.16666666666666666</v>
      </c>
      <c r="K63" s="432">
        <v>2</v>
      </c>
      <c r="L63" s="435">
        <f t="shared" si="13" ref="L63:L66">J63*K63</f>
        <v>0.33333333333333331</v>
      </c>
      <c r="M63" s="266">
        <f t="shared" si="14" ref="M63:M74">L63*N63</f>
        <v>66.666666666666657</v>
      </c>
      <c r="N63" s="433">
        <v>200</v>
      </c>
      <c r="O63" s="435">
        <f t="shared" si="15" ref="O63:O74">J63/I63*K63</f>
        <v>0.33333333333333331</v>
      </c>
    </row>
    <row r="64" spans="1:15" ht="15">
      <c r="A64" s="650"/>
      <c r="B64" s="638"/>
      <c r="C64" s="13" t="s">
        <v>874</v>
      </c>
      <c r="D64" s="13">
        <v>224</v>
      </c>
      <c r="E64" s="13"/>
      <c r="F64" s="13" t="s">
        <v>353</v>
      </c>
      <c r="G64" s="442">
        <v>120</v>
      </c>
      <c r="H64" s="440">
        <v>10</v>
      </c>
      <c r="I64" s="28">
        <v>1</v>
      </c>
      <c r="J64" s="441">
        <f t="shared" si="12"/>
        <v>0.083333333333333329</v>
      </c>
      <c r="K64" s="432">
        <v>2</v>
      </c>
      <c r="L64" s="435">
        <f t="shared" si="13"/>
        <v>0.16666666666666666</v>
      </c>
      <c r="M64" s="266">
        <f t="shared" si="14"/>
        <v>33.333333333333329</v>
      </c>
      <c r="N64" s="433">
        <v>200</v>
      </c>
      <c r="O64" s="435">
        <f t="shared" si="15"/>
        <v>0.16666666666666666</v>
      </c>
    </row>
    <row r="65" spans="1:15" ht="15">
      <c r="A65" s="650"/>
      <c r="B65" s="638"/>
      <c r="C65" s="13" t="s">
        <v>873</v>
      </c>
      <c r="D65" s="13">
        <v>224</v>
      </c>
      <c r="E65" s="13"/>
      <c r="F65" s="13" t="s">
        <v>353</v>
      </c>
      <c r="G65" s="442">
        <f>600/5</f>
        <v>120</v>
      </c>
      <c r="H65" s="440">
        <v>10</v>
      </c>
      <c r="I65" s="28">
        <v>1</v>
      </c>
      <c r="J65" s="441">
        <f t="shared" si="12"/>
        <v>0.083333333333333329</v>
      </c>
      <c r="K65" s="432">
        <v>2</v>
      </c>
      <c r="L65" s="435">
        <f t="shared" si="13"/>
        <v>0.16666666666666666</v>
      </c>
      <c r="M65" s="266">
        <f t="shared" si="14"/>
        <v>33.333333333333329</v>
      </c>
      <c r="N65" s="433">
        <v>200</v>
      </c>
      <c r="O65" s="435">
        <f t="shared" si="15"/>
        <v>0.16666666666666666</v>
      </c>
    </row>
    <row r="66" spans="1:15" ht="15">
      <c r="A66" s="57" t="s">
        <v>662</v>
      </c>
      <c r="B66" s="56" t="s">
        <v>925</v>
      </c>
      <c r="C66" s="13" t="s">
        <v>862</v>
      </c>
      <c r="D66" s="13">
        <v>224</v>
      </c>
      <c r="E66" s="13"/>
      <c r="F66" s="17"/>
      <c r="G66" s="442">
        <f>(600-25)/10</f>
        <v>57.50</v>
      </c>
      <c r="H66" s="440">
        <v>10</v>
      </c>
      <c r="I66" s="28">
        <v>2</v>
      </c>
      <c r="J66" s="441">
        <f t="shared" si="12"/>
        <v>0.34782608695652173</v>
      </c>
      <c r="K66" s="28">
        <v>1</v>
      </c>
      <c r="L66" s="267">
        <f t="shared" si="13"/>
        <v>0.34782608695652173</v>
      </c>
      <c r="M66" s="433">
        <f t="shared" si="14"/>
        <v>69.565217391304344</v>
      </c>
      <c r="N66" s="434">
        <v>200</v>
      </c>
      <c r="O66" s="435">
        <f t="shared" si="15"/>
        <v>0.17391304347826086</v>
      </c>
    </row>
    <row r="67" spans="1:15" ht="15">
      <c r="A67" s="13" t="s">
        <v>205</v>
      </c>
      <c r="B67" s="27" t="s">
        <v>875</v>
      </c>
      <c r="C67" s="13" t="s">
        <v>138</v>
      </c>
      <c r="D67" s="13">
        <v>117</v>
      </c>
      <c r="E67" s="13"/>
      <c r="F67" s="4" t="s">
        <v>13</v>
      </c>
      <c r="G67" s="442">
        <f>1.739*1.4</f>
        <v>2.4345999999999997</v>
      </c>
      <c r="H67" s="440">
        <v>10</v>
      </c>
      <c r="I67" s="28">
        <v>2</v>
      </c>
      <c r="J67" s="441">
        <f t="shared" si="12"/>
        <v>8.2149018319231093</v>
      </c>
      <c r="K67" s="28">
        <v>1</v>
      </c>
      <c r="L67" s="267">
        <f>J67*K67</f>
        <v>8.2149018319231093</v>
      </c>
      <c r="M67" s="433">
        <f t="shared" si="14"/>
        <v>1642.9803663846219</v>
      </c>
      <c r="N67" s="434">
        <v>200</v>
      </c>
      <c r="O67" s="435">
        <f t="shared" si="15"/>
        <v>4.1074509159615546</v>
      </c>
    </row>
    <row r="68" spans="1:15" ht="15">
      <c r="A68" s="13" t="s">
        <v>877</v>
      </c>
      <c r="B68" s="27" t="s">
        <v>876</v>
      </c>
      <c r="C68" s="13" t="s">
        <v>160</v>
      </c>
      <c r="D68" s="13">
        <v>117</v>
      </c>
      <c r="E68" s="13"/>
      <c r="F68" s="4" t="s">
        <v>13</v>
      </c>
      <c r="G68" s="442">
        <v>40</v>
      </c>
      <c r="H68" s="440">
        <v>10</v>
      </c>
      <c r="I68" s="28">
        <v>1</v>
      </c>
      <c r="J68" s="441">
        <f t="shared" si="12"/>
        <v>0.25</v>
      </c>
      <c r="K68" s="442">
        <f>(2936+2629+2592+763+16*3.1415*8+219*3.1415+25*3)/1000</f>
        <v>10.085100499999999</v>
      </c>
      <c r="L68" s="267">
        <f>J68*K68</f>
        <v>2.5212751249999998</v>
      </c>
      <c r="M68" s="433">
        <f t="shared" si="14"/>
        <v>504.25502499999999</v>
      </c>
      <c r="N68" s="434">
        <v>200</v>
      </c>
      <c r="O68" s="435">
        <f t="shared" si="15"/>
        <v>2.5212751249999998</v>
      </c>
    </row>
    <row r="69" spans="1:15" ht="15">
      <c r="A69" s="13" t="s">
        <v>206</v>
      </c>
      <c r="B69" s="27" t="s">
        <v>94</v>
      </c>
      <c r="C69" s="13" t="s">
        <v>160</v>
      </c>
      <c r="D69" s="13">
        <v>114</v>
      </c>
      <c r="E69" s="13"/>
      <c r="F69" s="4" t="s">
        <v>13</v>
      </c>
      <c r="G69" s="442">
        <v>40</v>
      </c>
      <c r="H69" s="440">
        <v>10</v>
      </c>
      <c r="I69" s="28">
        <v>1</v>
      </c>
      <c r="J69" s="441">
        <f t="shared" si="12"/>
        <v>0.25</v>
      </c>
      <c r="K69" s="442">
        <f>(2936*2+120*3+16*3.1415*8+219*3.1415+2629+2773+2810+19*3.1415*2+23*3.1415*2+2592)/1000</f>
        <v>18.389986499999999</v>
      </c>
      <c r="L69" s="267">
        <f>J69*K69</f>
        <v>4.5974966249999998</v>
      </c>
      <c r="M69" s="433">
        <f t="shared" si="14"/>
        <v>919.499325</v>
      </c>
      <c r="N69" s="434">
        <v>200</v>
      </c>
      <c r="O69" s="435">
        <f t="shared" si="15"/>
        <v>4.5974966249999998</v>
      </c>
    </row>
    <row r="70" spans="1:15" ht="15">
      <c r="A70" s="13" t="s">
        <v>207</v>
      </c>
      <c r="B70" s="56" t="s">
        <v>55</v>
      </c>
      <c r="C70" s="13" t="s">
        <v>29</v>
      </c>
      <c r="D70" s="13">
        <v>120</v>
      </c>
      <c r="E70" s="13"/>
      <c r="F70" s="13" t="s">
        <v>13</v>
      </c>
      <c r="G70" s="31">
        <v>15.80</v>
      </c>
      <c r="H70" s="440">
        <v>10</v>
      </c>
      <c r="I70" s="28">
        <v>1</v>
      </c>
      <c r="J70" s="441">
        <f t="shared" si="12"/>
        <v>0.63291139240506322</v>
      </c>
      <c r="K70" s="28">
        <v>1</v>
      </c>
      <c r="L70" s="267">
        <f t="shared" si="16" ref="L70:L73">J70*K70</f>
        <v>0.63291139240506322</v>
      </c>
      <c r="M70" s="433">
        <f t="shared" si="14"/>
        <v>111.39240506329112</v>
      </c>
      <c r="N70" s="434">
        <v>176</v>
      </c>
      <c r="O70" s="435">
        <f t="shared" si="15"/>
        <v>0.63291139240506322</v>
      </c>
    </row>
    <row r="71" spans="1:15" ht="15">
      <c r="A71" s="13" t="s">
        <v>208</v>
      </c>
      <c r="B71" s="56" t="s">
        <v>56</v>
      </c>
      <c r="C71" s="13" t="s">
        <v>29</v>
      </c>
      <c r="D71" s="13">
        <v>120</v>
      </c>
      <c r="E71" s="13"/>
      <c r="F71" s="13" t="s">
        <v>13</v>
      </c>
      <c r="G71" s="31">
        <v>15.80</v>
      </c>
      <c r="H71" s="440">
        <v>10</v>
      </c>
      <c r="I71" s="28">
        <v>1</v>
      </c>
      <c r="J71" s="441">
        <f t="shared" si="12"/>
        <v>0.63291139240506322</v>
      </c>
      <c r="K71" s="28">
        <v>1</v>
      </c>
      <c r="L71" s="267">
        <f t="shared" si="16"/>
        <v>0.63291139240506322</v>
      </c>
      <c r="M71" s="433">
        <f t="shared" si="14"/>
        <v>111.39240506329112</v>
      </c>
      <c r="N71" s="434">
        <v>176</v>
      </c>
      <c r="O71" s="435">
        <f t="shared" si="15"/>
        <v>0.63291139240506322</v>
      </c>
    </row>
    <row r="72" spans="1:16" ht="30">
      <c r="A72" s="13" t="s">
        <v>209</v>
      </c>
      <c r="B72" s="27" t="s">
        <v>892</v>
      </c>
      <c r="C72" s="13" t="s">
        <v>14</v>
      </c>
      <c r="D72" s="13">
        <v>119</v>
      </c>
      <c r="E72" s="13"/>
      <c r="F72" s="13" t="s">
        <v>58</v>
      </c>
      <c r="G72" s="16">
        <v>61</v>
      </c>
      <c r="H72" s="440">
        <v>10</v>
      </c>
      <c r="I72" s="28">
        <v>1</v>
      </c>
      <c r="J72" s="441">
        <f t="shared" si="12"/>
        <v>0.16393442622950818</v>
      </c>
      <c r="K72" s="28">
        <v>1.26</v>
      </c>
      <c r="L72" s="267">
        <f t="shared" si="16"/>
        <v>0.20655737704918031</v>
      </c>
      <c r="M72" s="433">
        <f t="shared" si="14"/>
        <v>41.311475409836063</v>
      </c>
      <c r="N72" s="434">
        <v>200</v>
      </c>
      <c r="O72" s="435">
        <f t="shared" si="15"/>
        <v>0.20655737704918031</v>
      </c>
      <c r="P72" s="22"/>
    </row>
    <row r="73" spans="1:16" ht="30">
      <c r="A73" s="13" t="s">
        <v>210</v>
      </c>
      <c r="B73" s="27" t="s">
        <v>114</v>
      </c>
      <c r="C73" s="13" t="s">
        <v>54</v>
      </c>
      <c r="D73" s="13">
        <v>116</v>
      </c>
      <c r="E73" s="13"/>
      <c r="F73" s="13" t="s">
        <v>13</v>
      </c>
      <c r="G73" s="469">
        <v>3.80</v>
      </c>
      <c r="H73" s="440">
        <v>10</v>
      </c>
      <c r="I73" s="28">
        <v>2</v>
      </c>
      <c r="J73" s="441">
        <f t="shared" si="12"/>
        <v>5.2631578947368425</v>
      </c>
      <c r="K73" s="28">
        <v>1</v>
      </c>
      <c r="L73" s="267">
        <f t="shared" si="16"/>
        <v>5.2631578947368425</v>
      </c>
      <c r="M73" s="433">
        <f t="shared" si="14"/>
        <v>1052.6315789473686</v>
      </c>
      <c r="N73" s="434">
        <v>200</v>
      </c>
      <c r="O73" s="435">
        <f t="shared" si="15"/>
        <v>2.6315789473684212</v>
      </c>
      <c r="P73" s="22"/>
    </row>
    <row r="74" spans="1:15" ht="30">
      <c r="A74" s="13" t="s">
        <v>211</v>
      </c>
      <c r="B74" s="56" t="s">
        <v>60</v>
      </c>
      <c r="C74" s="13" t="s">
        <v>14</v>
      </c>
      <c r="D74" s="13">
        <v>226</v>
      </c>
      <c r="E74" s="13"/>
      <c r="F74" s="4" t="s">
        <v>58</v>
      </c>
      <c r="G74" s="470">
        <v>4.3600000000000003</v>
      </c>
      <c r="H74" s="440">
        <v>10</v>
      </c>
      <c r="I74" s="28">
        <v>1</v>
      </c>
      <c r="J74" s="441">
        <f t="shared" si="12"/>
        <v>2.2935779816513762</v>
      </c>
      <c r="K74" s="28">
        <v>1</v>
      </c>
      <c r="L74" s="267">
        <f>J74*K74</f>
        <v>2.2935779816513762</v>
      </c>
      <c r="M74" s="433">
        <f t="shared" si="14"/>
        <v>458.71559633027522</v>
      </c>
      <c r="N74" s="434">
        <v>200</v>
      </c>
      <c r="O74" s="435">
        <f t="shared" si="15"/>
        <v>2.2935779816513762</v>
      </c>
    </row>
    <row r="75" spans="1:15" ht="15">
      <c r="A75" s="39"/>
      <c r="B75" s="649" t="s">
        <v>140</v>
      </c>
      <c r="C75" s="649"/>
      <c r="D75" s="649"/>
      <c r="E75" s="649"/>
      <c r="F75" s="649"/>
      <c r="G75" s="649"/>
      <c r="H75" s="649"/>
      <c r="I75" s="649"/>
      <c r="J75" s="649"/>
      <c r="K75" s="649"/>
      <c r="L75" s="267"/>
      <c r="M75" s="262">
        <f>SUM(M76:M81)</f>
        <v>2053.0449322084246</v>
      </c>
      <c r="N75" s="263"/>
      <c r="O75" s="264">
        <f>SUM(O76:O81)</f>
        <v>6.7163116175638615</v>
      </c>
    </row>
    <row r="76" spans="1:15" ht="15">
      <c r="A76" s="57" t="s">
        <v>893</v>
      </c>
      <c r="B76" s="27" t="s">
        <v>881</v>
      </c>
      <c r="C76" s="13" t="s">
        <v>880</v>
      </c>
      <c r="D76" s="13">
        <v>224</v>
      </c>
      <c r="E76" s="13"/>
      <c r="F76" s="13" t="s">
        <v>353</v>
      </c>
      <c r="G76" s="436">
        <f>600/20</f>
        <v>30</v>
      </c>
      <c r="H76" s="440">
        <v>10</v>
      </c>
      <c r="I76" s="28">
        <v>1</v>
      </c>
      <c r="J76" s="441">
        <f t="shared" si="17" ref="J76:J81">H76/G76*I76</f>
        <v>0.33333333333333331</v>
      </c>
      <c r="K76" s="432">
        <v>1</v>
      </c>
      <c r="L76" s="435">
        <f t="shared" si="18" ref="L76:L81">J76*K76</f>
        <v>0.33333333333333331</v>
      </c>
      <c r="M76" s="266">
        <f t="shared" si="19" ref="M76:M81">L76*N76</f>
        <v>66.666666666666657</v>
      </c>
      <c r="N76" s="433">
        <v>200</v>
      </c>
      <c r="O76" s="435">
        <f t="shared" si="20" ref="O76:O81">J76/I76*K76</f>
        <v>0.33333333333333331</v>
      </c>
    </row>
    <row r="77" spans="1:15" ht="15">
      <c r="A77" s="57" t="s">
        <v>212</v>
      </c>
      <c r="B77" s="56" t="s">
        <v>926</v>
      </c>
      <c r="C77" s="13" t="s">
        <v>862</v>
      </c>
      <c r="D77" s="13">
        <v>224</v>
      </c>
      <c r="E77" s="13"/>
      <c r="F77" s="17"/>
      <c r="G77" s="28">
        <f>(600-25)/10</f>
        <v>57.50</v>
      </c>
      <c r="H77" s="440">
        <v>10</v>
      </c>
      <c r="I77" s="28">
        <v>2</v>
      </c>
      <c r="J77" s="441">
        <f t="shared" si="17"/>
        <v>0.34782608695652173</v>
      </c>
      <c r="K77" s="28">
        <v>1</v>
      </c>
      <c r="L77" s="267">
        <f t="shared" si="18"/>
        <v>0.34782608695652173</v>
      </c>
      <c r="M77" s="433">
        <f t="shared" si="19"/>
        <v>69.565217391304344</v>
      </c>
      <c r="N77" s="434">
        <v>200</v>
      </c>
      <c r="O77" s="435">
        <f t="shared" si="20"/>
        <v>0.17391304347826086</v>
      </c>
    </row>
    <row r="78" spans="1:15" ht="15">
      <c r="A78" s="57" t="s">
        <v>878</v>
      </c>
      <c r="B78" s="27" t="s">
        <v>882</v>
      </c>
      <c r="C78" s="13" t="s">
        <v>917</v>
      </c>
      <c r="D78" s="13">
        <v>117</v>
      </c>
      <c r="E78" s="13"/>
      <c r="F78" s="13" t="s">
        <v>353</v>
      </c>
      <c r="G78" s="28">
        <v>55.40</v>
      </c>
      <c r="H78" s="440">
        <v>10</v>
      </c>
      <c r="I78" s="28">
        <v>1</v>
      </c>
      <c r="J78" s="441">
        <f t="shared" si="17"/>
        <v>0.18050541516245489</v>
      </c>
      <c r="K78" s="432">
        <v>1</v>
      </c>
      <c r="L78" s="435">
        <f t="shared" si="18"/>
        <v>0.18050541516245489</v>
      </c>
      <c r="M78" s="266">
        <f t="shared" si="19"/>
        <v>36.101083032490976</v>
      </c>
      <c r="N78" s="433">
        <v>200</v>
      </c>
      <c r="O78" s="435">
        <f t="shared" si="20"/>
        <v>0.18050541516245489</v>
      </c>
    </row>
    <row r="79" spans="1:15" ht="15">
      <c r="A79" s="57" t="s">
        <v>214</v>
      </c>
      <c r="B79" s="56" t="s">
        <v>883</v>
      </c>
      <c r="C79" s="13" t="s">
        <v>33</v>
      </c>
      <c r="D79" s="13">
        <v>118</v>
      </c>
      <c r="E79" s="13"/>
      <c r="F79" s="13" t="s">
        <v>510</v>
      </c>
      <c r="G79" s="28">
        <v>40</v>
      </c>
      <c r="H79" s="440">
        <v>10</v>
      </c>
      <c r="I79" s="28">
        <v>2</v>
      </c>
      <c r="J79" s="441">
        <f t="shared" si="17"/>
        <v>0.50</v>
      </c>
      <c r="K79" s="432">
        <v>2</v>
      </c>
      <c r="L79" s="267">
        <f t="shared" si="18"/>
        <v>1</v>
      </c>
      <c r="M79" s="433">
        <f t="shared" si="19"/>
        <v>200</v>
      </c>
      <c r="N79" s="434">
        <v>200</v>
      </c>
      <c r="O79" s="435">
        <f t="shared" si="20"/>
        <v>0.50</v>
      </c>
    </row>
    <row r="80" spans="1:15" ht="15">
      <c r="A80" s="13" t="s">
        <v>219</v>
      </c>
      <c r="B80" s="56" t="s">
        <v>91</v>
      </c>
      <c r="C80" s="13" t="s">
        <v>54</v>
      </c>
      <c r="D80" s="13">
        <v>118</v>
      </c>
      <c r="E80" s="13"/>
      <c r="F80" s="4" t="s">
        <v>59</v>
      </c>
      <c r="G80" s="30">
        <v>3.4782608695652173</v>
      </c>
      <c r="H80" s="440">
        <v>10</v>
      </c>
      <c r="I80" s="28">
        <v>2</v>
      </c>
      <c r="J80" s="441">
        <f t="shared" si="17"/>
        <v>5.75</v>
      </c>
      <c r="K80" s="432">
        <v>1</v>
      </c>
      <c r="L80" s="267">
        <f t="shared" si="18"/>
        <v>5.75</v>
      </c>
      <c r="M80" s="433">
        <f t="shared" si="19"/>
        <v>1150</v>
      </c>
      <c r="N80" s="434">
        <v>200</v>
      </c>
      <c r="O80" s="435">
        <f t="shared" si="20"/>
        <v>2.875</v>
      </c>
    </row>
    <row r="81" spans="1:15" ht="15">
      <c r="A81" s="13" t="s">
        <v>220</v>
      </c>
      <c r="B81" s="56" t="s">
        <v>92</v>
      </c>
      <c r="C81" s="13" t="s">
        <v>54</v>
      </c>
      <c r="D81" s="13">
        <v>118</v>
      </c>
      <c r="E81" s="13"/>
      <c r="F81" s="4" t="s">
        <v>59</v>
      </c>
      <c r="G81" s="30">
        <v>3.768522534733989</v>
      </c>
      <c r="H81" s="440">
        <v>10</v>
      </c>
      <c r="I81" s="28">
        <v>1</v>
      </c>
      <c r="J81" s="441">
        <f t="shared" si="17"/>
        <v>2.6535598255898121</v>
      </c>
      <c r="K81" s="432">
        <v>1</v>
      </c>
      <c r="L81" s="267">
        <f t="shared" si="18"/>
        <v>2.6535598255898121</v>
      </c>
      <c r="M81" s="433">
        <f t="shared" si="19"/>
        <v>530.71196511796245</v>
      </c>
      <c r="N81" s="434">
        <v>200</v>
      </c>
      <c r="O81" s="435">
        <f t="shared" si="20"/>
        <v>2.6535598255898121</v>
      </c>
    </row>
    <row r="82" spans="1:15" ht="15">
      <c r="A82" s="39"/>
      <c r="B82" s="649" t="s">
        <v>135</v>
      </c>
      <c r="C82" s="649"/>
      <c r="D82" s="649"/>
      <c r="E82" s="649"/>
      <c r="F82" s="649"/>
      <c r="G82" s="649"/>
      <c r="H82" s="649"/>
      <c r="I82" s="649"/>
      <c r="J82" s="649"/>
      <c r="K82" s="649"/>
      <c r="L82" s="435"/>
      <c r="M82" s="262">
        <f>SUM(M83:M85)</f>
        <v>542.1416234887738</v>
      </c>
      <c r="N82" s="263"/>
      <c r="O82" s="264">
        <f>SUM(O83:O85)</f>
        <v>1.4607081174438687</v>
      </c>
    </row>
    <row r="83" spans="1:15" ht="15">
      <c r="A83" s="13" t="s">
        <v>136</v>
      </c>
      <c r="B83" s="56" t="s">
        <v>137</v>
      </c>
      <c r="C83" s="13" t="s">
        <v>138</v>
      </c>
      <c r="D83" s="13">
        <v>117</v>
      </c>
      <c r="E83" s="13"/>
      <c r="F83" s="4" t="s">
        <v>139</v>
      </c>
      <c r="G83" s="28">
        <v>10</v>
      </c>
      <c r="H83" s="440">
        <v>10</v>
      </c>
      <c r="I83" s="28">
        <v>2</v>
      </c>
      <c r="J83" s="441">
        <f>H83/G83*I83</f>
        <v>2</v>
      </c>
      <c r="K83" s="28">
        <v>1</v>
      </c>
      <c r="L83" s="435">
        <f t="shared" si="21" ref="L83:L85">J83*K83</f>
        <v>2</v>
      </c>
      <c r="M83" s="266">
        <f>L83*N83</f>
        <v>400</v>
      </c>
      <c r="N83" s="433">
        <v>200</v>
      </c>
      <c r="O83" s="435">
        <f>J83/I83*K83</f>
        <v>1</v>
      </c>
    </row>
    <row r="84" spans="1:15" ht="15">
      <c r="A84" s="13" t="s">
        <v>346</v>
      </c>
      <c r="B84" s="56" t="s">
        <v>347</v>
      </c>
      <c r="C84" s="13" t="s">
        <v>14</v>
      </c>
      <c r="D84" s="13">
        <v>226</v>
      </c>
      <c r="E84" s="13"/>
      <c r="F84" s="13" t="s">
        <v>58</v>
      </c>
      <c r="G84" s="28">
        <v>23.16</v>
      </c>
      <c r="H84" s="440">
        <v>10</v>
      </c>
      <c r="I84" s="28">
        <v>1</v>
      </c>
      <c r="J84" s="441">
        <f>H84/G84*I84</f>
        <v>0.43177892918825561</v>
      </c>
      <c r="K84" s="28">
        <f>0.122*4</f>
        <v>0.48799999999999999</v>
      </c>
      <c r="L84" s="435">
        <f t="shared" si="21"/>
        <v>0.21070811744386872</v>
      </c>
      <c r="M84" s="266">
        <f>L84*N84</f>
        <v>42.141623488773746</v>
      </c>
      <c r="N84" s="433">
        <v>200</v>
      </c>
      <c r="O84" s="435">
        <f>J84/I84*K84</f>
        <v>0.21070811744386872</v>
      </c>
    </row>
    <row r="85" spans="1:15" ht="15">
      <c r="A85" s="13" t="s">
        <v>344</v>
      </c>
      <c r="B85" s="56" t="s">
        <v>345</v>
      </c>
      <c r="C85" s="13" t="s">
        <v>24</v>
      </c>
      <c r="D85" s="13">
        <v>219</v>
      </c>
      <c r="E85" s="13"/>
      <c r="F85" s="4" t="s">
        <v>139</v>
      </c>
      <c r="G85" s="28">
        <v>40</v>
      </c>
      <c r="H85" s="440">
        <v>10</v>
      </c>
      <c r="I85" s="28">
        <v>2</v>
      </c>
      <c r="J85" s="441">
        <f>H85/G85*I85</f>
        <v>0.50</v>
      </c>
      <c r="K85" s="28">
        <v>1</v>
      </c>
      <c r="L85" s="435">
        <f t="shared" si="21"/>
        <v>0.50</v>
      </c>
      <c r="M85" s="266">
        <f>L85*N85</f>
        <v>100</v>
      </c>
      <c r="N85" s="433">
        <v>200</v>
      </c>
      <c r="O85" s="435">
        <f>J85/I85*K85</f>
        <v>0.25</v>
      </c>
    </row>
    <row r="86" spans="1:15" ht="15">
      <c r="A86" s="39"/>
      <c r="B86" s="649" t="s">
        <v>133</v>
      </c>
      <c r="C86" s="649"/>
      <c r="D86" s="649"/>
      <c r="E86" s="649"/>
      <c r="F86" s="649"/>
      <c r="G86" s="649"/>
      <c r="H86" s="649"/>
      <c r="I86" s="649"/>
      <c r="J86" s="649"/>
      <c r="K86" s="649"/>
      <c r="L86" s="267"/>
      <c r="M86" s="262">
        <f>SUM(M87:M132)</f>
        <v>13053.671407121341</v>
      </c>
      <c r="N86" s="263"/>
      <c r="O86" s="264">
        <f>SUM(O87:O132)</f>
        <v>40.714993812689301</v>
      </c>
    </row>
    <row r="87" spans="1:15" ht="15">
      <c r="A87" s="13" t="s">
        <v>221</v>
      </c>
      <c r="B87" s="56" t="s">
        <v>715</v>
      </c>
      <c r="C87" s="13" t="s">
        <v>24</v>
      </c>
      <c r="D87" s="13">
        <v>112</v>
      </c>
      <c r="E87" s="13"/>
      <c r="F87" s="13" t="s">
        <v>11</v>
      </c>
      <c r="G87" s="432">
        <v>10</v>
      </c>
      <c r="H87" s="440">
        <v>10</v>
      </c>
      <c r="I87" s="28">
        <v>2</v>
      </c>
      <c r="J87" s="441">
        <f t="shared" si="22" ref="J87:J132">H87/G87*I87</f>
        <v>2</v>
      </c>
      <c r="K87" s="28">
        <v>1</v>
      </c>
      <c r="L87" s="267">
        <f t="shared" si="23" ref="L87:L132">J87*K87</f>
        <v>2</v>
      </c>
      <c r="M87" s="433">
        <f t="shared" si="24" ref="M87:M132">L87*N87</f>
        <v>400</v>
      </c>
      <c r="N87" s="434">
        <v>200</v>
      </c>
      <c r="O87" s="435">
        <f t="shared" si="25" ref="O87:O132">J87/I87*K87</f>
        <v>1</v>
      </c>
    </row>
    <row r="88" spans="1:15" ht="15">
      <c r="A88" s="13" t="s">
        <v>1293</v>
      </c>
      <c r="B88" s="56" t="s">
        <v>1294</v>
      </c>
      <c r="C88" s="13" t="s">
        <v>160</v>
      </c>
      <c r="D88" s="13">
        <v>112</v>
      </c>
      <c r="E88" s="13" t="s">
        <v>53</v>
      </c>
      <c r="F88" s="13" t="s">
        <v>1295</v>
      </c>
      <c r="G88" s="28">
        <v>40</v>
      </c>
      <c r="H88" s="431">
        <v>10</v>
      </c>
      <c r="I88" s="28">
        <v>1</v>
      </c>
      <c r="J88" s="473">
        <f t="shared" si="22"/>
        <v>0.25</v>
      </c>
      <c r="K88" s="442">
        <f>460*3.1415*2/1000</f>
        <v>2.8901800000000004</v>
      </c>
      <c r="L88" s="267">
        <f t="shared" si="23"/>
        <v>0.7225450000000001</v>
      </c>
      <c r="M88" s="433">
        <f t="shared" si="24"/>
        <v>144.50900000000001</v>
      </c>
      <c r="N88" s="478">
        <v>200</v>
      </c>
      <c r="O88" s="435">
        <f t="shared" si="25"/>
        <v>0.7225450000000001</v>
      </c>
    </row>
    <row r="89" spans="1:15" ht="30">
      <c r="A89" s="13" t="s">
        <v>225</v>
      </c>
      <c r="B89" s="27" t="s">
        <v>230</v>
      </c>
      <c r="C89" s="13" t="s">
        <v>226</v>
      </c>
      <c r="D89" s="13">
        <v>302</v>
      </c>
      <c r="E89" s="13"/>
      <c r="F89" s="13" t="s">
        <v>227</v>
      </c>
      <c r="G89" s="28">
        <f>600/2.5</f>
        <v>240</v>
      </c>
      <c r="H89" s="440">
        <v>10</v>
      </c>
      <c r="I89" s="28">
        <v>2</v>
      </c>
      <c r="J89" s="441">
        <f t="shared" si="22"/>
        <v>0.083333333333333329</v>
      </c>
      <c r="K89" s="28">
        <v>30</v>
      </c>
      <c r="L89" s="435">
        <f t="shared" si="23"/>
        <v>2.50</v>
      </c>
      <c r="M89" s="433">
        <f t="shared" si="24"/>
        <v>500</v>
      </c>
      <c r="N89" s="433">
        <v>200</v>
      </c>
      <c r="O89" s="435">
        <f t="shared" si="25"/>
        <v>1.25</v>
      </c>
    </row>
    <row r="90" spans="1:15" ht="30">
      <c r="A90" s="13" t="s">
        <v>228</v>
      </c>
      <c r="B90" s="27" t="s">
        <v>1282</v>
      </c>
      <c r="C90" s="13" t="s">
        <v>24</v>
      </c>
      <c r="D90" s="13">
        <v>110</v>
      </c>
      <c r="E90" s="13"/>
      <c r="F90" s="13" t="s">
        <v>63</v>
      </c>
      <c r="G90" s="28">
        <f>10*40</f>
        <v>400</v>
      </c>
      <c r="H90" s="440">
        <v>10</v>
      </c>
      <c r="I90" s="28">
        <v>2</v>
      </c>
      <c r="J90" s="441">
        <f t="shared" si="22"/>
        <v>0.05</v>
      </c>
      <c r="K90" s="28">
        <v>30</v>
      </c>
      <c r="L90" s="435">
        <f t="shared" si="23"/>
        <v>1.50</v>
      </c>
      <c r="M90" s="433">
        <f t="shared" si="24"/>
        <v>228</v>
      </c>
      <c r="N90" s="433">
        <v>152</v>
      </c>
      <c r="O90" s="435">
        <f t="shared" si="25"/>
        <v>0.75</v>
      </c>
    </row>
    <row r="91" spans="1:15" ht="15">
      <c r="A91" s="13" t="s">
        <v>232</v>
      </c>
      <c r="B91" s="27" t="s">
        <v>61</v>
      </c>
      <c r="C91" s="13" t="s">
        <v>62</v>
      </c>
      <c r="D91" s="13">
        <v>112</v>
      </c>
      <c r="E91" s="13"/>
      <c r="F91" s="13" t="s">
        <v>63</v>
      </c>
      <c r="G91" s="28">
        <v>200</v>
      </c>
      <c r="H91" s="440">
        <v>10</v>
      </c>
      <c r="I91" s="28">
        <v>2</v>
      </c>
      <c r="J91" s="441">
        <f t="shared" si="22"/>
        <v>0.10000000000000001</v>
      </c>
      <c r="K91" s="28">
        <v>30</v>
      </c>
      <c r="L91" s="267">
        <f t="shared" si="23"/>
        <v>3</v>
      </c>
      <c r="M91" s="433">
        <f t="shared" si="24"/>
        <v>456</v>
      </c>
      <c r="N91" s="434">
        <v>152</v>
      </c>
      <c r="O91" s="435">
        <f t="shared" si="25"/>
        <v>1.50</v>
      </c>
    </row>
    <row r="92" spans="1:15" ht="15">
      <c r="A92" s="13" t="s">
        <v>536</v>
      </c>
      <c r="B92" s="27" t="s">
        <v>537</v>
      </c>
      <c r="C92" s="13" t="s">
        <v>538</v>
      </c>
      <c r="D92" s="13">
        <v>115</v>
      </c>
      <c r="E92" s="13"/>
      <c r="F92" s="13" t="s">
        <v>63</v>
      </c>
      <c r="G92" s="28">
        <v>1200</v>
      </c>
      <c r="H92" s="440">
        <v>10</v>
      </c>
      <c r="I92" s="28">
        <v>1</v>
      </c>
      <c r="J92" s="441">
        <f t="shared" si="22"/>
        <v>0.0083333333333333332</v>
      </c>
      <c r="K92" s="28">
        <v>30</v>
      </c>
      <c r="L92" s="267">
        <f t="shared" si="23"/>
        <v>0.25</v>
      </c>
      <c r="M92" s="433">
        <f t="shared" si="24"/>
        <v>50</v>
      </c>
      <c r="N92" s="434">
        <v>200</v>
      </c>
      <c r="O92" s="435">
        <f t="shared" si="25"/>
        <v>0.25</v>
      </c>
    </row>
    <row r="93" spans="1:15" ht="30">
      <c r="A93" s="13" t="s">
        <v>233</v>
      </c>
      <c r="B93" s="27" t="s">
        <v>66</v>
      </c>
      <c r="C93" s="13" t="s">
        <v>48</v>
      </c>
      <c r="D93" s="13">
        <v>112</v>
      </c>
      <c r="E93" s="13"/>
      <c r="F93" s="13" t="s">
        <v>67</v>
      </c>
      <c r="G93" s="28">
        <v>80</v>
      </c>
      <c r="H93" s="440">
        <v>10</v>
      </c>
      <c r="I93" s="28">
        <v>2</v>
      </c>
      <c r="J93" s="441">
        <f t="shared" si="22"/>
        <v>0.25</v>
      </c>
      <c r="K93" s="28">
        <v>4</v>
      </c>
      <c r="L93" s="267">
        <f t="shared" si="23"/>
        <v>1</v>
      </c>
      <c r="M93" s="433">
        <f t="shared" si="24"/>
        <v>200</v>
      </c>
      <c r="N93" s="434">
        <v>200</v>
      </c>
      <c r="O93" s="435">
        <f t="shared" si="25"/>
        <v>0.50</v>
      </c>
    </row>
    <row r="94" spans="1:15" ht="15">
      <c r="A94" s="637" t="s">
        <v>234</v>
      </c>
      <c r="B94" s="648" t="s">
        <v>235</v>
      </c>
      <c r="C94" s="13" t="s">
        <v>72</v>
      </c>
      <c r="D94" s="13">
        <v>115</v>
      </c>
      <c r="E94" s="13"/>
      <c r="F94" s="13" t="s">
        <v>236</v>
      </c>
      <c r="G94" s="28">
        <v>30</v>
      </c>
      <c r="H94" s="440">
        <v>10</v>
      </c>
      <c r="I94" s="28">
        <v>2</v>
      </c>
      <c r="J94" s="441">
        <f t="shared" si="22"/>
        <v>0.66666666666666663</v>
      </c>
      <c r="K94" s="28">
        <v>2</v>
      </c>
      <c r="L94" s="267">
        <f t="shared" si="23"/>
        <v>1.3333333333333333</v>
      </c>
      <c r="M94" s="433">
        <f t="shared" si="24"/>
        <v>266.66666666666663</v>
      </c>
      <c r="N94" s="434">
        <v>200</v>
      </c>
      <c r="O94" s="435">
        <f t="shared" si="25"/>
        <v>0.66666666666666663</v>
      </c>
    </row>
    <row r="95" spans="1:15" ht="15">
      <c r="A95" s="637"/>
      <c r="B95" s="648"/>
      <c r="C95" s="13" t="s">
        <v>48</v>
      </c>
      <c r="D95" s="13">
        <v>115</v>
      </c>
      <c r="E95" s="13" t="s">
        <v>529</v>
      </c>
      <c r="F95" s="13" t="s">
        <v>10</v>
      </c>
      <c r="G95" s="28">
        <v>40</v>
      </c>
      <c r="H95" s="440">
        <v>10</v>
      </c>
      <c r="I95" s="28">
        <v>1</v>
      </c>
      <c r="J95" s="441">
        <f t="shared" si="22"/>
        <v>0.25</v>
      </c>
      <c r="K95" s="442">
        <f>(1806)/1000</f>
        <v>1.806</v>
      </c>
      <c r="L95" s="267">
        <f t="shared" si="23"/>
        <v>0.45150000000000001</v>
      </c>
      <c r="M95" s="433">
        <f t="shared" si="24"/>
        <v>90.30</v>
      </c>
      <c r="N95" s="434">
        <v>200</v>
      </c>
      <c r="O95" s="435">
        <f t="shared" si="25"/>
        <v>0.45150000000000001</v>
      </c>
    </row>
    <row r="96" spans="1:15" ht="15">
      <c r="A96" s="13" t="s">
        <v>237</v>
      </c>
      <c r="B96" s="56" t="s">
        <v>238</v>
      </c>
      <c r="C96" s="13" t="s">
        <v>69</v>
      </c>
      <c r="D96" s="13">
        <v>110</v>
      </c>
      <c r="E96" s="13"/>
      <c r="F96" s="13" t="s">
        <v>34</v>
      </c>
      <c r="G96" s="28">
        <v>10</v>
      </c>
      <c r="H96" s="440">
        <v>10</v>
      </c>
      <c r="I96" s="28">
        <v>2</v>
      </c>
      <c r="J96" s="441">
        <f t="shared" si="22"/>
        <v>2</v>
      </c>
      <c r="K96" s="28">
        <v>1</v>
      </c>
      <c r="L96" s="267">
        <f t="shared" si="23"/>
        <v>2</v>
      </c>
      <c r="M96" s="433">
        <f t="shared" si="24"/>
        <v>400</v>
      </c>
      <c r="N96" s="434">
        <v>200</v>
      </c>
      <c r="O96" s="435">
        <f t="shared" si="25"/>
        <v>1</v>
      </c>
    </row>
    <row r="97" spans="1:15" ht="30">
      <c r="A97" s="13" t="s">
        <v>896</v>
      </c>
      <c r="B97" s="56" t="s">
        <v>894</v>
      </c>
      <c r="C97" s="13" t="s">
        <v>138</v>
      </c>
      <c r="D97" s="13">
        <v>110</v>
      </c>
      <c r="E97" s="13"/>
      <c r="F97" s="13" t="s">
        <v>12</v>
      </c>
      <c r="G97" s="28">
        <v>20</v>
      </c>
      <c r="H97" s="440">
        <v>10</v>
      </c>
      <c r="I97" s="28">
        <v>2</v>
      </c>
      <c r="J97" s="441">
        <f t="shared" si="22"/>
        <v>1</v>
      </c>
      <c r="K97" s="28">
        <v>1</v>
      </c>
      <c r="L97" s="267">
        <f t="shared" si="23"/>
        <v>1</v>
      </c>
      <c r="M97" s="433">
        <f t="shared" si="24"/>
        <v>200</v>
      </c>
      <c r="N97" s="434">
        <v>200</v>
      </c>
      <c r="O97" s="435">
        <f t="shared" si="25"/>
        <v>0.50</v>
      </c>
    </row>
    <row r="98" spans="1:15" ht="30">
      <c r="A98" s="13" t="s">
        <v>243</v>
      </c>
      <c r="B98" s="56" t="s">
        <v>244</v>
      </c>
      <c r="C98" s="13" t="s">
        <v>25</v>
      </c>
      <c r="D98" s="13">
        <v>110</v>
      </c>
      <c r="E98" s="13" t="s">
        <v>53</v>
      </c>
      <c r="F98" s="13" t="s">
        <v>10</v>
      </c>
      <c r="G98" s="28">
        <v>40</v>
      </c>
      <c r="H98" s="440">
        <v>10</v>
      </c>
      <c r="I98" s="28">
        <v>1</v>
      </c>
      <c r="J98" s="441">
        <f t="shared" si="22"/>
        <v>0.25</v>
      </c>
      <c r="K98" s="28">
        <f>2.882*2</f>
        <v>5.7640000000000002</v>
      </c>
      <c r="L98" s="267">
        <f t="shared" si="23"/>
        <v>1.4410000000000001</v>
      </c>
      <c r="M98" s="433">
        <f t="shared" si="24"/>
        <v>288.20</v>
      </c>
      <c r="N98" s="434">
        <v>200</v>
      </c>
      <c r="O98" s="435">
        <f t="shared" si="25"/>
        <v>1.4410000000000001</v>
      </c>
    </row>
    <row r="99" spans="1:15" ht="15">
      <c r="A99" s="13" t="s">
        <v>237</v>
      </c>
      <c r="B99" s="56" t="s">
        <v>71</v>
      </c>
      <c r="C99" s="13" t="s">
        <v>68</v>
      </c>
      <c r="D99" s="13">
        <v>110</v>
      </c>
      <c r="E99" s="13"/>
      <c r="F99" s="13" t="s">
        <v>34</v>
      </c>
      <c r="G99" s="28">
        <v>20</v>
      </c>
      <c r="H99" s="440">
        <v>10</v>
      </c>
      <c r="I99" s="28">
        <v>2</v>
      </c>
      <c r="J99" s="441">
        <f t="shared" si="22"/>
        <v>1</v>
      </c>
      <c r="K99" s="28">
        <v>1</v>
      </c>
      <c r="L99" s="267">
        <f t="shared" si="23"/>
        <v>1</v>
      </c>
      <c r="M99" s="433">
        <f t="shared" si="24"/>
        <v>200</v>
      </c>
      <c r="N99" s="434">
        <v>200</v>
      </c>
      <c r="O99" s="435">
        <f t="shared" si="25"/>
        <v>0.50</v>
      </c>
    </row>
    <row r="100" spans="1:15" ht="30">
      <c r="A100" s="13" t="s">
        <v>897</v>
      </c>
      <c r="B100" s="56" t="s">
        <v>895</v>
      </c>
      <c r="C100" s="13" t="s">
        <v>138</v>
      </c>
      <c r="D100" s="13">
        <v>110</v>
      </c>
      <c r="E100" s="13"/>
      <c r="F100" s="13" t="s">
        <v>12</v>
      </c>
      <c r="G100" s="28">
        <v>20</v>
      </c>
      <c r="H100" s="440">
        <v>10</v>
      </c>
      <c r="I100" s="28">
        <v>2</v>
      </c>
      <c r="J100" s="441">
        <f t="shared" si="22"/>
        <v>1</v>
      </c>
      <c r="K100" s="28">
        <v>1</v>
      </c>
      <c r="L100" s="267">
        <f t="shared" si="23"/>
        <v>1</v>
      </c>
      <c r="M100" s="433">
        <f t="shared" si="24"/>
        <v>200</v>
      </c>
      <c r="N100" s="434">
        <v>200</v>
      </c>
      <c r="O100" s="435">
        <f t="shared" si="25"/>
        <v>0.50</v>
      </c>
    </row>
    <row r="101" spans="1:15" ht="30">
      <c r="A101" s="13" t="s">
        <v>249</v>
      </c>
      <c r="B101" s="56" t="s">
        <v>248</v>
      </c>
      <c r="C101" s="13" t="s">
        <v>25</v>
      </c>
      <c r="D101" s="13">
        <v>110</v>
      </c>
      <c r="E101" s="13" t="s">
        <v>53</v>
      </c>
      <c r="F101" s="13" t="s">
        <v>10</v>
      </c>
      <c r="G101" s="28">
        <v>40</v>
      </c>
      <c r="H101" s="440">
        <v>10</v>
      </c>
      <c r="I101" s="28">
        <v>1</v>
      </c>
      <c r="J101" s="441">
        <f t="shared" si="22"/>
        <v>0.25</v>
      </c>
      <c r="K101" s="28">
        <f>2.882*2</f>
        <v>5.7640000000000002</v>
      </c>
      <c r="L101" s="267">
        <f t="shared" si="23"/>
        <v>1.4410000000000001</v>
      </c>
      <c r="M101" s="433">
        <f t="shared" si="24"/>
        <v>288.20</v>
      </c>
      <c r="N101" s="434">
        <v>200</v>
      </c>
      <c r="O101" s="435">
        <f t="shared" si="25"/>
        <v>1.4410000000000001</v>
      </c>
    </row>
    <row r="102" spans="1:15" ht="15">
      <c r="A102" s="13" t="s">
        <v>237</v>
      </c>
      <c r="B102" s="56" t="s">
        <v>71</v>
      </c>
      <c r="C102" s="13" t="s">
        <v>68</v>
      </c>
      <c r="D102" s="13">
        <v>110</v>
      </c>
      <c r="E102" s="13"/>
      <c r="F102" s="13" t="s">
        <v>34</v>
      </c>
      <c r="G102" s="28">
        <v>20</v>
      </c>
      <c r="H102" s="440">
        <v>10</v>
      </c>
      <c r="I102" s="28">
        <v>2</v>
      </c>
      <c r="J102" s="441">
        <f t="shared" si="22"/>
        <v>1</v>
      </c>
      <c r="K102" s="28">
        <v>1</v>
      </c>
      <c r="L102" s="267">
        <f t="shared" si="23"/>
        <v>1</v>
      </c>
      <c r="M102" s="433">
        <f t="shared" si="24"/>
        <v>200</v>
      </c>
      <c r="N102" s="434">
        <v>200</v>
      </c>
      <c r="O102" s="435">
        <f t="shared" si="25"/>
        <v>0.50</v>
      </c>
    </row>
    <row r="103" spans="1:15" ht="30">
      <c r="A103" s="13" t="s">
        <v>239</v>
      </c>
      <c r="B103" s="56" t="s">
        <v>240</v>
      </c>
      <c r="C103" s="13" t="s">
        <v>25</v>
      </c>
      <c r="D103" s="13">
        <v>113</v>
      </c>
      <c r="E103" s="13"/>
      <c r="F103" s="13" t="s">
        <v>63</v>
      </c>
      <c r="G103" s="432">
        <v>112</v>
      </c>
      <c r="H103" s="440">
        <v>10</v>
      </c>
      <c r="I103" s="28">
        <v>1</v>
      </c>
      <c r="J103" s="441">
        <f t="shared" si="22"/>
        <v>0.089285714285714288</v>
      </c>
      <c r="K103" s="28">
        <v>30</v>
      </c>
      <c r="L103" s="267">
        <f t="shared" si="23"/>
        <v>2.6785714285714288</v>
      </c>
      <c r="M103" s="433">
        <f t="shared" si="24"/>
        <v>696.42857142857144</v>
      </c>
      <c r="N103" s="434">
        <v>260</v>
      </c>
      <c r="O103" s="435">
        <f t="shared" si="25"/>
        <v>2.6785714285714288</v>
      </c>
    </row>
    <row r="104" spans="1:15" ht="30">
      <c r="A104" s="13" t="s">
        <v>317</v>
      </c>
      <c r="B104" s="56" t="s">
        <v>316</v>
      </c>
      <c r="C104" s="13" t="s">
        <v>25</v>
      </c>
      <c r="D104" s="13">
        <v>113</v>
      </c>
      <c r="E104" s="13" t="s">
        <v>70</v>
      </c>
      <c r="F104" s="13" t="s">
        <v>10</v>
      </c>
      <c r="G104" s="28">
        <v>40</v>
      </c>
      <c r="H104" s="440">
        <v>10</v>
      </c>
      <c r="I104" s="28">
        <v>1</v>
      </c>
      <c r="J104" s="441">
        <f t="shared" si="22"/>
        <v>0.25</v>
      </c>
      <c r="K104" s="436">
        <f>530/1000*3.1415</f>
        <v>1.6649950000000002</v>
      </c>
      <c r="L104" s="267">
        <f t="shared" si="23"/>
        <v>0.41624875000000006</v>
      </c>
      <c r="M104" s="433">
        <f t="shared" si="24"/>
        <v>83.249750000000006</v>
      </c>
      <c r="N104" s="434">
        <v>200</v>
      </c>
      <c r="O104" s="435">
        <f t="shared" si="25"/>
        <v>0.41624875000000006</v>
      </c>
    </row>
    <row r="105" spans="1:15" ht="30">
      <c r="A105" s="13" t="s">
        <v>245</v>
      </c>
      <c r="B105" s="56" t="s">
        <v>246</v>
      </c>
      <c r="C105" s="13" t="s">
        <v>25</v>
      </c>
      <c r="D105" s="13">
        <v>113</v>
      </c>
      <c r="E105" s="13"/>
      <c r="F105" s="13" t="s">
        <v>63</v>
      </c>
      <c r="G105" s="432">
        <v>112</v>
      </c>
      <c r="H105" s="440">
        <v>10</v>
      </c>
      <c r="I105" s="28">
        <v>1</v>
      </c>
      <c r="J105" s="441">
        <f t="shared" si="22"/>
        <v>0.089285714285714288</v>
      </c>
      <c r="K105" s="28">
        <v>30</v>
      </c>
      <c r="L105" s="267">
        <f t="shared" si="23"/>
        <v>2.6785714285714288</v>
      </c>
      <c r="M105" s="433">
        <f t="shared" si="24"/>
        <v>696.42857142857144</v>
      </c>
      <c r="N105" s="434">
        <v>260</v>
      </c>
      <c r="O105" s="435">
        <f t="shared" si="25"/>
        <v>2.6785714285714288</v>
      </c>
    </row>
    <row r="106" spans="1:15" ht="15">
      <c r="A106" s="13" t="s">
        <v>741</v>
      </c>
      <c r="B106" s="56" t="s">
        <v>1281</v>
      </c>
      <c r="C106" s="13" t="s">
        <v>33</v>
      </c>
      <c r="D106" s="13">
        <v>115</v>
      </c>
      <c r="E106" s="13"/>
      <c r="F106" s="13"/>
      <c r="G106" s="28">
        <v>10</v>
      </c>
      <c r="H106" s="440">
        <v>10</v>
      </c>
      <c r="I106" s="28">
        <v>1</v>
      </c>
      <c r="J106" s="441">
        <f t="shared" si="22"/>
        <v>1</v>
      </c>
      <c r="K106" s="28">
        <v>1</v>
      </c>
      <c r="L106" s="267">
        <f t="shared" si="23"/>
        <v>1</v>
      </c>
      <c r="M106" s="433">
        <f t="shared" si="24"/>
        <v>200</v>
      </c>
      <c r="N106" s="434">
        <v>200</v>
      </c>
      <c r="O106" s="435">
        <f t="shared" si="25"/>
        <v>1</v>
      </c>
    </row>
    <row r="107" spans="1:15" ht="15">
      <c r="A107" s="637" t="s">
        <v>254</v>
      </c>
      <c r="B107" s="638" t="s">
        <v>884</v>
      </c>
      <c r="C107" s="13" t="s">
        <v>76</v>
      </c>
      <c r="D107" s="13">
        <v>115</v>
      </c>
      <c r="E107" s="13"/>
      <c r="F107" s="13" t="s">
        <v>78</v>
      </c>
      <c r="G107" s="28">
        <v>20</v>
      </c>
      <c r="H107" s="440">
        <v>10</v>
      </c>
      <c r="I107" s="28">
        <v>2</v>
      </c>
      <c r="J107" s="441">
        <f t="shared" si="22"/>
        <v>1</v>
      </c>
      <c r="K107" s="28">
        <v>2</v>
      </c>
      <c r="L107" s="267">
        <f t="shared" si="23"/>
        <v>2</v>
      </c>
      <c r="M107" s="433">
        <f t="shared" si="24"/>
        <v>400</v>
      </c>
      <c r="N107" s="434">
        <v>200</v>
      </c>
      <c r="O107" s="435">
        <f t="shared" si="25"/>
        <v>1</v>
      </c>
    </row>
    <row r="108" spans="1:15" ht="15">
      <c r="A108" s="637"/>
      <c r="B108" s="638"/>
      <c r="C108" s="13" t="s">
        <v>77</v>
      </c>
      <c r="D108" s="13">
        <v>115</v>
      </c>
      <c r="E108" s="13" t="s">
        <v>79</v>
      </c>
      <c r="F108" s="13" t="s">
        <v>10</v>
      </c>
      <c r="G108" s="28">
        <v>40</v>
      </c>
      <c r="H108" s="440">
        <v>10</v>
      </c>
      <c r="I108" s="28">
        <v>1</v>
      </c>
      <c r="J108" s="441">
        <f t="shared" si="22"/>
        <v>0.25</v>
      </c>
      <c r="K108" s="442">
        <f>(116*2*4+130*4)/1000</f>
        <v>1.448</v>
      </c>
      <c r="L108" s="267">
        <f t="shared" si="23"/>
        <v>0.36199999999999999</v>
      </c>
      <c r="M108" s="433">
        <f t="shared" si="24"/>
        <v>72.399999999999991</v>
      </c>
      <c r="N108" s="434">
        <v>200</v>
      </c>
      <c r="O108" s="435">
        <f t="shared" si="25"/>
        <v>0.36199999999999999</v>
      </c>
    </row>
    <row r="109" spans="1:15" ht="15">
      <c r="A109" s="637" t="s">
        <v>257</v>
      </c>
      <c r="B109" s="638" t="s">
        <v>258</v>
      </c>
      <c r="C109" s="13" t="s">
        <v>318</v>
      </c>
      <c r="D109" s="13">
        <v>107</v>
      </c>
      <c r="E109" s="13" t="s">
        <v>260</v>
      </c>
      <c r="F109" s="13" t="s">
        <v>261</v>
      </c>
      <c r="G109" s="442">
        <f>32*2</f>
        <v>64</v>
      </c>
      <c r="H109" s="468">
        <v>10</v>
      </c>
      <c r="I109" s="432">
        <v>2</v>
      </c>
      <c r="J109" s="468">
        <f t="shared" si="22"/>
        <v>0.3125</v>
      </c>
      <c r="K109" s="442">
        <v>2</v>
      </c>
      <c r="L109" s="267">
        <f t="shared" si="23"/>
        <v>0.625</v>
      </c>
      <c r="M109" s="266">
        <f t="shared" si="24"/>
        <v>125</v>
      </c>
      <c r="N109" s="433">
        <v>200</v>
      </c>
      <c r="O109" s="267">
        <f t="shared" si="25"/>
        <v>0.3125</v>
      </c>
    </row>
    <row r="110" spans="1:15" ht="15">
      <c r="A110" s="637"/>
      <c r="B110" s="638"/>
      <c r="C110" s="13" t="s">
        <v>319</v>
      </c>
      <c r="D110" s="13">
        <v>107</v>
      </c>
      <c r="E110" s="13" t="s">
        <v>260</v>
      </c>
      <c r="F110" s="17" t="s">
        <v>261</v>
      </c>
      <c r="G110" s="31">
        <v>110</v>
      </c>
      <c r="H110" s="252">
        <v>10</v>
      </c>
      <c r="I110" s="16">
        <v>2</v>
      </c>
      <c r="J110" s="253">
        <f t="shared" si="22"/>
        <v>0.18181818181818182</v>
      </c>
      <c r="K110" s="31">
        <v>4</v>
      </c>
      <c r="L110" s="8">
        <f t="shared" si="23"/>
        <v>0.72727272727272729</v>
      </c>
      <c r="M110" s="42">
        <f t="shared" si="24"/>
        <v>145.45454545454547</v>
      </c>
      <c r="N110" s="43">
        <v>200</v>
      </c>
      <c r="O110" s="8">
        <f t="shared" si="25"/>
        <v>0.36363636363636365</v>
      </c>
    </row>
    <row r="111" spans="1:15" ht="15">
      <c r="A111" s="637" t="s">
        <v>265</v>
      </c>
      <c r="B111" s="638" t="s">
        <v>266</v>
      </c>
      <c r="C111" s="13" t="s">
        <v>76</v>
      </c>
      <c r="D111" s="13">
        <v>116</v>
      </c>
      <c r="E111" s="13"/>
      <c r="F111" s="13" t="s">
        <v>82</v>
      </c>
      <c r="G111" s="28">
        <v>9</v>
      </c>
      <c r="H111" s="440">
        <v>10</v>
      </c>
      <c r="I111" s="28">
        <v>2</v>
      </c>
      <c r="J111" s="441">
        <f t="shared" si="22"/>
        <v>2.2222222222222223</v>
      </c>
      <c r="K111" s="28">
        <v>1</v>
      </c>
      <c r="L111" s="267">
        <f t="shared" si="23"/>
        <v>2.2222222222222223</v>
      </c>
      <c r="M111" s="433">
        <f t="shared" si="24"/>
        <v>444.44444444444446</v>
      </c>
      <c r="N111" s="434">
        <v>200</v>
      </c>
      <c r="O111" s="435">
        <f t="shared" si="25"/>
        <v>1.1111111111111112</v>
      </c>
    </row>
    <row r="112" spans="1:15" ht="15">
      <c r="A112" s="637"/>
      <c r="B112" s="638"/>
      <c r="C112" s="13" t="s">
        <v>77</v>
      </c>
      <c r="D112" s="13">
        <v>116</v>
      </c>
      <c r="E112" s="13" t="s">
        <v>264</v>
      </c>
      <c r="F112" s="13" t="s">
        <v>10</v>
      </c>
      <c r="G112" s="28">
        <v>40</v>
      </c>
      <c r="H112" s="440">
        <v>10</v>
      </c>
      <c r="I112" s="28">
        <v>1</v>
      </c>
      <c r="J112" s="441">
        <f t="shared" si="22"/>
        <v>0.25</v>
      </c>
      <c r="K112" s="442">
        <f>(57*3.1415*3)*2/1000</f>
        <v>1.0743929999999999</v>
      </c>
      <c r="L112" s="267">
        <f t="shared" si="23"/>
        <v>0.26859824999999998</v>
      </c>
      <c r="M112" s="433">
        <f t="shared" si="24"/>
        <v>53.719649999999994</v>
      </c>
      <c r="N112" s="434">
        <v>200</v>
      </c>
      <c r="O112" s="435">
        <f t="shared" si="25"/>
        <v>0.26859824999999998</v>
      </c>
    </row>
    <row r="113" spans="1:15" ht="30">
      <c r="A113" s="13" t="s">
        <v>267</v>
      </c>
      <c r="B113" s="27" t="s">
        <v>519</v>
      </c>
      <c r="C113" s="13" t="s">
        <v>77</v>
      </c>
      <c r="D113" s="13">
        <v>116</v>
      </c>
      <c r="E113" s="13"/>
      <c r="F113" s="13" t="s">
        <v>67</v>
      </c>
      <c r="G113" s="28">
        <v>10</v>
      </c>
      <c r="H113" s="440">
        <v>10</v>
      </c>
      <c r="I113" s="28">
        <v>2</v>
      </c>
      <c r="J113" s="441">
        <f t="shared" si="22"/>
        <v>2</v>
      </c>
      <c r="K113" s="28">
        <v>1</v>
      </c>
      <c r="L113" s="267">
        <f t="shared" si="23"/>
        <v>2</v>
      </c>
      <c r="M113" s="433">
        <f t="shared" si="24"/>
        <v>400</v>
      </c>
      <c r="N113" s="434">
        <v>200</v>
      </c>
      <c r="O113" s="435">
        <f t="shared" si="25"/>
        <v>1</v>
      </c>
    </row>
    <row r="114" spans="1:15" ht="15">
      <c r="A114" s="13" t="s">
        <v>268</v>
      </c>
      <c r="B114" s="27" t="s">
        <v>334</v>
      </c>
      <c r="C114" s="13" t="s">
        <v>83</v>
      </c>
      <c r="D114" s="13">
        <v>116</v>
      </c>
      <c r="E114" s="13"/>
      <c r="F114" s="4" t="s">
        <v>84</v>
      </c>
      <c r="G114" s="16">
        <v>12.60</v>
      </c>
      <c r="H114" s="440">
        <v>10</v>
      </c>
      <c r="I114" s="28">
        <v>2</v>
      </c>
      <c r="J114" s="441">
        <f t="shared" si="22"/>
        <v>1.5873015873015874</v>
      </c>
      <c r="K114" s="28">
        <v>1</v>
      </c>
      <c r="L114" s="267">
        <f t="shared" si="23"/>
        <v>1.5873015873015874</v>
      </c>
      <c r="M114" s="433">
        <f t="shared" si="24"/>
        <v>317.46031746031747</v>
      </c>
      <c r="N114" s="434">
        <v>200</v>
      </c>
      <c r="O114" s="435">
        <f t="shared" si="25"/>
        <v>0.79365079365079372</v>
      </c>
    </row>
    <row r="115" spans="1:15" ht="15">
      <c r="A115" s="13" t="s">
        <v>335</v>
      </c>
      <c r="B115" s="27" t="s">
        <v>336</v>
      </c>
      <c r="C115" s="13" t="s">
        <v>83</v>
      </c>
      <c r="D115" s="13">
        <v>116</v>
      </c>
      <c r="E115" s="13"/>
      <c r="F115" s="4" t="s">
        <v>84</v>
      </c>
      <c r="G115" s="16">
        <v>5.87</v>
      </c>
      <c r="H115" s="440">
        <v>10</v>
      </c>
      <c r="I115" s="28">
        <v>2</v>
      </c>
      <c r="J115" s="441">
        <f t="shared" si="22"/>
        <v>3.4071550255536627</v>
      </c>
      <c r="K115" s="28">
        <v>1</v>
      </c>
      <c r="L115" s="267">
        <f t="shared" si="23"/>
        <v>3.4071550255536627</v>
      </c>
      <c r="M115" s="433">
        <f t="shared" si="24"/>
        <v>681.43100511073249</v>
      </c>
      <c r="N115" s="434">
        <v>200</v>
      </c>
      <c r="O115" s="435">
        <f t="shared" si="25"/>
        <v>1.7035775127768313</v>
      </c>
    </row>
    <row r="116" spans="1:15" ht="15">
      <c r="A116" s="13" t="s">
        <v>526</v>
      </c>
      <c r="B116" s="56" t="s">
        <v>524</v>
      </c>
      <c r="C116" s="13" t="s">
        <v>523</v>
      </c>
      <c r="D116" s="13">
        <v>224</v>
      </c>
      <c r="E116" s="13"/>
      <c r="F116" s="4" t="s">
        <v>525</v>
      </c>
      <c r="G116" s="28">
        <v>600</v>
      </c>
      <c r="H116" s="431">
        <v>10</v>
      </c>
      <c r="I116" s="28">
        <v>1</v>
      </c>
      <c r="J116" s="441">
        <f t="shared" si="22"/>
        <v>0.016666666666666666</v>
      </c>
      <c r="K116" s="28">
        <v>4</v>
      </c>
      <c r="L116" s="267">
        <f t="shared" si="23"/>
        <v>0.066666666666666666</v>
      </c>
      <c r="M116" s="433">
        <f t="shared" si="24"/>
        <v>11.733333333333333</v>
      </c>
      <c r="N116" s="434">
        <v>176</v>
      </c>
      <c r="O116" s="435">
        <f t="shared" si="25"/>
        <v>0.066666666666666666</v>
      </c>
    </row>
    <row r="117" spans="1:15" ht="15">
      <c r="A117" s="13" t="s">
        <v>269</v>
      </c>
      <c r="B117" s="56" t="s">
        <v>270</v>
      </c>
      <c r="C117" s="13" t="s">
        <v>523</v>
      </c>
      <c r="D117" s="13">
        <v>224</v>
      </c>
      <c r="E117" s="13"/>
      <c r="F117" s="4" t="s">
        <v>88</v>
      </c>
      <c r="G117" s="28">
        <v>300</v>
      </c>
      <c r="H117" s="431">
        <v>10</v>
      </c>
      <c r="I117" s="28">
        <v>1</v>
      </c>
      <c r="J117" s="441">
        <f t="shared" si="22"/>
        <v>0.033333333333333333</v>
      </c>
      <c r="K117" s="28">
        <v>2</v>
      </c>
      <c r="L117" s="267">
        <f t="shared" si="23"/>
        <v>0.066666666666666666</v>
      </c>
      <c r="M117" s="433">
        <f t="shared" si="24"/>
        <v>11.733333333333333</v>
      </c>
      <c r="N117" s="434">
        <v>176</v>
      </c>
      <c r="O117" s="435">
        <f t="shared" si="25"/>
        <v>0.066666666666666666</v>
      </c>
    </row>
    <row r="118" spans="1:15" ht="15">
      <c r="A118" s="13" t="s">
        <v>918</v>
      </c>
      <c r="B118" s="56" t="s">
        <v>898</v>
      </c>
      <c r="C118" s="13" t="s">
        <v>523</v>
      </c>
      <c r="D118" s="13">
        <v>224</v>
      </c>
      <c r="E118" s="13"/>
      <c r="F118" s="4" t="s">
        <v>88</v>
      </c>
      <c r="G118" s="28">
        <v>600</v>
      </c>
      <c r="H118" s="431">
        <v>10</v>
      </c>
      <c r="I118" s="28">
        <v>1</v>
      </c>
      <c r="J118" s="441">
        <f t="shared" si="22"/>
        <v>0.016666666666666666</v>
      </c>
      <c r="K118" s="28">
        <v>1</v>
      </c>
      <c r="L118" s="267">
        <f t="shared" si="23"/>
        <v>0.016666666666666666</v>
      </c>
      <c r="M118" s="433">
        <f t="shared" si="24"/>
        <v>2.9333333333333331</v>
      </c>
      <c r="N118" s="434">
        <v>176</v>
      </c>
      <c r="O118" s="435">
        <f t="shared" si="25"/>
        <v>0.016666666666666666</v>
      </c>
    </row>
    <row r="119" spans="1:15" ht="30">
      <c r="A119" s="13" t="s">
        <v>271</v>
      </c>
      <c r="B119" s="56" t="s">
        <v>85</v>
      </c>
      <c r="C119" s="13" t="s">
        <v>83</v>
      </c>
      <c r="D119" s="13">
        <v>116</v>
      </c>
      <c r="E119" s="13"/>
      <c r="F119" s="13" t="s">
        <v>12</v>
      </c>
      <c r="G119" s="28">
        <v>2.70</v>
      </c>
      <c r="H119" s="440">
        <v>10</v>
      </c>
      <c r="I119" s="28">
        <v>2</v>
      </c>
      <c r="J119" s="441">
        <f t="shared" si="22"/>
        <v>7.4074074074074066</v>
      </c>
      <c r="K119" s="28">
        <v>1</v>
      </c>
      <c r="L119" s="267">
        <f t="shared" si="23"/>
        <v>7.4074074074074066</v>
      </c>
      <c r="M119" s="433">
        <f t="shared" si="24"/>
        <v>1481.4814814814813</v>
      </c>
      <c r="N119" s="434">
        <v>200</v>
      </c>
      <c r="O119" s="435">
        <f t="shared" si="25"/>
        <v>3.7037037037037033</v>
      </c>
    </row>
    <row r="120" spans="1:15" ht="15">
      <c r="A120" s="13" t="s">
        <v>272</v>
      </c>
      <c r="B120" s="27" t="s">
        <v>337</v>
      </c>
      <c r="C120" s="13" t="s">
        <v>83</v>
      </c>
      <c r="D120" s="13">
        <v>116</v>
      </c>
      <c r="E120" s="13"/>
      <c r="F120" s="4" t="s">
        <v>89</v>
      </c>
      <c r="G120" s="28">
        <v>14.65</v>
      </c>
      <c r="H120" s="440">
        <v>10</v>
      </c>
      <c r="I120" s="28">
        <v>2</v>
      </c>
      <c r="J120" s="441">
        <f t="shared" si="22"/>
        <v>1.3651877133105801</v>
      </c>
      <c r="K120" s="28">
        <v>1</v>
      </c>
      <c r="L120" s="267">
        <f t="shared" si="23"/>
        <v>1.3651877133105801</v>
      </c>
      <c r="M120" s="433">
        <f t="shared" si="24"/>
        <v>273.03754266211604</v>
      </c>
      <c r="N120" s="434">
        <v>200</v>
      </c>
      <c r="O120" s="435">
        <f t="shared" si="25"/>
        <v>0.68259385665529004</v>
      </c>
    </row>
    <row r="121" spans="1:15" ht="30">
      <c r="A121" s="13" t="s">
        <v>339</v>
      </c>
      <c r="B121" s="27" t="s">
        <v>338</v>
      </c>
      <c r="C121" s="13" t="s">
        <v>83</v>
      </c>
      <c r="D121" s="13">
        <v>116</v>
      </c>
      <c r="E121" s="13"/>
      <c r="F121" s="4" t="s">
        <v>89</v>
      </c>
      <c r="G121" s="28">
        <v>7.33</v>
      </c>
      <c r="H121" s="440">
        <v>10</v>
      </c>
      <c r="I121" s="28">
        <v>2</v>
      </c>
      <c r="J121" s="441">
        <f t="shared" si="22"/>
        <v>2.7285129604365621</v>
      </c>
      <c r="K121" s="28">
        <v>1</v>
      </c>
      <c r="L121" s="267">
        <f t="shared" si="23"/>
        <v>2.7285129604365621</v>
      </c>
      <c r="M121" s="433">
        <f t="shared" si="24"/>
        <v>545.70259208731238</v>
      </c>
      <c r="N121" s="434">
        <v>200</v>
      </c>
      <c r="O121" s="435">
        <f t="shared" si="25"/>
        <v>1.3642564802182811</v>
      </c>
    </row>
    <row r="122" spans="1:15" ht="30">
      <c r="A122" s="13" t="s">
        <v>273</v>
      </c>
      <c r="B122" s="27" t="s">
        <v>125</v>
      </c>
      <c r="C122" s="13" t="s">
        <v>54</v>
      </c>
      <c r="D122" s="13">
        <v>116</v>
      </c>
      <c r="E122" s="13"/>
      <c r="F122" s="4" t="s">
        <v>88</v>
      </c>
      <c r="G122" s="28">
        <v>19</v>
      </c>
      <c r="H122" s="440">
        <v>10</v>
      </c>
      <c r="I122" s="28">
        <v>2</v>
      </c>
      <c r="J122" s="441">
        <f t="shared" si="22"/>
        <v>1.0526315789473684</v>
      </c>
      <c r="K122" s="28">
        <v>2</v>
      </c>
      <c r="L122" s="267">
        <f t="shared" si="23"/>
        <v>2.1052631578947367</v>
      </c>
      <c r="M122" s="433">
        <f t="shared" si="24"/>
        <v>421.05263157894734</v>
      </c>
      <c r="N122" s="434">
        <v>200</v>
      </c>
      <c r="O122" s="435">
        <f t="shared" si="25"/>
        <v>1.0526315789473684</v>
      </c>
    </row>
    <row r="123" spans="1:15" ht="30">
      <c r="A123" s="523" t="s">
        <v>1668</v>
      </c>
      <c r="B123" s="522" t="s">
        <v>1670</v>
      </c>
      <c r="C123" s="523" t="s">
        <v>33</v>
      </c>
      <c r="D123" s="523">
        <v>116</v>
      </c>
      <c r="E123" s="523"/>
      <c r="F123" s="523" t="s">
        <v>1666</v>
      </c>
      <c r="G123" s="527">
        <v>15.48</v>
      </c>
      <c r="H123" s="530">
        <v>10</v>
      </c>
      <c r="I123" s="527">
        <v>2</v>
      </c>
      <c r="J123" s="531">
        <f t="shared" si="22"/>
        <v>1.2919896640826873</v>
      </c>
      <c r="K123" s="527">
        <v>1</v>
      </c>
      <c r="L123" s="267">
        <f t="shared" si="23"/>
        <v>1.2919896640826873</v>
      </c>
      <c r="M123" s="433">
        <f t="shared" si="24"/>
        <v>258.39793281653749</v>
      </c>
      <c r="N123" s="434">
        <v>200</v>
      </c>
      <c r="O123" s="435">
        <f t="shared" si="25"/>
        <v>0.64599483204134367</v>
      </c>
    </row>
    <row r="124" spans="1:15" ht="30">
      <c r="A124" s="523" t="s">
        <v>1669</v>
      </c>
      <c r="B124" s="522" t="s">
        <v>1671</v>
      </c>
      <c r="C124" s="523" t="s">
        <v>33</v>
      </c>
      <c r="D124" s="523">
        <v>116</v>
      </c>
      <c r="E124" s="523"/>
      <c r="F124" s="523" t="s">
        <v>10</v>
      </c>
      <c r="G124" s="527">
        <v>40</v>
      </c>
      <c r="H124" s="530">
        <v>10</v>
      </c>
      <c r="I124" s="527">
        <v>1</v>
      </c>
      <c r="J124" s="531">
        <f t="shared" si="22"/>
        <v>0.25</v>
      </c>
      <c r="K124" s="525">
        <f>2868/1000</f>
        <v>2.8679999999999999</v>
      </c>
      <c r="L124" s="267">
        <f t="shared" si="23"/>
        <v>0.71699999999999997</v>
      </c>
      <c r="M124" s="433">
        <f t="shared" si="24"/>
        <v>143.40000000000001</v>
      </c>
      <c r="N124" s="434">
        <v>200</v>
      </c>
      <c r="O124" s="435">
        <f t="shared" si="25"/>
        <v>0.71699999999999997</v>
      </c>
    </row>
    <row r="125" spans="1:15" ht="15">
      <c r="A125" s="13" t="s">
        <v>274</v>
      </c>
      <c r="B125" s="27" t="s">
        <v>275</v>
      </c>
      <c r="C125" s="13" t="s">
        <v>83</v>
      </c>
      <c r="D125" s="13">
        <v>116</v>
      </c>
      <c r="E125" s="13"/>
      <c r="F125" s="4" t="s">
        <v>276</v>
      </c>
      <c r="G125" s="28">
        <v>20</v>
      </c>
      <c r="H125" s="440">
        <v>10</v>
      </c>
      <c r="I125" s="28">
        <v>2</v>
      </c>
      <c r="J125" s="441">
        <f t="shared" si="22"/>
        <v>1</v>
      </c>
      <c r="K125" s="28">
        <v>1</v>
      </c>
      <c r="L125" s="267">
        <f t="shared" si="23"/>
        <v>1</v>
      </c>
      <c r="M125" s="433">
        <f t="shared" si="24"/>
        <v>200</v>
      </c>
      <c r="N125" s="434">
        <v>200</v>
      </c>
      <c r="O125" s="435">
        <f t="shared" si="25"/>
        <v>0.50</v>
      </c>
    </row>
    <row r="126" spans="1:15" ht="15">
      <c r="A126" s="13" t="s">
        <v>277</v>
      </c>
      <c r="B126" s="27" t="s">
        <v>278</v>
      </c>
      <c r="C126" s="13" t="s">
        <v>83</v>
      </c>
      <c r="D126" s="13">
        <v>116</v>
      </c>
      <c r="E126" s="13"/>
      <c r="F126" s="4" t="s">
        <v>90</v>
      </c>
      <c r="G126" s="28">
        <v>14.50</v>
      </c>
      <c r="H126" s="440">
        <v>10</v>
      </c>
      <c r="I126" s="28">
        <v>2</v>
      </c>
      <c r="J126" s="441">
        <f t="shared" si="22"/>
        <v>1.3793103448275863</v>
      </c>
      <c r="K126" s="28">
        <v>1</v>
      </c>
      <c r="L126" s="267">
        <f t="shared" si="23"/>
        <v>1.3793103448275863</v>
      </c>
      <c r="M126" s="433">
        <f t="shared" si="24"/>
        <v>275.86206896551727</v>
      </c>
      <c r="N126" s="434">
        <v>200</v>
      </c>
      <c r="O126" s="435">
        <f t="shared" si="25"/>
        <v>0.68965517241379315</v>
      </c>
    </row>
    <row r="127" spans="1:15" ht="15">
      <c r="A127" s="13" t="s">
        <v>279</v>
      </c>
      <c r="B127" s="27" t="s">
        <v>280</v>
      </c>
      <c r="C127" s="13" t="s">
        <v>29</v>
      </c>
      <c r="D127" s="13">
        <v>120</v>
      </c>
      <c r="E127" s="13"/>
      <c r="F127" s="13" t="s">
        <v>12</v>
      </c>
      <c r="G127" s="28">
        <v>13</v>
      </c>
      <c r="H127" s="440">
        <v>10</v>
      </c>
      <c r="I127" s="28">
        <v>1</v>
      </c>
      <c r="J127" s="441">
        <f t="shared" si="22"/>
        <v>0.76923076923076927</v>
      </c>
      <c r="K127" s="28">
        <v>1</v>
      </c>
      <c r="L127" s="435">
        <f t="shared" si="23"/>
        <v>0.76923076923076927</v>
      </c>
      <c r="M127" s="266">
        <f t="shared" si="24"/>
        <v>135.38461538461539</v>
      </c>
      <c r="N127" s="433">
        <v>176</v>
      </c>
      <c r="O127" s="435">
        <f t="shared" si="25"/>
        <v>0.76923076923076927</v>
      </c>
    </row>
    <row r="128" spans="1:15" ht="15">
      <c r="A128" s="13" t="s">
        <v>281</v>
      </c>
      <c r="B128" s="56" t="s">
        <v>30</v>
      </c>
      <c r="C128" s="13" t="s">
        <v>29</v>
      </c>
      <c r="D128" s="13">
        <v>120</v>
      </c>
      <c r="E128" s="13"/>
      <c r="F128" s="13" t="s">
        <v>12</v>
      </c>
      <c r="G128" s="436">
        <v>9.61</v>
      </c>
      <c r="H128" s="440">
        <v>10</v>
      </c>
      <c r="I128" s="28">
        <v>1</v>
      </c>
      <c r="J128" s="441">
        <f t="shared" si="22"/>
        <v>1.0405827263267431</v>
      </c>
      <c r="K128" s="28">
        <v>1</v>
      </c>
      <c r="L128" s="267">
        <f t="shared" si="23"/>
        <v>1.0405827263267431</v>
      </c>
      <c r="M128" s="433">
        <f t="shared" si="24"/>
        <v>183.14255983350679</v>
      </c>
      <c r="N128" s="434">
        <v>176</v>
      </c>
      <c r="O128" s="435">
        <f t="shared" si="25"/>
        <v>1.0405827263267431</v>
      </c>
    </row>
    <row r="129" spans="1:15" ht="30">
      <c r="A129" s="13" t="s">
        <v>282</v>
      </c>
      <c r="B129" s="56" t="s">
        <v>283</v>
      </c>
      <c r="C129" s="13" t="s">
        <v>29</v>
      </c>
      <c r="D129" s="13">
        <v>120</v>
      </c>
      <c r="E129" s="13"/>
      <c r="F129" s="13" t="s">
        <v>12</v>
      </c>
      <c r="G129" s="436">
        <v>13.86</v>
      </c>
      <c r="H129" s="440">
        <v>10</v>
      </c>
      <c r="I129" s="28">
        <v>1</v>
      </c>
      <c r="J129" s="441">
        <f t="shared" si="22"/>
        <v>0.72150072150072153</v>
      </c>
      <c r="K129" s="28">
        <v>1</v>
      </c>
      <c r="L129" s="267">
        <f t="shared" si="23"/>
        <v>0.72150072150072153</v>
      </c>
      <c r="M129" s="433">
        <f t="shared" si="24"/>
        <v>126.98412698412699</v>
      </c>
      <c r="N129" s="434">
        <v>176</v>
      </c>
      <c r="O129" s="435">
        <f t="shared" si="25"/>
        <v>0.72150072150072153</v>
      </c>
    </row>
    <row r="130" spans="1:15" ht="15">
      <c r="A130" s="13" t="s">
        <v>902</v>
      </c>
      <c r="B130" s="56" t="s">
        <v>927</v>
      </c>
      <c r="C130" s="13" t="s">
        <v>523</v>
      </c>
      <c r="D130" s="13">
        <v>224</v>
      </c>
      <c r="E130" s="13"/>
      <c r="F130" s="4" t="s">
        <v>900</v>
      </c>
      <c r="G130" s="28">
        <v>600</v>
      </c>
      <c r="H130" s="431">
        <v>10</v>
      </c>
      <c r="I130" s="28">
        <v>1</v>
      </c>
      <c r="J130" s="441">
        <f t="shared" si="22"/>
        <v>0.016666666666666666</v>
      </c>
      <c r="K130" s="28">
        <v>1</v>
      </c>
      <c r="L130" s="267">
        <f t="shared" si="23"/>
        <v>0.016666666666666666</v>
      </c>
      <c r="M130" s="433">
        <f t="shared" si="24"/>
        <v>2.9333333333333331</v>
      </c>
      <c r="N130" s="434">
        <v>176</v>
      </c>
      <c r="O130" s="435">
        <f t="shared" si="25"/>
        <v>0.016666666666666666</v>
      </c>
    </row>
    <row r="131" spans="1:15" ht="15">
      <c r="A131" s="13" t="s">
        <v>285</v>
      </c>
      <c r="B131" s="56" t="s">
        <v>901</v>
      </c>
      <c r="C131" s="13" t="s">
        <v>83</v>
      </c>
      <c r="D131" s="13">
        <v>116</v>
      </c>
      <c r="E131" s="13"/>
      <c r="F131" s="13" t="s">
        <v>12</v>
      </c>
      <c r="G131" s="28">
        <v>10</v>
      </c>
      <c r="H131" s="440">
        <v>10</v>
      </c>
      <c r="I131" s="28">
        <v>2</v>
      </c>
      <c r="J131" s="441">
        <f t="shared" si="22"/>
        <v>2</v>
      </c>
      <c r="K131" s="28">
        <v>1</v>
      </c>
      <c r="L131" s="267">
        <f t="shared" si="23"/>
        <v>2</v>
      </c>
      <c r="M131" s="433">
        <f t="shared" si="24"/>
        <v>400</v>
      </c>
      <c r="N131" s="434">
        <v>200</v>
      </c>
      <c r="O131" s="435">
        <f t="shared" si="25"/>
        <v>1</v>
      </c>
    </row>
    <row r="132" spans="1:15" ht="15">
      <c r="A132" s="13" t="s">
        <v>286</v>
      </c>
      <c r="B132" s="27" t="s">
        <v>288</v>
      </c>
      <c r="C132" s="13" t="s">
        <v>287</v>
      </c>
      <c r="D132" s="13">
        <v>116</v>
      </c>
      <c r="E132" s="13"/>
      <c r="F132" s="13" t="s">
        <v>67</v>
      </c>
      <c r="G132" s="28">
        <v>40</v>
      </c>
      <c r="H132" s="440">
        <v>10</v>
      </c>
      <c r="I132" s="28">
        <v>1</v>
      </c>
      <c r="J132" s="441">
        <f t="shared" si="22"/>
        <v>0.25</v>
      </c>
      <c r="K132" s="28">
        <v>4</v>
      </c>
      <c r="L132" s="267">
        <f t="shared" si="23"/>
        <v>1</v>
      </c>
      <c r="M132" s="433">
        <f t="shared" si="24"/>
        <v>152</v>
      </c>
      <c r="N132" s="434">
        <v>152</v>
      </c>
      <c r="O132" s="435">
        <f t="shared" si="25"/>
        <v>1</v>
      </c>
    </row>
    <row r="133" spans="1:15" ht="15">
      <c r="A133" s="39"/>
      <c r="B133" s="649" t="s">
        <v>134</v>
      </c>
      <c r="C133" s="649"/>
      <c r="D133" s="649"/>
      <c r="E133" s="649"/>
      <c r="F133" s="649"/>
      <c r="G133" s="649"/>
      <c r="H133" s="649"/>
      <c r="I133" s="649"/>
      <c r="J133" s="649"/>
      <c r="K133" s="649"/>
      <c r="L133" s="267"/>
      <c r="M133" s="262">
        <f>SUM(M134:M154)</f>
        <v>4617.5720307105066</v>
      </c>
      <c r="N133" s="263"/>
      <c r="O133" s="264">
        <f>SUM(O134:O154)</f>
        <v>16.280676642897891</v>
      </c>
    </row>
    <row r="134" spans="1:16" ht="30">
      <c r="A134" s="13" t="s">
        <v>297</v>
      </c>
      <c r="B134" s="56" t="s">
        <v>298</v>
      </c>
      <c r="C134" s="13" t="s">
        <v>33</v>
      </c>
      <c r="D134" s="13">
        <v>116</v>
      </c>
      <c r="E134" s="13"/>
      <c r="F134" s="13" t="s">
        <v>96</v>
      </c>
      <c r="G134" s="432">
        <v>10</v>
      </c>
      <c r="H134" s="440">
        <v>10</v>
      </c>
      <c r="I134" s="28">
        <v>2</v>
      </c>
      <c r="J134" s="441">
        <f t="shared" si="26" ref="J134:J154">H134/G134*I134</f>
        <v>2</v>
      </c>
      <c r="K134" s="28">
        <v>1</v>
      </c>
      <c r="L134" s="267">
        <f t="shared" si="27" ref="L134:L154">J134*K134</f>
        <v>2</v>
      </c>
      <c r="M134" s="433">
        <f t="shared" si="28" ref="M134:M154">L134*N134</f>
        <v>400</v>
      </c>
      <c r="N134" s="434">
        <v>200</v>
      </c>
      <c r="O134" s="435">
        <f t="shared" si="29" ref="O134:O154">J134/I134*K134</f>
        <v>1</v>
      </c>
      <c r="P134" s="22"/>
    </row>
    <row r="135" spans="1:16" ht="30">
      <c r="A135" s="523" t="s">
        <v>1663</v>
      </c>
      <c r="B135" s="522" t="s">
        <v>1665</v>
      </c>
      <c r="C135" s="523" t="s">
        <v>33</v>
      </c>
      <c r="D135" s="523">
        <v>116</v>
      </c>
      <c r="E135" s="523"/>
      <c r="F135" s="523" t="s">
        <v>1666</v>
      </c>
      <c r="G135" s="527">
        <v>15.40</v>
      </c>
      <c r="H135" s="530">
        <v>10</v>
      </c>
      <c r="I135" s="527">
        <v>2</v>
      </c>
      <c r="J135" s="531">
        <f t="shared" si="26"/>
        <v>1.2987012987012987</v>
      </c>
      <c r="K135" s="527">
        <v>1</v>
      </c>
      <c r="L135" s="267">
        <f t="shared" si="27"/>
        <v>1.2987012987012987</v>
      </c>
      <c r="M135" s="433">
        <f t="shared" si="28"/>
        <v>259.74025974025972</v>
      </c>
      <c r="N135" s="434">
        <v>200</v>
      </c>
      <c r="O135" s="435">
        <f t="shared" si="29"/>
        <v>0.64935064935064934</v>
      </c>
      <c r="P135" s="22"/>
    </row>
    <row r="136" spans="1:16" ht="30">
      <c r="A136" s="523" t="s">
        <v>1664</v>
      </c>
      <c r="B136" s="522" t="s">
        <v>1667</v>
      </c>
      <c r="C136" s="523" t="s">
        <v>33</v>
      </c>
      <c r="D136" s="523">
        <v>116</v>
      </c>
      <c r="E136" s="523"/>
      <c r="F136" s="523" t="s">
        <v>10</v>
      </c>
      <c r="G136" s="527">
        <v>40</v>
      </c>
      <c r="H136" s="530">
        <v>10</v>
      </c>
      <c r="I136" s="527">
        <v>1</v>
      </c>
      <c r="J136" s="531">
        <f t="shared" si="26"/>
        <v>0.25</v>
      </c>
      <c r="K136" s="525">
        <f>2800/1000</f>
        <v>2.80</v>
      </c>
      <c r="L136" s="267">
        <f t="shared" si="27"/>
        <v>0.70</v>
      </c>
      <c r="M136" s="433">
        <f t="shared" si="28"/>
        <v>140</v>
      </c>
      <c r="N136" s="434">
        <v>200</v>
      </c>
      <c r="O136" s="435">
        <f t="shared" si="29"/>
        <v>0.70</v>
      </c>
      <c r="P136" s="22"/>
    </row>
    <row r="137" spans="1:16" ht="30">
      <c r="A137" s="13" t="s">
        <v>299</v>
      </c>
      <c r="B137" s="56" t="s">
        <v>300</v>
      </c>
      <c r="C137" s="13" t="s">
        <v>33</v>
      </c>
      <c r="D137" s="13">
        <v>119</v>
      </c>
      <c r="E137" s="13"/>
      <c r="F137" s="13" t="s">
        <v>96</v>
      </c>
      <c r="G137" s="442">
        <v>23.49</v>
      </c>
      <c r="H137" s="440">
        <v>10</v>
      </c>
      <c r="I137" s="28">
        <v>2</v>
      </c>
      <c r="J137" s="441">
        <f t="shared" si="26"/>
        <v>0.85142613878246065</v>
      </c>
      <c r="K137" s="28">
        <v>1</v>
      </c>
      <c r="L137" s="267">
        <f t="shared" si="27"/>
        <v>0.85142613878246065</v>
      </c>
      <c r="M137" s="433">
        <f t="shared" si="28"/>
        <v>170.28522775649213</v>
      </c>
      <c r="N137" s="434">
        <v>200</v>
      </c>
      <c r="O137" s="435">
        <f t="shared" si="29"/>
        <v>0.42571306939123033</v>
      </c>
      <c r="P137" s="22"/>
    </row>
    <row r="138" spans="1:16" ht="30">
      <c r="A138" s="13" t="s">
        <v>301</v>
      </c>
      <c r="B138" s="27" t="s">
        <v>97</v>
      </c>
      <c r="C138" s="13" t="s">
        <v>83</v>
      </c>
      <c r="D138" s="13">
        <v>119</v>
      </c>
      <c r="E138" s="13"/>
      <c r="F138" s="13" t="s">
        <v>12</v>
      </c>
      <c r="G138" s="442">
        <v>4.58</v>
      </c>
      <c r="H138" s="440">
        <v>10</v>
      </c>
      <c r="I138" s="28">
        <v>2</v>
      </c>
      <c r="J138" s="441">
        <f t="shared" si="26"/>
        <v>4.3668122270742353</v>
      </c>
      <c r="K138" s="28">
        <v>1</v>
      </c>
      <c r="L138" s="267">
        <f t="shared" si="27"/>
        <v>4.3668122270742353</v>
      </c>
      <c r="M138" s="433">
        <f t="shared" si="28"/>
        <v>873.36244541484712</v>
      </c>
      <c r="N138" s="434">
        <v>200</v>
      </c>
      <c r="O138" s="435">
        <f t="shared" si="29"/>
        <v>2.1834061135371177</v>
      </c>
      <c r="P138" s="22"/>
    </row>
    <row r="139" spans="1:15" ht="15">
      <c r="A139" s="57" t="s">
        <v>530</v>
      </c>
      <c r="B139" s="269" t="s">
        <v>531</v>
      </c>
      <c r="C139" s="13" t="s">
        <v>33</v>
      </c>
      <c r="D139" s="13">
        <v>226</v>
      </c>
      <c r="E139" s="13"/>
      <c r="F139" s="13" t="s">
        <v>12</v>
      </c>
      <c r="G139" s="28">
        <v>10</v>
      </c>
      <c r="H139" s="440">
        <v>10</v>
      </c>
      <c r="I139" s="28">
        <v>1</v>
      </c>
      <c r="J139" s="441">
        <f t="shared" si="26"/>
        <v>1</v>
      </c>
      <c r="K139" s="442">
        <v>1</v>
      </c>
      <c r="L139" s="267">
        <f t="shared" si="27"/>
        <v>1</v>
      </c>
      <c r="M139" s="266">
        <f t="shared" si="28"/>
        <v>200</v>
      </c>
      <c r="N139" s="433">
        <v>200</v>
      </c>
      <c r="O139" s="435">
        <f t="shared" si="29"/>
        <v>1</v>
      </c>
    </row>
    <row r="140" spans="1:16" ht="15">
      <c r="A140" s="13" t="s">
        <v>290</v>
      </c>
      <c r="B140" s="27" t="s">
        <v>31</v>
      </c>
      <c r="C140" s="13" t="s">
        <v>14</v>
      </c>
      <c r="D140" s="13">
        <v>226</v>
      </c>
      <c r="E140" s="13"/>
      <c r="F140" s="13" t="s">
        <v>58</v>
      </c>
      <c r="G140" s="28">
        <v>61</v>
      </c>
      <c r="H140" s="440">
        <v>10</v>
      </c>
      <c r="I140" s="28">
        <v>1</v>
      </c>
      <c r="J140" s="441">
        <f t="shared" si="26"/>
        <v>0.16393442622950818</v>
      </c>
      <c r="K140" s="28">
        <v>3.10</v>
      </c>
      <c r="L140" s="267">
        <f t="shared" si="27"/>
        <v>0.50819672131147542</v>
      </c>
      <c r="M140" s="433">
        <f t="shared" si="28"/>
        <v>101.63934426229508</v>
      </c>
      <c r="N140" s="434">
        <v>200</v>
      </c>
      <c r="O140" s="435">
        <f t="shared" si="29"/>
        <v>0.50819672131147542</v>
      </c>
      <c r="P140" s="22"/>
    </row>
    <row r="141" spans="1:16" ht="15">
      <c r="A141" s="13" t="s">
        <v>302</v>
      </c>
      <c r="B141" s="27" t="s">
        <v>903</v>
      </c>
      <c r="C141" s="13" t="s">
        <v>523</v>
      </c>
      <c r="D141" s="13">
        <v>224</v>
      </c>
      <c r="E141" s="13"/>
      <c r="F141" s="13" t="s">
        <v>400</v>
      </c>
      <c r="G141" s="442">
        <v>50</v>
      </c>
      <c r="H141" s="440">
        <v>10</v>
      </c>
      <c r="I141" s="28">
        <v>2</v>
      </c>
      <c r="J141" s="441">
        <f t="shared" si="26"/>
        <v>0.40</v>
      </c>
      <c r="K141" s="28">
        <v>2</v>
      </c>
      <c r="L141" s="267">
        <f t="shared" si="27"/>
        <v>0.80</v>
      </c>
      <c r="M141" s="433">
        <f t="shared" si="28"/>
        <v>140.80000000000001</v>
      </c>
      <c r="N141" s="434">
        <v>176</v>
      </c>
      <c r="O141" s="435">
        <f t="shared" si="29"/>
        <v>0.40</v>
      </c>
      <c r="P141" s="22"/>
    </row>
    <row r="142" spans="1:16" ht="15">
      <c r="A142" s="13" t="s">
        <v>292</v>
      </c>
      <c r="B142" s="27" t="s">
        <v>21</v>
      </c>
      <c r="C142" s="13" t="s">
        <v>33</v>
      </c>
      <c r="D142" s="13">
        <v>219</v>
      </c>
      <c r="E142" s="13"/>
      <c r="F142" s="13" t="s">
        <v>12</v>
      </c>
      <c r="G142" s="569">
        <f>6.11*2</f>
        <v>12.22</v>
      </c>
      <c r="H142" s="440">
        <v>10</v>
      </c>
      <c r="I142" s="28">
        <v>2</v>
      </c>
      <c r="J142" s="441">
        <f t="shared" si="26"/>
        <v>1.6366612111292962</v>
      </c>
      <c r="K142" s="28">
        <v>1</v>
      </c>
      <c r="L142" s="267">
        <f t="shared" si="27"/>
        <v>1.6366612111292962</v>
      </c>
      <c r="M142" s="433">
        <f t="shared" si="28"/>
        <v>271.68576104746319</v>
      </c>
      <c r="N142" s="434">
        <v>166</v>
      </c>
      <c r="O142" s="435">
        <f t="shared" si="29"/>
        <v>0.81833060556464809</v>
      </c>
      <c r="P142" s="22"/>
    </row>
    <row r="143" spans="1:16" ht="30">
      <c r="A143" s="13" t="s">
        <v>406</v>
      </c>
      <c r="B143" s="27" t="s">
        <v>407</v>
      </c>
      <c r="C143" s="13" t="s">
        <v>14</v>
      </c>
      <c r="D143" s="13">
        <v>226</v>
      </c>
      <c r="E143" s="13"/>
      <c r="F143" s="13" t="s">
        <v>12</v>
      </c>
      <c r="G143" s="442">
        <v>61</v>
      </c>
      <c r="H143" s="440">
        <v>10</v>
      </c>
      <c r="I143" s="28">
        <v>1</v>
      </c>
      <c r="J143" s="441">
        <f t="shared" si="26"/>
        <v>0.16393442622950818</v>
      </c>
      <c r="K143" s="28">
        <v>0.80</v>
      </c>
      <c r="L143" s="435">
        <f t="shared" si="27"/>
        <v>0.13114754098360656</v>
      </c>
      <c r="M143" s="266">
        <f t="shared" si="28"/>
        <v>26.229508196721312</v>
      </c>
      <c r="N143" s="433">
        <v>200</v>
      </c>
      <c r="O143" s="435">
        <f t="shared" si="29"/>
        <v>0.13114754098360656</v>
      </c>
      <c r="P143" s="22"/>
    </row>
    <row r="144" spans="1:16" ht="15">
      <c r="A144" s="13" t="s">
        <v>291</v>
      </c>
      <c r="B144" s="27" t="s">
        <v>101</v>
      </c>
      <c r="C144" s="13" t="s">
        <v>33</v>
      </c>
      <c r="D144" s="13">
        <v>219</v>
      </c>
      <c r="E144" s="13"/>
      <c r="F144" s="13" t="s">
        <v>12</v>
      </c>
      <c r="G144" s="442">
        <v>12.10</v>
      </c>
      <c r="H144" s="440">
        <v>10</v>
      </c>
      <c r="I144" s="28">
        <v>2</v>
      </c>
      <c r="J144" s="441">
        <f t="shared" si="26"/>
        <v>1.6528925619834711</v>
      </c>
      <c r="K144" s="28">
        <v>1</v>
      </c>
      <c r="L144" s="267">
        <f t="shared" si="27"/>
        <v>1.6528925619834711</v>
      </c>
      <c r="M144" s="433">
        <f t="shared" si="28"/>
        <v>330.57851239669424</v>
      </c>
      <c r="N144" s="434">
        <v>200</v>
      </c>
      <c r="O144" s="435">
        <f t="shared" si="29"/>
        <v>0.82644628099173556</v>
      </c>
      <c r="P144" s="22"/>
    </row>
    <row r="145" spans="1:16" ht="15">
      <c r="A145" s="13" t="s">
        <v>303</v>
      </c>
      <c r="B145" s="27" t="s">
        <v>304</v>
      </c>
      <c r="C145" s="13" t="s">
        <v>226</v>
      </c>
      <c r="D145" s="13">
        <v>302</v>
      </c>
      <c r="E145" s="13"/>
      <c r="F145" s="13" t="s">
        <v>103</v>
      </c>
      <c r="G145" s="432">
        <v>215.71428571428572</v>
      </c>
      <c r="H145" s="440">
        <v>10</v>
      </c>
      <c r="I145" s="28">
        <v>1</v>
      </c>
      <c r="J145" s="441">
        <f t="shared" si="26"/>
        <v>0.046357615894039736</v>
      </c>
      <c r="K145" s="28">
        <v>30</v>
      </c>
      <c r="L145" s="267">
        <f t="shared" si="27"/>
        <v>1.3907284768211921</v>
      </c>
      <c r="M145" s="433">
        <f t="shared" si="28"/>
        <v>244.76821192052981</v>
      </c>
      <c r="N145" s="434">
        <v>176</v>
      </c>
      <c r="O145" s="435">
        <f t="shared" si="29"/>
        <v>1.3907284768211921</v>
      </c>
      <c r="P145" s="22"/>
    </row>
    <row r="146" spans="1:16" ht="15">
      <c r="A146" s="13" t="s">
        <v>293</v>
      </c>
      <c r="B146" s="27" t="s">
        <v>102</v>
      </c>
      <c r="C146" s="13" t="s">
        <v>33</v>
      </c>
      <c r="D146" s="13">
        <v>219</v>
      </c>
      <c r="E146" s="13"/>
      <c r="F146" s="13" t="s">
        <v>103</v>
      </c>
      <c r="G146" s="28">
        <f>10*60/1</f>
        <v>600</v>
      </c>
      <c r="H146" s="440">
        <v>10</v>
      </c>
      <c r="I146" s="28">
        <v>1</v>
      </c>
      <c r="J146" s="441">
        <f t="shared" si="26"/>
        <v>0.016666666666666666</v>
      </c>
      <c r="K146" s="28">
        <v>30</v>
      </c>
      <c r="L146" s="267">
        <f t="shared" si="27"/>
        <v>0.50</v>
      </c>
      <c r="M146" s="433">
        <f t="shared" si="28"/>
        <v>76</v>
      </c>
      <c r="N146" s="434">
        <v>152</v>
      </c>
      <c r="O146" s="435">
        <f t="shared" si="29"/>
        <v>0.50</v>
      </c>
      <c r="P146" s="22"/>
    </row>
    <row r="147" spans="1:16" ht="15">
      <c r="A147" s="13" t="s">
        <v>305</v>
      </c>
      <c r="B147" s="27" t="s">
        <v>343</v>
      </c>
      <c r="C147" s="13" t="s">
        <v>14</v>
      </c>
      <c r="D147" s="13">
        <v>226</v>
      </c>
      <c r="E147" s="13"/>
      <c r="F147" s="13" t="s">
        <v>58</v>
      </c>
      <c r="G147" s="28">
        <v>55.20</v>
      </c>
      <c r="H147" s="440">
        <v>10</v>
      </c>
      <c r="I147" s="28">
        <v>1</v>
      </c>
      <c r="J147" s="441">
        <f t="shared" si="26"/>
        <v>0.18115942028985507</v>
      </c>
      <c r="K147" s="28">
        <v>1.18</v>
      </c>
      <c r="L147" s="435">
        <f t="shared" si="27"/>
        <v>0.21376811594202896</v>
      </c>
      <c r="M147" s="266">
        <f t="shared" si="28"/>
        <v>42.75362318840579</v>
      </c>
      <c r="N147" s="433">
        <v>200</v>
      </c>
      <c r="O147" s="435">
        <f t="shared" si="29"/>
        <v>0.21376811594202896</v>
      </c>
      <c r="P147" s="22"/>
    </row>
    <row r="148" spans="1:16" ht="30">
      <c r="A148" s="13" t="s">
        <v>306</v>
      </c>
      <c r="B148" s="27" t="s">
        <v>307</v>
      </c>
      <c r="C148" s="13" t="s">
        <v>14</v>
      </c>
      <c r="D148" s="13">
        <v>226</v>
      </c>
      <c r="E148" s="13"/>
      <c r="F148" s="13" t="s">
        <v>12</v>
      </c>
      <c r="G148" s="28">
        <v>10</v>
      </c>
      <c r="H148" s="440">
        <v>10</v>
      </c>
      <c r="I148" s="28">
        <v>1</v>
      </c>
      <c r="J148" s="441">
        <f t="shared" si="26"/>
        <v>1</v>
      </c>
      <c r="K148" s="28">
        <v>1</v>
      </c>
      <c r="L148" s="435">
        <f t="shared" si="27"/>
        <v>1</v>
      </c>
      <c r="M148" s="266">
        <f t="shared" si="28"/>
        <v>200</v>
      </c>
      <c r="N148" s="433">
        <v>200</v>
      </c>
      <c r="O148" s="435">
        <f t="shared" si="29"/>
        <v>1</v>
      </c>
      <c r="P148" s="22"/>
    </row>
    <row r="149" spans="1:16" ht="15">
      <c r="A149" s="13" t="s">
        <v>296</v>
      </c>
      <c r="B149" s="56" t="s">
        <v>105</v>
      </c>
      <c r="C149" s="13" t="s">
        <v>33</v>
      </c>
      <c r="D149" s="13">
        <v>219</v>
      </c>
      <c r="E149" s="13"/>
      <c r="F149" s="13" t="s">
        <v>96</v>
      </c>
      <c r="G149" s="28">
        <v>12.30</v>
      </c>
      <c r="H149" s="440">
        <v>10</v>
      </c>
      <c r="I149" s="28">
        <v>2</v>
      </c>
      <c r="J149" s="441">
        <f t="shared" si="26"/>
        <v>1.6260162601626016</v>
      </c>
      <c r="K149" s="28">
        <v>1</v>
      </c>
      <c r="L149" s="267">
        <f t="shared" si="27"/>
        <v>1.6260162601626016</v>
      </c>
      <c r="M149" s="433">
        <f t="shared" si="28"/>
        <v>325.20325203252031</v>
      </c>
      <c r="N149" s="434">
        <v>200</v>
      </c>
      <c r="O149" s="435">
        <f t="shared" si="29"/>
        <v>0.81300813008130079</v>
      </c>
      <c r="P149" s="22"/>
    </row>
    <row r="150" spans="1:16" ht="15">
      <c r="A150" s="523" t="s">
        <v>1695</v>
      </c>
      <c r="B150" s="522" t="s">
        <v>1696</v>
      </c>
      <c r="C150" s="523" t="s">
        <v>33</v>
      </c>
      <c r="D150" s="523">
        <v>226</v>
      </c>
      <c r="E150" s="523"/>
      <c r="F150" s="523" t="s">
        <v>12</v>
      </c>
      <c r="G150" s="527">
        <v>20</v>
      </c>
      <c r="H150" s="530">
        <v>10</v>
      </c>
      <c r="I150" s="527">
        <v>1</v>
      </c>
      <c r="J150" s="531">
        <f t="shared" si="26"/>
        <v>0.50</v>
      </c>
      <c r="K150" s="527">
        <v>1</v>
      </c>
      <c r="L150" s="267">
        <f t="shared" si="27"/>
        <v>0.50</v>
      </c>
      <c r="M150" s="433">
        <f t="shared" si="28"/>
        <v>100</v>
      </c>
      <c r="N150" s="434">
        <v>200</v>
      </c>
      <c r="O150" s="435">
        <f t="shared" si="29"/>
        <v>0.50</v>
      </c>
      <c r="P150" s="22"/>
    </row>
    <row r="151" spans="1:16" ht="15">
      <c r="A151" s="13" t="s">
        <v>308</v>
      </c>
      <c r="B151" s="27" t="s">
        <v>309</v>
      </c>
      <c r="C151" s="13" t="s">
        <v>14</v>
      </c>
      <c r="D151" s="13">
        <v>226</v>
      </c>
      <c r="E151" s="13"/>
      <c r="F151" s="13" t="s">
        <v>58</v>
      </c>
      <c r="G151" s="442">
        <v>55</v>
      </c>
      <c r="H151" s="440">
        <v>10</v>
      </c>
      <c r="I151" s="28">
        <v>1</v>
      </c>
      <c r="J151" s="441">
        <f t="shared" si="26"/>
        <v>0.18181818181818182</v>
      </c>
      <c r="K151" s="28">
        <v>2.2599999999999998</v>
      </c>
      <c r="L151" s="435">
        <f t="shared" si="27"/>
        <v>0.41090909090909089</v>
      </c>
      <c r="M151" s="266">
        <f t="shared" si="28"/>
        <v>62.458181818181814</v>
      </c>
      <c r="N151" s="433">
        <v>152</v>
      </c>
      <c r="O151" s="435">
        <f t="shared" si="29"/>
        <v>0.41090909090909089</v>
      </c>
      <c r="P151" s="22"/>
    </row>
    <row r="152" spans="1:16" ht="15">
      <c r="A152" s="13" t="s">
        <v>294</v>
      </c>
      <c r="B152" s="27" t="s">
        <v>521</v>
      </c>
      <c r="C152" s="13" t="s">
        <v>14</v>
      </c>
      <c r="D152" s="13">
        <v>226</v>
      </c>
      <c r="E152" s="13"/>
      <c r="F152" s="13" t="s">
        <v>58</v>
      </c>
      <c r="G152" s="28">
        <v>23.16</v>
      </c>
      <c r="H152" s="440">
        <v>10</v>
      </c>
      <c r="I152" s="28">
        <v>1</v>
      </c>
      <c r="J152" s="441">
        <f t="shared" si="26"/>
        <v>0.43177892918825561</v>
      </c>
      <c r="K152" s="28">
        <v>4.50</v>
      </c>
      <c r="L152" s="267">
        <f t="shared" si="27"/>
        <v>1.9430051813471503</v>
      </c>
      <c r="M152" s="433">
        <f t="shared" si="28"/>
        <v>388.60103626943004</v>
      </c>
      <c r="N152" s="434">
        <v>200</v>
      </c>
      <c r="O152" s="435">
        <f t="shared" si="29"/>
        <v>1.9430051813471503</v>
      </c>
      <c r="P152" s="22"/>
    </row>
    <row r="153" spans="1:16" ht="15">
      <c r="A153" s="13" t="s">
        <v>1639</v>
      </c>
      <c r="B153" s="27" t="s">
        <v>1640</v>
      </c>
      <c r="C153" s="13" t="s">
        <v>33</v>
      </c>
      <c r="D153" s="13" t="s">
        <v>1333</v>
      </c>
      <c r="E153" s="13"/>
      <c r="F153" s="13" t="s">
        <v>12</v>
      </c>
      <c r="G153" s="442">
        <v>30</v>
      </c>
      <c r="H153" s="440">
        <v>10</v>
      </c>
      <c r="I153" s="28">
        <v>2</v>
      </c>
      <c r="J153" s="441">
        <f t="shared" si="26"/>
        <v>0.66666666666666663</v>
      </c>
      <c r="K153" s="28">
        <v>1</v>
      </c>
      <c r="L153" s="267">
        <f t="shared" si="27"/>
        <v>0.66666666666666663</v>
      </c>
      <c r="M153" s="433">
        <f t="shared" si="28"/>
        <v>101.33333333333333</v>
      </c>
      <c r="N153" s="434">
        <v>152</v>
      </c>
      <c r="O153" s="435">
        <f t="shared" si="29"/>
        <v>0.33333333333333331</v>
      </c>
      <c r="P153" s="21"/>
    </row>
    <row r="154" spans="1:16" ht="15">
      <c r="A154" s="13" t="s">
        <v>295</v>
      </c>
      <c r="B154" s="27" t="s">
        <v>104</v>
      </c>
      <c r="C154" s="13" t="s">
        <v>33</v>
      </c>
      <c r="D154" s="13" t="s">
        <v>1333</v>
      </c>
      <c r="E154" s="13"/>
      <c r="F154" s="13" t="s">
        <v>12</v>
      </c>
      <c r="G154" s="28">
        <v>18.75</v>
      </c>
      <c r="H154" s="440">
        <v>10</v>
      </c>
      <c r="I154" s="28">
        <v>2</v>
      </c>
      <c r="J154" s="441">
        <f t="shared" si="26"/>
        <v>1.0666666666666667</v>
      </c>
      <c r="K154" s="28">
        <v>1</v>
      </c>
      <c r="L154" s="267">
        <f t="shared" si="27"/>
        <v>1.0666666666666667</v>
      </c>
      <c r="M154" s="433">
        <f t="shared" si="28"/>
        <v>162.13333333333333</v>
      </c>
      <c r="N154" s="434">
        <v>152</v>
      </c>
      <c r="O154" s="435">
        <f t="shared" si="29"/>
        <v>0.53333333333333333</v>
      </c>
      <c r="P154" s="21"/>
    </row>
    <row r="155" spans="1:15" s="22" customFormat="1" ht="15">
      <c r="A155" s="443"/>
      <c r="B155" s="495" t="s">
        <v>15</v>
      </c>
      <c r="C155" s="443"/>
      <c r="D155" s="443"/>
      <c r="E155" s="443"/>
      <c r="F155" s="444"/>
      <c r="G155" s="443"/>
      <c r="H155" s="445"/>
      <c r="I155" s="443"/>
      <c r="J155" s="446"/>
      <c r="K155" s="443"/>
      <c r="L155" s="447">
        <f>SUM(L6:L154)</f>
        <v>154.8952607458242</v>
      </c>
      <c r="M155" s="455">
        <f>M19+M48+M62+M75+M86+M133+M82+M5</f>
        <v>30596.212061381008</v>
      </c>
      <c r="N155" s="110"/>
      <c r="O155" s="454">
        <f>O19+O48+O62+O75+O86+O133+O82+O5</f>
        <v>106.3053485186844</v>
      </c>
    </row>
    <row r="156" spans="12:15" ht="15">
      <c r="L156" s="448" t="s">
        <v>16</v>
      </c>
      <c r="O156" s="448" t="s">
        <v>17</v>
      </c>
    </row>
    <row r="157" spans="6:15" ht="15">
      <c r="F157" s="107"/>
      <c r="J157" s="450"/>
      <c r="K157" s="451" t="s">
        <v>18</v>
      </c>
      <c r="L157" s="452">
        <f>L155/G2</f>
        <v>180.95240741334604</v>
      </c>
      <c r="M157" s="450" t="s">
        <v>19</v>
      </c>
      <c r="N157" s="450"/>
      <c r="O157" s="450"/>
    </row>
    <row r="158" spans="6:6" ht="15">
      <c r="F158" s="107"/>
    </row>
    <row r="159" spans="2:8" ht="15">
      <c r="B159" s="493" t="s">
        <v>858</v>
      </c>
      <c r="C159" s="449"/>
      <c r="F159" s="107"/>
      <c r="H159" s="268"/>
    </row>
    <row r="160" spans="6:6" ht="15">
      <c r="F160" s="107"/>
    </row>
    <row r="161" spans="2:3" ht="15">
      <c r="B161" s="493" t="s">
        <v>848</v>
      </c>
      <c r="C161" s="449"/>
    </row>
    <row r="163" spans="2:3" ht="15">
      <c r="B163" s="493" t="s">
        <v>849</v>
      </c>
      <c r="C163" s="449"/>
    </row>
    <row r="166" ht="15.75"/>
    <row r="167" spans="1:8" ht="15" hidden="1">
      <c r="A167" s="481" t="s">
        <v>328</v>
      </c>
      <c r="B167" s="496" t="s">
        <v>329</v>
      </c>
      <c r="C167" s="481" t="s">
        <v>330</v>
      </c>
      <c r="D167" s="481" t="s">
        <v>331</v>
      </c>
      <c r="E167" s="481" t="s">
        <v>332</v>
      </c>
      <c r="F167" s="481" t="s">
        <v>333</v>
      </c>
      <c r="G167" s="427"/>
      <c r="H167" s="268"/>
    </row>
    <row r="168" spans="1:8" ht="45" hidden="1">
      <c r="A168" s="482">
        <v>1</v>
      </c>
      <c r="B168" s="483" t="s">
        <v>955</v>
      </c>
      <c r="C168" s="482">
        <v>3.7890000000000001</v>
      </c>
      <c r="D168" s="482">
        <v>2.60</v>
      </c>
      <c r="E168" s="482" t="s">
        <v>954</v>
      </c>
      <c r="F168" s="484">
        <v>44497</v>
      </c>
      <c r="G168" s="427"/>
      <c r="H168" s="268"/>
    </row>
    <row r="169" spans="1:8" ht="30" hidden="1">
      <c r="A169" s="482">
        <v>1</v>
      </c>
      <c r="B169" s="483" t="s">
        <v>1108</v>
      </c>
      <c r="C169" s="482">
        <v>1</v>
      </c>
      <c r="D169" s="482">
        <v>3</v>
      </c>
      <c r="E169" s="482" t="s">
        <v>954</v>
      </c>
      <c r="F169" s="484">
        <v>44508</v>
      </c>
      <c r="G169" s="427"/>
      <c r="H169" s="268"/>
    </row>
    <row r="170" spans="1:8" ht="15" hidden="1">
      <c r="A170" s="482">
        <v>2</v>
      </c>
      <c r="B170" s="483" t="s">
        <v>1022</v>
      </c>
      <c r="C170" s="482"/>
      <c r="D170" s="482"/>
      <c r="E170" s="482" t="s">
        <v>954</v>
      </c>
      <c r="F170" s="484">
        <v>44508</v>
      </c>
      <c r="G170" s="427"/>
      <c r="H170" s="268"/>
    </row>
    <row r="171" spans="1:8" ht="45" hidden="1">
      <c r="A171" s="482">
        <v>3</v>
      </c>
      <c r="B171" s="483" t="s">
        <v>1107</v>
      </c>
      <c r="C171" s="482">
        <v>2.2170000000000001</v>
      </c>
      <c r="D171" s="482">
        <v>4.5640000000000001</v>
      </c>
      <c r="E171" s="482" t="s">
        <v>954</v>
      </c>
      <c r="F171" s="484">
        <v>44508</v>
      </c>
      <c r="G171" s="427"/>
      <c r="H171" s="268"/>
    </row>
    <row r="172" spans="1:8" ht="45" hidden="1">
      <c r="A172" s="482">
        <v>4</v>
      </c>
      <c r="B172" s="483" t="s">
        <v>1106</v>
      </c>
      <c r="C172" s="482"/>
      <c r="D172" s="482">
        <v>23.49</v>
      </c>
      <c r="E172" s="482" t="s">
        <v>954</v>
      </c>
      <c r="F172" s="484">
        <v>44508</v>
      </c>
      <c r="G172" s="427"/>
      <c r="H172" s="268"/>
    </row>
    <row r="173" spans="1:8" ht="75" hidden="1">
      <c r="A173" s="482">
        <v>5</v>
      </c>
      <c r="B173" s="483" t="s">
        <v>1283</v>
      </c>
      <c r="C173" s="482">
        <v>600</v>
      </c>
      <c r="D173" s="482">
        <v>400</v>
      </c>
      <c r="E173" s="482" t="s">
        <v>954</v>
      </c>
      <c r="F173" s="484">
        <v>44602</v>
      </c>
      <c r="G173" s="427"/>
      <c r="H173" s="268"/>
    </row>
    <row r="174" spans="1:8" ht="30" hidden="1">
      <c r="A174" s="482">
        <v>6</v>
      </c>
      <c r="B174" s="483" t="s">
        <v>1284</v>
      </c>
      <c r="C174" s="485"/>
      <c r="D174" s="485"/>
      <c r="E174" s="482" t="s">
        <v>954</v>
      </c>
      <c r="F174" s="484">
        <v>44602</v>
      </c>
      <c r="G174" s="427"/>
      <c r="H174" s="268"/>
    </row>
    <row r="175" spans="1:8" ht="30" hidden="1">
      <c r="A175" s="482">
        <v>7</v>
      </c>
      <c r="B175" s="483" t="s">
        <v>1296</v>
      </c>
      <c r="C175" s="485"/>
      <c r="D175" s="485"/>
      <c r="E175" s="482" t="s">
        <v>954</v>
      </c>
      <c r="F175" s="484">
        <v>44616</v>
      </c>
      <c r="G175" s="427"/>
      <c r="H175" s="268"/>
    </row>
    <row r="176" spans="1:8" ht="30" hidden="1">
      <c r="A176" s="482">
        <v>8</v>
      </c>
      <c r="B176" s="483" t="s">
        <v>1297</v>
      </c>
      <c r="C176" s="485"/>
      <c r="D176" s="485"/>
      <c r="E176" s="482" t="s">
        <v>954</v>
      </c>
      <c r="F176" s="484">
        <v>44616</v>
      </c>
      <c r="G176" s="427"/>
      <c r="H176" s="268"/>
    </row>
    <row r="177" spans="1:8" ht="30" hidden="1">
      <c r="A177" s="482">
        <v>9</v>
      </c>
      <c r="B177" s="483" t="s">
        <v>1298</v>
      </c>
      <c r="C177" s="485"/>
      <c r="D177" s="485"/>
      <c r="E177" s="482" t="s">
        <v>954</v>
      </c>
      <c r="F177" s="484">
        <v>44616</v>
      </c>
      <c r="G177" s="427"/>
      <c r="H177" s="268"/>
    </row>
    <row r="178" spans="1:8" ht="30" hidden="1">
      <c r="A178" s="482">
        <v>10</v>
      </c>
      <c r="B178" s="483" t="s">
        <v>1299</v>
      </c>
      <c r="C178" s="485"/>
      <c r="D178" s="485"/>
      <c r="E178" s="482" t="s">
        <v>954</v>
      </c>
      <c r="F178" s="484">
        <v>44616</v>
      </c>
      <c r="G178" s="427"/>
      <c r="H178" s="268"/>
    </row>
    <row r="179" spans="1:8" ht="30" hidden="1">
      <c r="A179" s="482">
        <v>11</v>
      </c>
      <c r="B179" s="483" t="s">
        <v>1300</v>
      </c>
      <c r="C179" s="485"/>
      <c r="D179" s="485"/>
      <c r="E179" s="482" t="s">
        <v>954</v>
      </c>
      <c r="F179" s="484">
        <v>44616</v>
      </c>
      <c r="G179" s="427"/>
      <c r="H179" s="268"/>
    </row>
    <row r="180" spans="1:8" ht="30" hidden="1">
      <c r="A180" s="482">
        <v>12</v>
      </c>
      <c r="B180" s="483" t="s">
        <v>1301</v>
      </c>
      <c r="C180" s="485"/>
      <c r="D180" s="485"/>
      <c r="E180" s="482" t="s">
        <v>954</v>
      </c>
      <c r="F180" s="484">
        <v>44616</v>
      </c>
      <c r="G180" s="427"/>
      <c r="H180" s="268"/>
    </row>
    <row r="181" spans="1:8" ht="30" hidden="1">
      <c r="A181" s="482">
        <v>13</v>
      </c>
      <c r="B181" s="483" t="s">
        <v>1302</v>
      </c>
      <c r="C181" s="485"/>
      <c r="D181" s="485"/>
      <c r="E181" s="482" t="s">
        <v>954</v>
      </c>
      <c r="F181" s="484">
        <v>44616</v>
      </c>
      <c r="G181" s="427"/>
      <c r="H181" s="268"/>
    </row>
    <row r="182" spans="1:8" ht="30" hidden="1">
      <c r="A182" s="482">
        <v>14</v>
      </c>
      <c r="B182" s="483" t="s">
        <v>1303</v>
      </c>
      <c r="C182" s="485"/>
      <c r="D182" s="485"/>
      <c r="E182" s="482" t="s">
        <v>954</v>
      </c>
      <c r="F182" s="484">
        <v>44616</v>
      </c>
      <c r="G182" s="427"/>
      <c r="H182" s="268"/>
    </row>
    <row r="183" spans="1:8" ht="30" hidden="1">
      <c r="A183" s="482">
        <v>15</v>
      </c>
      <c r="B183" s="483" t="s">
        <v>1304</v>
      </c>
      <c r="C183" s="485"/>
      <c r="D183" s="485"/>
      <c r="E183" s="482" t="s">
        <v>954</v>
      </c>
      <c r="F183" s="484">
        <v>44616</v>
      </c>
      <c r="G183" s="427"/>
      <c r="H183" s="268"/>
    </row>
    <row r="184" spans="1:8" ht="30" hidden="1">
      <c r="A184" s="482">
        <v>16</v>
      </c>
      <c r="B184" s="483" t="s">
        <v>1305</v>
      </c>
      <c r="C184" s="485"/>
      <c r="D184" s="485"/>
      <c r="E184" s="482" t="s">
        <v>954</v>
      </c>
      <c r="F184" s="484">
        <v>44616</v>
      </c>
      <c r="G184" s="427"/>
      <c r="H184" s="268"/>
    </row>
    <row r="185" spans="1:8" ht="30" hidden="1">
      <c r="A185" s="482">
        <v>17</v>
      </c>
      <c r="B185" s="483" t="s">
        <v>1306</v>
      </c>
      <c r="C185" s="485"/>
      <c r="D185" s="485"/>
      <c r="E185" s="482" t="s">
        <v>954</v>
      </c>
      <c r="F185" s="484">
        <v>44616</v>
      </c>
      <c r="G185" s="427"/>
      <c r="H185" s="268"/>
    </row>
    <row r="186" spans="1:8" ht="30" hidden="1">
      <c r="A186" s="482">
        <v>18</v>
      </c>
      <c r="B186" s="483" t="s">
        <v>1307</v>
      </c>
      <c r="C186" s="485"/>
      <c r="D186" s="485"/>
      <c r="E186" s="482" t="s">
        <v>954</v>
      </c>
      <c r="F186" s="484">
        <v>44616</v>
      </c>
      <c r="G186" s="427"/>
      <c r="H186" s="268"/>
    </row>
    <row r="187" spans="1:6" ht="45" hidden="1">
      <c r="A187" s="482">
        <v>19</v>
      </c>
      <c r="B187" s="483" t="s">
        <v>1534</v>
      </c>
      <c r="C187" s="485"/>
      <c r="D187" s="485"/>
      <c r="E187" s="482" t="s">
        <v>954</v>
      </c>
      <c r="F187" s="484">
        <v>44634</v>
      </c>
    </row>
    <row r="188" spans="1:6" ht="45" hidden="1">
      <c r="A188" s="482">
        <v>20</v>
      </c>
      <c r="B188" s="483" t="s">
        <v>1533</v>
      </c>
      <c r="C188" s="485"/>
      <c r="D188" s="485"/>
      <c r="E188" s="482" t="s">
        <v>954</v>
      </c>
      <c r="F188" s="484">
        <v>44634</v>
      </c>
    </row>
    <row r="189" spans="1:6" ht="45" hidden="1">
      <c r="A189" s="482">
        <v>21</v>
      </c>
      <c r="B189" s="483" t="s">
        <v>1532</v>
      </c>
      <c r="C189" s="485"/>
      <c r="D189" s="485"/>
      <c r="E189" s="482" t="s">
        <v>954</v>
      </c>
      <c r="F189" s="484">
        <v>44634</v>
      </c>
    </row>
    <row r="190" spans="1:6" ht="45" hidden="1">
      <c r="A190" s="482">
        <v>22</v>
      </c>
      <c r="B190" s="483" t="s">
        <v>1531</v>
      </c>
      <c r="C190" s="485"/>
      <c r="D190" s="485"/>
      <c r="E190" s="482" t="s">
        <v>954</v>
      </c>
      <c r="F190" s="484">
        <v>44634</v>
      </c>
    </row>
    <row r="191" spans="1:6" ht="60" hidden="1">
      <c r="A191" s="482">
        <v>23</v>
      </c>
      <c r="B191" s="483" t="s">
        <v>1530</v>
      </c>
      <c r="C191" s="485"/>
      <c r="D191" s="485"/>
      <c r="E191" s="482" t="s">
        <v>954</v>
      </c>
      <c r="F191" s="484">
        <v>44634</v>
      </c>
    </row>
    <row r="192" spans="1:6" ht="60" hidden="1">
      <c r="A192" s="482">
        <v>24</v>
      </c>
      <c r="B192" s="483" t="s">
        <v>1529</v>
      </c>
      <c r="C192" s="485"/>
      <c r="D192" s="485"/>
      <c r="E192" s="482" t="s">
        <v>954</v>
      </c>
      <c r="F192" s="484">
        <v>44634</v>
      </c>
    </row>
    <row r="193" spans="1:6" ht="60" hidden="1">
      <c r="A193" s="482">
        <v>25</v>
      </c>
      <c r="B193" s="483" t="s">
        <v>1528</v>
      </c>
      <c r="C193" s="485"/>
      <c r="D193" s="485"/>
      <c r="E193" s="482" t="s">
        <v>954</v>
      </c>
      <c r="F193" s="484">
        <v>44634</v>
      </c>
    </row>
    <row r="194" spans="1:6" ht="60" hidden="1">
      <c r="A194" s="482">
        <v>26</v>
      </c>
      <c r="B194" s="483" t="s">
        <v>1527</v>
      </c>
      <c r="C194" s="485"/>
      <c r="D194" s="485"/>
      <c r="E194" s="482" t="s">
        <v>954</v>
      </c>
      <c r="F194" s="484">
        <v>44634</v>
      </c>
    </row>
    <row r="195" spans="1:6" ht="45.75" hidden="1" thickBot="1">
      <c r="A195" s="482">
        <v>27</v>
      </c>
      <c r="B195" s="483" t="s">
        <v>1399</v>
      </c>
      <c r="C195" s="485"/>
      <c r="D195" s="485"/>
      <c r="E195" s="482" t="s">
        <v>954</v>
      </c>
      <c r="F195" s="484">
        <v>44634</v>
      </c>
    </row>
    <row r="196" spans="1:15" ht="15">
      <c r="A196" s="500" t="s">
        <v>328</v>
      </c>
      <c r="B196" s="631" t="s">
        <v>1593</v>
      </c>
      <c r="C196" s="632"/>
      <c r="D196" s="633"/>
      <c r="E196" s="501" t="s">
        <v>332</v>
      </c>
      <c r="F196" s="502" t="s">
        <v>333</v>
      </c>
      <c r="G196" s="427"/>
      <c r="H196" s="268"/>
      <c r="O196" s="503"/>
    </row>
    <row r="197" spans="1:15" ht="15.75" thickBot="1">
      <c r="A197" s="504">
        <v>1</v>
      </c>
      <c r="B197" s="634" t="s">
        <v>1605</v>
      </c>
      <c r="C197" s="635"/>
      <c r="D197" s="636"/>
      <c r="E197" s="505" t="s">
        <v>1334</v>
      </c>
      <c r="F197" s="506">
        <v>44677</v>
      </c>
      <c r="G197" s="427"/>
      <c r="H197" s="268"/>
      <c r="O197" s="503"/>
    </row>
    <row r="198" spans="1:16" ht="15">
      <c r="A198" s="13" t="s">
        <v>1639</v>
      </c>
      <c r="B198" s="27" t="s">
        <v>1640</v>
      </c>
      <c r="C198" s="13" t="s">
        <v>33</v>
      </c>
      <c r="D198" s="13" t="s">
        <v>1333</v>
      </c>
      <c r="E198" s="13"/>
      <c r="F198" s="13" t="s">
        <v>12</v>
      </c>
      <c r="G198" s="442">
        <v>30</v>
      </c>
      <c r="H198" s="440">
        <v>10</v>
      </c>
      <c r="I198" s="28">
        <v>2</v>
      </c>
      <c r="J198" s="441">
        <f t="shared" si="30" ref="J198">H198/G198*I198</f>
        <v>0.66666666666666663</v>
      </c>
      <c r="K198" s="28">
        <v>1</v>
      </c>
      <c r="L198" s="267">
        <f t="shared" si="31" ref="L198">J198*K198</f>
        <v>0.66666666666666663</v>
      </c>
      <c r="M198" s="433">
        <f t="shared" si="32" ref="M198">L198*N198</f>
        <v>101.33333333333333</v>
      </c>
      <c r="N198" s="434">
        <v>152</v>
      </c>
      <c r="O198" s="435">
        <f t="shared" si="33" ref="O198">J198/I198*K198</f>
        <v>0.33333333333333331</v>
      </c>
      <c r="P198" s="21"/>
    </row>
    <row r="199" ht="15.75" thickBot="1"/>
    <row r="200" spans="1:7" ht="15">
      <c r="A200" s="500" t="s">
        <v>328</v>
      </c>
      <c r="B200" s="631" t="s">
        <v>1593</v>
      </c>
      <c r="C200" s="632"/>
      <c r="D200" s="633"/>
      <c r="E200" s="501" t="s">
        <v>332</v>
      </c>
      <c r="F200" s="502" t="s">
        <v>333</v>
      </c>
      <c r="G200" s="68"/>
    </row>
    <row r="201" spans="1:7" ht="15.75" thickBot="1">
      <c r="A201" s="504">
        <v>2</v>
      </c>
      <c r="B201" s="634" t="s">
        <v>1605</v>
      </c>
      <c r="C201" s="635"/>
      <c r="D201" s="636"/>
      <c r="E201" s="505" t="s">
        <v>1682</v>
      </c>
      <c r="F201" s="506">
        <v>44987</v>
      </c>
      <c r="G201" s="68"/>
    </row>
    <row r="202" spans="1:15" ht="30">
      <c r="A202" s="529" t="s">
        <v>1662</v>
      </c>
      <c r="B202" s="522" t="s">
        <v>1661</v>
      </c>
      <c r="C202" s="523" t="s">
        <v>9</v>
      </c>
      <c r="D202" s="523">
        <v>109</v>
      </c>
      <c r="E202" s="523"/>
      <c r="F202" s="524" t="s">
        <v>10</v>
      </c>
      <c r="G202" s="525">
        <v>33</v>
      </c>
      <c r="H202" s="526">
        <v>10</v>
      </c>
      <c r="I202" s="527">
        <v>1</v>
      </c>
      <c r="J202" s="528">
        <f t="shared" si="34" ref="J202:J206">H202/G202*I202</f>
        <v>0.30303030303030304</v>
      </c>
      <c r="K202" s="525">
        <f>(350*2)/1000</f>
        <v>0.70</v>
      </c>
      <c r="L202" s="267">
        <f t="shared" si="35" ref="L202:L206">J202*K202</f>
        <v>0.21212121212121213</v>
      </c>
      <c r="M202" s="266">
        <f t="shared" si="36" ref="M202:M206">L202*N202</f>
        <v>32.242424242424242</v>
      </c>
      <c r="N202" s="433">
        <v>152</v>
      </c>
      <c r="O202" s="267">
        <f t="shared" si="37" ref="O202:O206">J202/I202*K202</f>
        <v>0.21212121212121213</v>
      </c>
    </row>
    <row r="203" spans="1:15" ht="30">
      <c r="A203" s="523" t="s">
        <v>1668</v>
      </c>
      <c r="B203" s="522" t="s">
        <v>1670</v>
      </c>
      <c r="C203" s="523" t="s">
        <v>33</v>
      </c>
      <c r="D203" s="523">
        <v>116</v>
      </c>
      <c r="E203" s="523"/>
      <c r="F203" s="523" t="s">
        <v>1666</v>
      </c>
      <c r="G203" s="527">
        <v>15.48</v>
      </c>
      <c r="H203" s="530">
        <v>10</v>
      </c>
      <c r="I203" s="527">
        <v>2</v>
      </c>
      <c r="J203" s="531">
        <f t="shared" si="34"/>
        <v>1.2919896640826873</v>
      </c>
      <c r="K203" s="527">
        <v>1</v>
      </c>
      <c r="L203" s="267">
        <f t="shared" si="35"/>
        <v>1.2919896640826873</v>
      </c>
      <c r="M203" s="433">
        <f t="shared" si="36"/>
        <v>258.39793281653749</v>
      </c>
      <c r="N203" s="434">
        <v>200</v>
      </c>
      <c r="O203" s="435">
        <f t="shared" si="37"/>
        <v>0.64599483204134367</v>
      </c>
    </row>
    <row r="204" spans="1:15" ht="30">
      <c r="A204" s="523" t="s">
        <v>1669</v>
      </c>
      <c r="B204" s="522" t="s">
        <v>1671</v>
      </c>
      <c r="C204" s="523" t="s">
        <v>33</v>
      </c>
      <c r="D204" s="523">
        <v>116</v>
      </c>
      <c r="E204" s="523"/>
      <c r="F204" s="523" t="s">
        <v>10</v>
      </c>
      <c r="G204" s="527">
        <v>40</v>
      </c>
      <c r="H204" s="530">
        <v>10</v>
      </c>
      <c r="I204" s="527">
        <v>1</v>
      </c>
      <c r="J204" s="531">
        <f t="shared" si="34"/>
        <v>0.25</v>
      </c>
      <c r="K204" s="525">
        <f>2868/1000</f>
        <v>2.8679999999999999</v>
      </c>
      <c r="L204" s="267">
        <f t="shared" si="35"/>
        <v>0.71699999999999997</v>
      </c>
      <c r="M204" s="433">
        <f t="shared" si="36"/>
        <v>143.40000000000001</v>
      </c>
      <c r="N204" s="434">
        <v>200</v>
      </c>
      <c r="O204" s="435">
        <f t="shared" si="37"/>
        <v>0.71699999999999997</v>
      </c>
    </row>
    <row r="205" spans="1:15" ht="30">
      <c r="A205" s="523" t="s">
        <v>1663</v>
      </c>
      <c r="B205" s="522" t="s">
        <v>1665</v>
      </c>
      <c r="C205" s="523" t="s">
        <v>33</v>
      </c>
      <c r="D205" s="523">
        <v>116</v>
      </c>
      <c r="E205" s="523"/>
      <c r="F205" s="523" t="s">
        <v>1666</v>
      </c>
      <c r="G205" s="527">
        <v>15.40</v>
      </c>
      <c r="H205" s="530">
        <v>10</v>
      </c>
      <c r="I205" s="527">
        <v>2</v>
      </c>
      <c r="J205" s="531">
        <f t="shared" si="34"/>
        <v>1.2987012987012987</v>
      </c>
      <c r="K205" s="527">
        <v>1</v>
      </c>
      <c r="L205" s="267">
        <f t="shared" si="35"/>
        <v>1.2987012987012987</v>
      </c>
      <c r="M205" s="433">
        <f t="shared" si="36"/>
        <v>259.74025974025972</v>
      </c>
      <c r="N205" s="434">
        <v>200</v>
      </c>
      <c r="O205" s="435">
        <f t="shared" si="37"/>
        <v>0.64935064935064934</v>
      </c>
    </row>
    <row r="206" spans="1:15" ht="30">
      <c r="A206" s="523" t="s">
        <v>1664</v>
      </c>
      <c r="B206" s="522" t="s">
        <v>1667</v>
      </c>
      <c r="C206" s="523" t="s">
        <v>33</v>
      </c>
      <c r="D206" s="523">
        <v>116</v>
      </c>
      <c r="E206" s="523"/>
      <c r="F206" s="523" t="s">
        <v>10</v>
      </c>
      <c r="G206" s="527">
        <v>40</v>
      </c>
      <c r="H206" s="530">
        <v>10</v>
      </c>
      <c r="I206" s="527">
        <v>1</v>
      </c>
      <c r="J206" s="531">
        <f t="shared" si="34"/>
        <v>0.25</v>
      </c>
      <c r="K206" s="525">
        <f>2800/1000</f>
        <v>2.80</v>
      </c>
      <c r="L206" s="267">
        <f t="shared" si="35"/>
        <v>0.70</v>
      </c>
      <c r="M206" s="433">
        <f t="shared" si="36"/>
        <v>140</v>
      </c>
      <c r="N206" s="434">
        <v>200</v>
      </c>
      <c r="O206" s="435">
        <f t="shared" si="37"/>
        <v>0.70</v>
      </c>
    </row>
    <row r="207" ht="15.75" thickBot="1"/>
    <row r="208" spans="1:6" ht="15">
      <c r="A208" s="500" t="s">
        <v>328</v>
      </c>
      <c r="B208" s="631" t="s">
        <v>1593</v>
      </c>
      <c r="C208" s="632"/>
      <c r="D208" s="633"/>
      <c r="E208" s="501" t="s">
        <v>332</v>
      </c>
      <c r="F208" s="502" t="s">
        <v>333</v>
      </c>
    </row>
    <row r="209" spans="1:6" ht="15.75" thickBot="1">
      <c r="A209" s="504">
        <v>3</v>
      </c>
      <c r="B209" s="634" t="s">
        <v>1605</v>
      </c>
      <c r="C209" s="635"/>
      <c r="D209" s="636"/>
      <c r="E209" s="505" t="s">
        <v>1682</v>
      </c>
      <c r="F209" s="506">
        <v>45055</v>
      </c>
    </row>
    <row r="210" spans="1:15" ht="15">
      <c r="A210" s="523" t="s">
        <v>1695</v>
      </c>
      <c r="B210" s="522" t="s">
        <v>1696</v>
      </c>
      <c r="C210" s="523" t="s">
        <v>33</v>
      </c>
      <c r="D210" s="523">
        <v>226</v>
      </c>
      <c r="E210" s="523"/>
      <c r="F210" s="523" t="s">
        <v>12</v>
      </c>
      <c r="G210" s="527">
        <v>20</v>
      </c>
      <c r="H210" s="530">
        <v>10</v>
      </c>
      <c r="I210" s="527">
        <v>1</v>
      </c>
      <c r="J210" s="531">
        <f t="shared" si="38" ref="J210">H210/G210*I210</f>
        <v>0.50</v>
      </c>
      <c r="K210" s="527">
        <v>1</v>
      </c>
      <c r="L210" s="267">
        <f t="shared" si="39" ref="L210">J210*K210</f>
        <v>0.50</v>
      </c>
      <c r="M210" s="433">
        <f t="shared" si="40" ref="M210">L210*N210</f>
        <v>100</v>
      </c>
      <c r="N210" s="434">
        <v>200</v>
      </c>
      <c r="O210" s="435">
        <f t="shared" si="41" ref="O210">J210/I210*K210</f>
        <v>0.50</v>
      </c>
    </row>
    <row r="211" ht="15.75" thickBot="1"/>
    <row r="212" spans="1:6" ht="15">
      <c r="A212" s="500" t="s">
        <v>328</v>
      </c>
      <c r="B212" s="631" t="s">
        <v>1593</v>
      </c>
      <c r="C212" s="632"/>
      <c r="D212" s="633"/>
      <c r="E212" s="501" t="s">
        <v>332</v>
      </c>
      <c r="F212" s="502" t="s">
        <v>333</v>
      </c>
    </row>
    <row r="213" spans="1:6" ht="15.75" thickBot="1">
      <c r="A213" s="504">
        <v>4</v>
      </c>
      <c r="B213" s="634" t="s">
        <v>1657</v>
      </c>
      <c r="C213" s="635"/>
      <c r="D213" s="636"/>
      <c r="E213" s="505" t="s">
        <v>1697</v>
      </c>
      <c r="F213" s="506">
        <v>45142</v>
      </c>
    </row>
    <row r="214" spans="1:16" ht="15">
      <c r="A214" s="13" t="s">
        <v>292</v>
      </c>
      <c r="B214" s="27" t="s">
        <v>21</v>
      </c>
      <c r="C214" s="13" t="s">
        <v>33</v>
      </c>
      <c r="D214" s="13">
        <v>219</v>
      </c>
      <c r="E214" s="13"/>
      <c r="F214" s="13" t="s">
        <v>12</v>
      </c>
      <c r="G214" s="436">
        <v>6.11</v>
      </c>
      <c r="H214" s="440">
        <v>10</v>
      </c>
      <c r="I214" s="28">
        <v>2</v>
      </c>
      <c r="J214" s="441">
        <f t="shared" si="42" ref="J214:J215">H214/G214*I214</f>
        <v>3.2733224222585924</v>
      </c>
      <c r="K214" s="28">
        <v>1</v>
      </c>
      <c r="L214" s="267">
        <f t="shared" si="43" ref="L214:L215">J214*K214</f>
        <v>3.2733224222585924</v>
      </c>
      <c r="M214" s="433">
        <f t="shared" si="44" ref="M214:M215">L214*N214</f>
        <v>543.37152209492638</v>
      </c>
      <c r="N214" s="434">
        <v>166</v>
      </c>
      <c r="O214" s="435">
        <f t="shared" si="45" ref="O214:O215">J214/I214*K214</f>
        <v>1.6366612111292962</v>
      </c>
      <c r="P214" s="22"/>
    </row>
    <row r="215" spans="1:16" ht="15">
      <c r="A215" s="13" t="s">
        <v>292</v>
      </c>
      <c r="B215" s="27" t="s">
        <v>21</v>
      </c>
      <c r="C215" s="13" t="s">
        <v>33</v>
      </c>
      <c r="D215" s="13">
        <v>219</v>
      </c>
      <c r="E215" s="13"/>
      <c r="F215" s="13" t="s">
        <v>12</v>
      </c>
      <c r="G215" s="569">
        <f t="shared" si="46" ref="G215">6.11*2</f>
        <v>12.22</v>
      </c>
      <c r="H215" s="440">
        <v>10</v>
      </c>
      <c r="I215" s="28">
        <v>2</v>
      </c>
      <c r="J215" s="441">
        <f t="shared" si="42"/>
        <v>1.6366612111292962</v>
      </c>
      <c r="K215" s="28">
        <v>1</v>
      </c>
      <c r="L215" s="267">
        <f t="shared" si="43"/>
        <v>1.6366612111292962</v>
      </c>
      <c r="M215" s="433">
        <f t="shared" si="44"/>
        <v>271.68576104746319</v>
      </c>
      <c r="N215" s="434">
        <v>166</v>
      </c>
      <c r="O215" s="435">
        <f t="shared" si="45"/>
        <v>0.81833060556464809</v>
      </c>
      <c r="P215" s="22"/>
    </row>
  </sheetData>
  <autoFilter ref="A4:P157"/>
  <mergeCells count="48">
    <mergeCell ref="B48:K48"/>
    <mergeCell ref="A51:A52"/>
    <mergeCell ref="B51:B52"/>
    <mergeCell ref="A34:A36"/>
    <mergeCell ref="B34:B36"/>
    <mergeCell ref="E34:E36"/>
    <mergeCell ref="A38:A39"/>
    <mergeCell ref="B38:B39"/>
    <mergeCell ref="E51:E52"/>
    <mergeCell ref="A23:A25"/>
    <mergeCell ref="B23:B25"/>
    <mergeCell ref="E23:E25"/>
    <mergeCell ref="A32:A33"/>
    <mergeCell ref="B32:B33"/>
    <mergeCell ref="E32:E33"/>
    <mergeCell ref="B5:K5"/>
    <mergeCell ref="B19:K19"/>
    <mergeCell ref="A21:A22"/>
    <mergeCell ref="B21:B22"/>
    <mergeCell ref="E21:E22"/>
    <mergeCell ref="A94:A95"/>
    <mergeCell ref="B94:B95"/>
    <mergeCell ref="A53:A55"/>
    <mergeCell ref="B53:B55"/>
    <mergeCell ref="E53:E55"/>
    <mergeCell ref="A58:A59"/>
    <mergeCell ref="B58:B59"/>
    <mergeCell ref="B62:K62"/>
    <mergeCell ref="A63:A65"/>
    <mergeCell ref="B63:B65"/>
    <mergeCell ref="B75:K75"/>
    <mergeCell ref="B82:K82"/>
    <mergeCell ref="B86:K86"/>
    <mergeCell ref="B133:K133"/>
    <mergeCell ref="B196:D196"/>
    <mergeCell ref="B197:D197"/>
    <mergeCell ref="A107:A108"/>
    <mergeCell ref="B107:B108"/>
    <mergeCell ref="A109:A110"/>
    <mergeCell ref="B109:B110"/>
    <mergeCell ref="A111:A112"/>
    <mergeCell ref="B111:B112"/>
    <mergeCell ref="B212:D212"/>
    <mergeCell ref="B213:D213"/>
    <mergeCell ref="B208:D208"/>
    <mergeCell ref="B209:D209"/>
    <mergeCell ref="B200:D200"/>
    <mergeCell ref="B201:D20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09"/>
  <sheetViews>
    <sheetView zoomScale="85" zoomScaleNormal="85" workbookViewId="0" topLeftCell="A1">
      <pane ySplit="4" topLeftCell="A199" activePane="bottomLeft" state="frozen"/>
      <selection pane="topLeft" activeCell="A1" sqref="A1"/>
      <selection pane="bottomLeft" activeCell="A206" sqref="A206:XFD207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2.571428571428573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44508</v>
      </c>
    </row>
    <row r="2" spans="2:9" ht="31.5">
      <c r="B2" s="492" t="s">
        <v>1065</v>
      </c>
      <c r="F2" s="429" t="s">
        <v>22</v>
      </c>
      <c r="G2" s="268">
        <f>917/1000</f>
        <v>0.91700000000000004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SUM(M6:M17)</f>
        <v>472.79466666666673</v>
      </c>
      <c r="N5" s="263"/>
      <c r="O5" s="264">
        <f>SUM(O6:O17)</f>
        <v>2.6863333333333337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7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8</v>
      </c>
      <c r="L6" s="465">
        <f t="shared" si="1" ref="L6:L17">J6*K6</f>
        <v>0.156</v>
      </c>
      <c r="M6" s="466">
        <f t="shared" si="2" ref="M6:M17">L6*N6</f>
        <v>27.456</v>
      </c>
      <c r="N6" s="466">
        <v>176</v>
      </c>
      <c r="O6" s="456">
        <f t="shared" si="3" ref="O6:O17">J6/I6*K6</f>
        <v>0.156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4</v>
      </c>
      <c r="L9" s="465">
        <f t="shared" si="1"/>
        <v>0.068666666666666668</v>
      </c>
      <c r="M9" s="466">
        <f t="shared" si="2"/>
        <v>12.085333333333333</v>
      </c>
      <c r="N9" s="466">
        <v>176</v>
      </c>
      <c r="O9" s="456">
        <f t="shared" si="3"/>
        <v>0.068666666666666668</v>
      </c>
    </row>
    <row r="10" spans="1:15" s="457" customFormat="1" ht="15">
      <c r="A10" s="459" t="s">
        <v>839</v>
      </c>
      <c r="B10" s="494" t="s">
        <v>853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29.239766081871348</v>
      </c>
      <c r="H10" s="462">
        <v>10</v>
      </c>
      <c r="I10" s="463">
        <v>1</v>
      </c>
      <c r="J10" s="464">
        <f>20.52/60</f>
        <v>0.34199999999999997</v>
      </c>
      <c r="K10" s="461">
        <v>1</v>
      </c>
      <c r="L10" s="465">
        <f t="shared" si="1"/>
        <v>0.34199999999999997</v>
      </c>
      <c r="M10" s="466">
        <f t="shared" si="2"/>
        <v>60.191999999999993</v>
      </c>
      <c r="N10" s="466">
        <v>176</v>
      </c>
      <c r="O10" s="456">
        <f t="shared" si="3"/>
        <v>0.34199999999999997</v>
      </c>
    </row>
    <row r="11" spans="1:15" s="457" customFormat="1" ht="15">
      <c r="A11" s="459" t="s">
        <v>840</v>
      </c>
      <c r="B11" s="494" t="s">
        <v>920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495.86776859504135</v>
      </c>
      <c r="H11" s="462">
        <v>10</v>
      </c>
      <c r="I11" s="463">
        <v>1</v>
      </c>
      <c r="J11" s="464">
        <f>1.21/60</f>
        <v>0.020166666666666666</v>
      </c>
      <c r="K11" s="461">
        <v>6</v>
      </c>
      <c r="L11" s="465">
        <f t="shared" si="1"/>
        <v>0.121</v>
      </c>
      <c r="M11" s="466">
        <f t="shared" si="2"/>
        <v>21.295999999999999</v>
      </c>
      <c r="N11" s="466">
        <v>176</v>
      </c>
      <c r="O11" s="456">
        <f t="shared" si="3"/>
        <v>0.121</v>
      </c>
    </row>
    <row r="12" spans="1:15" s="457" customFormat="1" ht="15">
      <c r="A12" s="459" t="s">
        <v>841</v>
      </c>
      <c r="B12" s="494" t="s">
        <v>857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322.58064516129036</v>
      </c>
      <c r="H12" s="462">
        <v>10</v>
      </c>
      <c r="I12" s="463">
        <v>1</v>
      </c>
      <c r="J12" s="464">
        <f>1.86/60</f>
        <v>0.030999999999999996</v>
      </c>
      <c r="K12" s="461">
        <v>1</v>
      </c>
      <c r="L12" s="465">
        <f t="shared" si="1"/>
        <v>0.030999999999999996</v>
      </c>
      <c r="M12" s="466">
        <f t="shared" si="2"/>
        <v>5.4559999999999995</v>
      </c>
      <c r="N12" s="466">
        <v>176</v>
      </c>
      <c r="O12" s="456">
        <f t="shared" si="3"/>
        <v>0.030999999999999996</v>
      </c>
    </row>
    <row r="13" spans="1:15" s="457" customFormat="1" ht="15">
      <c r="A13" s="459" t="s">
        <v>842</v>
      </c>
      <c r="B13" s="494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0.038833333333333338</v>
      </c>
      <c r="K13" s="461">
        <v>34</v>
      </c>
      <c r="L13" s="465">
        <f t="shared" si="1"/>
        <v>1.3203333333333336</v>
      </c>
      <c r="M13" s="466">
        <f t="shared" si="2"/>
        <v>232.3786666666667</v>
      </c>
      <c r="N13" s="466">
        <v>176</v>
      </c>
      <c r="O13" s="456">
        <f t="shared" si="3"/>
        <v>1.3203333333333336</v>
      </c>
    </row>
    <row r="14" spans="1:15" s="457" customFormat="1" ht="15">
      <c r="A14" s="459" t="s">
        <v>844</v>
      </c>
      <c r="B14" s="494" t="s">
        <v>919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96.774193548387103</v>
      </c>
      <c r="H14" s="462">
        <v>10</v>
      </c>
      <c r="I14" s="463">
        <v>1</v>
      </c>
      <c r="J14" s="464">
        <f>6.2/60</f>
        <v>0.10333333333333333</v>
      </c>
      <c r="K14" s="461">
        <v>2</v>
      </c>
      <c r="L14" s="465">
        <f t="shared" si="1"/>
        <v>0.20666666666666667</v>
      </c>
      <c r="M14" s="466">
        <f t="shared" si="2"/>
        <v>36.373333333333335</v>
      </c>
      <c r="N14" s="466">
        <v>176</v>
      </c>
      <c r="O14" s="456">
        <f t="shared" si="3"/>
        <v>0.20666666666666667</v>
      </c>
    </row>
    <row r="15" spans="1:15" s="457" customFormat="1" ht="15">
      <c r="A15" s="459" t="s">
        <v>845</v>
      </c>
      <c r="B15" s="494" t="s">
        <v>854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631.57894736842115</v>
      </c>
      <c r="H15" s="462">
        <v>10</v>
      </c>
      <c r="I15" s="463">
        <v>1</v>
      </c>
      <c r="J15" s="464">
        <f>0.95/60</f>
        <v>0.015833333333333331</v>
      </c>
      <c r="K15" s="461">
        <v>8</v>
      </c>
      <c r="L15" s="465">
        <f t="shared" si="1"/>
        <v>0.12666666666666665</v>
      </c>
      <c r="M15" s="466">
        <f t="shared" si="2"/>
        <v>22.293333333333329</v>
      </c>
      <c r="N15" s="466">
        <v>176</v>
      </c>
      <c r="O15" s="456">
        <f t="shared" si="3"/>
        <v>0.12666666666666665</v>
      </c>
    </row>
    <row r="16" spans="1:15" s="457" customFormat="1" ht="15">
      <c r="A16" s="459" t="s">
        <v>846</v>
      </c>
      <c r="B16" s="494" t="s">
        <v>855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454.5454545454545</v>
      </c>
      <c r="H16" s="462">
        <v>10</v>
      </c>
      <c r="I16" s="463">
        <v>1</v>
      </c>
      <c r="J16" s="464">
        <f>1.32/60</f>
        <v>0.022000000000000002</v>
      </c>
      <c r="K16" s="461">
        <v>4</v>
      </c>
      <c r="L16" s="465">
        <f t="shared" si="1"/>
        <v>0.088000000000000009</v>
      </c>
      <c r="M16" s="466">
        <f t="shared" si="2"/>
        <v>15.488000000000001</v>
      </c>
      <c r="N16" s="466">
        <v>176</v>
      </c>
      <c r="O16" s="456">
        <f t="shared" si="3"/>
        <v>0.088000000000000009</v>
      </c>
    </row>
    <row r="17" spans="1:15" s="457" customFormat="1" ht="15">
      <c r="A17" s="459" t="s">
        <v>847</v>
      </c>
      <c r="B17" s="494" t="s">
        <v>861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857.14285714285722</v>
      </c>
      <c r="H17" s="462">
        <v>10</v>
      </c>
      <c r="I17" s="463">
        <v>1</v>
      </c>
      <c r="J17" s="464">
        <f>0.7/60</f>
        <v>0.011666666666666665</v>
      </c>
      <c r="K17" s="461">
        <v>2</v>
      </c>
      <c r="L17" s="465">
        <f t="shared" si="1"/>
        <v>0.023333333333333331</v>
      </c>
      <c r="M17" s="466">
        <f t="shared" si="2"/>
        <v>4.1066666666666665</v>
      </c>
      <c r="N17" s="466">
        <v>176</v>
      </c>
      <c r="O17" s="456">
        <f t="shared" si="3"/>
        <v>0.023333333333333331</v>
      </c>
    </row>
    <row r="18" spans="1:15" ht="15">
      <c r="A18" s="39"/>
      <c r="B18" s="649" t="s">
        <v>130</v>
      </c>
      <c r="C18" s="649"/>
      <c r="D18" s="649"/>
      <c r="E18" s="649"/>
      <c r="F18" s="649"/>
      <c r="G18" s="649"/>
      <c r="H18" s="649"/>
      <c r="I18" s="649"/>
      <c r="J18" s="649"/>
      <c r="K18" s="649"/>
      <c r="L18" s="265"/>
      <c r="M18" s="262">
        <f>SUM(M19:M46)</f>
        <v>3128.2154310164988</v>
      </c>
      <c r="N18" s="430"/>
      <c r="O18" s="264">
        <f>SUM(O19:O46)</f>
        <v>13.494591672190746</v>
      </c>
    </row>
    <row r="19" spans="1:15" s="0" customFormat="1" ht="15">
      <c r="A19" s="57" t="s">
        <v>143</v>
      </c>
      <c r="B19" s="56" t="s">
        <v>144</v>
      </c>
      <c r="C19" s="13" t="s">
        <v>1066</v>
      </c>
      <c r="D19" s="13">
        <v>105</v>
      </c>
      <c r="E19" s="13"/>
      <c r="F19" s="17" t="s">
        <v>353</v>
      </c>
      <c r="G19" s="469">
        <v>20.70</v>
      </c>
      <c r="H19" s="252">
        <v>10</v>
      </c>
      <c r="I19" s="16">
        <v>1</v>
      </c>
      <c r="J19" s="253">
        <f>H19/G19*I19</f>
        <v>0.48309178743961356</v>
      </c>
      <c r="K19" s="52">
        <v>1</v>
      </c>
      <c r="L19" s="26">
        <f t="shared" si="4" ref="L19:L46">J19*K19</f>
        <v>0.48309178743961356</v>
      </c>
      <c r="M19" s="43">
        <f>L19*N19</f>
        <v>96.618357487922708</v>
      </c>
      <c r="N19" s="85">
        <v>200</v>
      </c>
      <c r="O19" s="8">
        <f>J19/I19*K19</f>
        <v>0.48309178743961356</v>
      </c>
    </row>
    <row r="20" spans="1:15" s="0" customFormat="1" ht="15">
      <c r="A20" s="650" t="s">
        <v>146</v>
      </c>
      <c r="B20" s="638" t="s">
        <v>411</v>
      </c>
      <c r="C20" s="13" t="s">
        <v>1067</v>
      </c>
      <c r="D20" s="13">
        <v>109</v>
      </c>
      <c r="E20" s="637" t="s">
        <v>911</v>
      </c>
      <c r="F20" s="17" t="s">
        <v>10</v>
      </c>
      <c r="G20" s="16">
        <v>40</v>
      </c>
      <c r="H20" s="252">
        <v>10</v>
      </c>
      <c r="I20" s="16">
        <v>1</v>
      </c>
      <c r="J20" s="253">
        <f t="shared" si="5" ref="J20:J46">H20/G20*I20</f>
        <v>0.25</v>
      </c>
      <c r="K20" s="260">
        <f>870/1000+0.1</f>
        <v>0.97</v>
      </c>
      <c r="L20" s="26">
        <f t="shared" si="4"/>
        <v>0.2425</v>
      </c>
      <c r="M20" s="43">
        <f t="shared" si="6" ref="M20:M46">L20*N20</f>
        <v>48.50</v>
      </c>
      <c r="N20" s="85">
        <v>200</v>
      </c>
      <c r="O20" s="8">
        <f t="shared" si="7" ref="O20:O46">J20/I20*K20</f>
        <v>0.2425</v>
      </c>
    </row>
    <row r="21" spans="1:15" s="0" customFormat="1" ht="15">
      <c r="A21" s="637"/>
      <c r="B21" s="638"/>
      <c r="C21" s="13" t="s">
        <v>1068</v>
      </c>
      <c r="D21" s="13">
        <v>109</v>
      </c>
      <c r="E21" s="637"/>
      <c r="F21" s="17" t="s">
        <v>10</v>
      </c>
      <c r="G21" s="16">
        <v>27</v>
      </c>
      <c r="H21" s="252">
        <v>10</v>
      </c>
      <c r="I21" s="16">
        <v>1</v>
      </c>
      <c r="J21" s="253">
        <f t="shared" si="5"/>
        <v>0.37037037037037035</v>
      </c>
      <c r="K21" s="260">
        <f>870/1000+0.2</f>
        <v>1.0700000000000001</v>
      </c>
      <c r="L21" s="26">
        <f t="shared" si="4"/>
        <v>0.39629629629629631</v>
      </c>
      <c r="M21" s="43">
        <f t="shared" si="6"/>
        <v>79.259259259259267</v>
      </c>
      <c r="N21" s="85">
        <v>200</v>
      </c>
      <c r="O21" s="8">
        <f t="shared" si="7"/>
        <v>0.39629629629629631</v>
      </c>
    </row>
    <row r="22" spans="1:15" s="0" customFormat="1" ht="15">
      <c r="A22" s="650" t="s">
        <v>148</v>
      </c>
      <c r="B22" s="638" t="s">
        <v>412</v>
      </c>
      <c r="C22" s="13" t="s">
        <v>1069</v>
      </c>
      <c r="D22" s="13">
        <v>107</v>
      </c>
      <c r="E22" s="637" t="s">
        <v>43</v>
      </c>
      <c r="F22" s="17" t="s">
        <v>10</v>
      </c>
      <c r="G22" s="16">
        <v>40</v>
      </c>
      <c r="H22" s="252">
        <v>10</v>
      </c>
      <c r="I22" s="16">
        <v>1</v>
      </c>
      <c r="J22" s="253">
        <f t="shared" si="5"/>
        <v>0.25</v>
      </c>
      <c r="K22" s="30">
        <f>(870)/1000+0.1</f>
        <v>0.97</v>
      </c>
      <c r="L22" s="26">
        <f t="shared" si="4"/>
        <v>0.2425</v>
      </c>
      <c r="M22" s="43">
        <f t="shared" si="6"/>
        <v>48.50</v>
      </c>
      <c r="N22" s="85">
        <v>200</v>
      </c>
      <c r="O22" s="8">
        <f t="shared" si="7"/>
        <v>0.2425</v>
      </c>
    </row>
    <row r="23" spans="1:15" s="0" customFormat="1" ht="15">
      <c r="A23" s="650"/>
      <c r="B23" s="638"/>
      <c r="C23" s="13" t="s">
        <v>1070</v>
      </c>
      <c r="D23" s="13">
        <v>107</v>
      </c>
      <c r="E23" s="637"/>
      <c r="F23" s="17" t="s">
        <v>10</v>
      </c>
      <c r="G23" s="16">
        <v>25</v>
      </c>
      <c r="H23" s="252">
        <v>10</v>
      </c>
      <c r="I23" s="16">
        <v>1</v>
      </c>
      <c r="J23" s="253">
        <f t="shared" si="5"/>
        <v>0.40</v>
      </c>
      <c r="K23" s="30">
        <f>(870)/1000</f>
        <v>0.87</v>
      </c>
      <c r="L23" s="26">
        <f t="shared" si="4"/>
        <v>0.34800000000000003</v>
      </c>
      <c r="M23" s="43">
        <f t="shared" si="6"/>
        <v>61.248000000000005</v>
      </c>
      <c r="N23" s="85">
        <v>176</v>
      </c>
      <c r="O23" s="8">
        <f t="shared" si="7"/>
        <v>0.34800000000000003</v>
      </c>
    </row>
    <row r="24" spans="1:15" s="0" customFormat="1" ht="15">
      <c r="A24" s="650"/>
      <c r="B24" s="638"/>
      <c r="C24" s="13" t="s">
        <v>1071</v>
      </c>
      <c r="D24" s="13">
        <v>107</v>
      </c>
      <c r="E24" s="637"/>
      <c r="F24" s="17" t="s">
        <v>10</v>
      </c>
      <c r="G24" s="16">
        <v>28.50</v>
      </c>
      <c r="H24" s="252">
        <v>10</v>
      </c>
      <c r="I24" s="16">
        <v>1</v>
      </c>
      <c r="J24" s="253">
        <f t="shared" si="5"/>
        <v>0.35087719298245612</v>
      </c>
      <c r="K24" s="30">
        <f>(870)/1000+0.1</f>
        <v>0.97</v>
      </c>
      <c r="L24" s="26">
        <f t="shared" si="4"/>
        <v>0.3403508771929824</v>
      </c>
      <c r="M24" s="43">
        <f t="shared" si="6"/>
        <v>68.070175438596479</v>
      </c>
      <c r="N24" s="85">
        <v>200</v>
      </c>
      <c r="O24" s="8">
        <f t="shared" si="7"/>
        <v>0.3403508771929824</v>
      </c>
    </row>
    <row r="25" spans="1:15" s="0" customFormat="1" ht="30">
      <c r="A25" s="57" t="s">
        <v>421</v>
      </c>
      <c r="B25" s="56" t="s">
        <v>149</v>
      </c>
      <c r="C25" s="13" t="s">
        <v>1066</v>
      </c>
      <c r="D25" s="13">
        <v>105</v>
      </c>
      <c r="E25" s="13"/>
      <c r="F25" s="17" t="s">
        <v>353</v>
      </c>
      <c r="G25" s="469">
        <f>20.7/0.65</f>
        <v>31.846153846153843</v>
      </c>
      <c r="H25" s="252">
        <v>10</v>
      </c>
      <c r="I25" s="16">
        <v>1</v>
      </c>
      <c r="J25" s="253">
        <f t="shared" si="5"/>
        <v>0.3140096618357488</v>
      </c>
      <c r="K25" s="52">
        <v>1</v>
      </c>
      <c r="L25" s="26">
        <f t="shared" si="4"/>
        <v>0.3140096618357488</v>
      </c>
      <c r="M25" s="43">
        <f t="shared" si="6"/>
        <v>62.80193236714976</v>
      </c>
      <c r="N25" s="43">
        <v>200</v>
      </c>
      <c r="O25" s="8">
        <f t="shared" si="7"/>
        <v>0.3140096618357488</v>
      </c>
    </row>
    <row r="26" spans="1:15" s="0" customFormat="1" ht="30">
      <c r="A26" s="565" t="s">
        <v>1662</v>
      </c>
      <c r="B26" s="522" t="s">
        <v>1661</v>
      </c>
      <c r="C26" s="523" t="s">
        <v>9</v>
      </c>
      <c r="D26" s="523">
        <v>109</v>
      </c>
      <c r="E26" s="523"/>
      <c r="F26" s="524" t="s">
        <v>10</v>
      </c>
      <c r="G26" s="525">
        <v>33</v>
      </c>
      <c r="H26" s="526">
        <v>10</v>
      </c>
      <c r="I26" s="527">
        <v>1</v>
      </c>
      <c r="J26" s="528">
        <f t="shared" si="5"/>
        <v>0.30303030303030304</v>
      </c>
      <c r="K26" s="525">
        <f>(350*2)/1000</f>
        <v>0.70</v>
      </c>
      <c r="L26" s="267">
        <f t="shared" si="4"/>
        <v>0.21212121212121213</v>
      </c>
      <c r="M26" s="266">
        <f t="shared" si="6"/>
        <v>32.242424242424242</v>
      </c>
      <c r="N26" s="433">
        <v>152</v>
      </c>
      <c r="O26" s="267">
        <f t="shared" si="7"/>
        <v>0.21212121212121213</v>
      </c>
    </row>
    <row r="27" spans="1:15" ht="15">
      <c r="A27" s="57" t="s">
        <v>152</v>
      </c>
      <c r="B27" s="56" t="s">
        <v>153</v>
      </c>
      <c r="C27" s="13" t="s">
        <v>154</v>
      </c>
      <c r="D27" s="13">
        <v>124</v>
      </c>
      <c r="E27" s="13"/>
      <c r="F27" s="13" t="s">
        <v>354</v>
      </c>
      <c r="G27" s="442">
        <v>15.50</v>
      </c>
      <c r="H27" s="440">
        <v>10</v>
      </c>
      <c r="I27" s="28">
        <v>1</v>
      </c>
      <c r="J27" s="441">
        <f t="shared" si="5"/>
        <v>0.64516129032258063</v>
      </c>
      <c r="K27" s="432">
        <v>1</v>
      </c>
      <c r="L27" s="267">
        <f t="shared" si="4"/>
        <v>0.64516129032258063</v>
      </c>
      <c r="M27" s="433">
        <f t="shared" si="6"/>
        <v>129.03225806451613</v>
      </c>
      <c r="N27" s="434">
        <v>200</v>
      </c>
      <c r="O27" s="435">
        <f t="shared" si="7"/>
        <v>0.64516129032258063</v>
      </c>
    </row>
    <row r="28" spans="1:15" ht="30">
      <c r="A28" s="57" t="s">
        <v>155</v>
      </c>
      <c r="B28" s="56" t="s">
        <v>156</v>
      </c>
      <c r="C28" s="13" t="s">
        <v>157</v>
      </c>
      <c r="D28" s="13" t="s">
        <v>1329</v>
      </c>
      <c r="E28" s="13"/>
      <c r="F28" s="13" t="s">
        <v>354</v>
      </c>
      <c r="G28" s="442">
        <v>6.70</v>
      </c>
      <c r="H28" s="440">
        <v>10</v>
      </c>
      <c r="I28" s="28">
        <v>1</v>
      </c>
      <c r="J28" s="441">
        <f t="shared" si="5"/>
        <v>1.4925373134328357</v>
      </c>
      <c r="K28" s="432">
        <v>1</v>
      </c>
      <c r="L28" s="267">
        <f t="shared" si="4"/>
        <v>1.4925373134328357</v>
      </c>
      <c r="M28" s="433">
        <f t="shared" si="6"/>
        <v>298.50746268656712</v>
      </c>
      <c r="N28" s="434">
        <v>200</v>
      </c>
      <c r="O28" s="435">
        <f t="shared" si="7"/>
        <v>1.4925373134328357</v>
      </c>
    </row>
    <row r="29" spans="1:15" ht="30">
      <c r="A29" s="57" t="s">
        <v>158</v>
      </c>
      <c r="B29" s="56" t="s">
        <v>159</v>
      </c>
      <c r="C29" s="13" t="s">
        <v>160</v>
      </c>
      <c r="D29" s="13" t="s">
        <v>1331</v>
      </c>
      <c r="E29" s="13" t="s">
        <v>161</v>
      </c>
      <c r="F29" s="13" t="s">
        <v>10</v>
      </c>
      <c r="G29" s="439">
        <v>15.40</v>
      </c>
      <c r="H29" s="440">
        <v>10</v>
      </c>
      <c r="I29" s="28">
        <v>1</v>
      </c>
      <c r="J29" s="441">
        <f t="shared" si="5"/>
        <v>0.64935064935064934</v>
      </c>
      <c r="K29" s="436">
        <f>(61/1000)*3.1415*4</f>
        <v>0.76652600000000004</v>
      </c>
      <c r="L29" s="435">
        <f t="shared" si="4"/>
        <v>0.49774415584415588</v>
      </c>
      <c r="M29" s="266">
        <f t="shared" si="6"/>
        <v>99.548831168831171</v>
      </c>
      <c r="N29" s="433">
        <v>200</v>
      </c>
      <c r="O29" s="435">
        <f t="shared" si="7"/>
        <v>0.49774415584415588</v>
      </c>
    </row>
    <row r="30" spans="1:15" ht="15">
      <c r="A30" s="57" t="s">
        <v>427</v>
      </c>
      <c r="B30" s="56" t="s">
        <v>428</v>
      </c>
      <c r="C30" s="13" t="s">
        <v>24</v>
      </c>
      <c r="D30" s="13">
        <v>110</v>
      </c>
      <c r="E30" s="13"/>
      <c r="F30" s="4" t="s">
        <v>38</v>
      </c>
      <c r="G30" s="442">
        <v>15.50</v>
      </c>
      <c r="H30" s="440">
        <v>10</v>
      </c>
      <c r="I30" s="28">
        <v>2</v>
      </c>
      <c r="J30" s="441">
        <f t="shared" si="5"/>
        <v>1.2903225806451613</v>
      </c>
      <c r="K30" s="28">
        <v>1</v>
      </c>
      <c r="L30" s="267">
        <f t="shared" si="4"/>
        <v>1.2903225806451613</v>
      </c>
      <c r="M30" s="433">
        <f t="shared" si="6"/>
        <v>258.06451612903226</v>
      </c>
      <c r="N30" s="434">
        <v>200</v>
      </c>
      <c r="O30" s="435">
        <f t="shared" si="7"/>
        <v>0.64516129032258063</v>
      </c>
    </row>
    <row r="31" spans="1:15" ht="15">
      <c r="A31" s="637" t="s">
        <v>162</v>
      </c>
      <c r="B31" s="638" t="s">
        <v>429</v>
      </c>
      <c r="C31" s="13" t="s">
        <v>160</v>
      </c>
      <c r="D31" s="13">
        <v>109</v>
      </c>
      <c r="E31" s="637" t="s">
        <v>911</v>
      </c>
      <c r="F31" s="13" t="s">
        <v>10</v>
      </c>
      <c r="G31" s="28">
        <v>40</v>
      </c>
      <c r="H31" s="440">
        <v>10</v>
      </c>
      <c r="I31" s="28">
        <v>1</v>
      </c>
      <c r="J31" s="441">
        <f t="shared" si="5"/>
        <v>0.25</v>
      </c>
      <c r="K31" s="436">
        <f>530/1000*3.1415</f>
        <v>1.6649950000000002</v>
      </c>
      <c r="L31" s="267">
        <f t="shared" si="4"/>
        <v>0.41624875000000006</v>
      </c>
      <c r="M31" s="433">
        <f t="shared" si="6"/>
        <v>83.249750000000006</v>
      </c>
      <c r="N31" s="434">
        <v>200</v>
      </c>
      <c r="O31" s="435">
        <f t="shared" si="7"/>
        <v>0.41624875000000006</v>
      </c>
    </row>
    <row r="32" spans="1:15" ht="15">
      <c r="A32" s="637"/>
      <c r="B32" s="638"/>
      <c r="C32" s="13" t="s">
        <v>9</v>
      </c>
      <c r="D32" s="13">
        <v>109</v>
      </c>
      <c r="E32" s="637"/>
      <c r="F32" s="13" t="s">
        <v>10</v>
      </c>
      <c r="G32" s="28">
        <v>27</v>
      </c>
      <c r="H32" s="440">
        <v>10</v>
      </c>
      <c r="I32" s="28">
        <v>1</v>
      </c>
      <c r="J32" s="441">
        <f t="shared" si="5"/>
        <v>0.37037037037037035</v>
      </c>
      <c r="K32" s="436">
        <f>530/1000*3.1415</f>
        <v>1.6649950000000002</v>
      </c>
      <c r="L32" s="267">
        <f t="shared" si="4"/>
        <v>0.61666481481481483</v>
      </c>
      <c r="M32" s="433">
        <f t="shared" si="6"/>
        <v>123.33296296296297</v>
      </c>
      <c r="N32" s="434">
        <v>200</v>
      </c>
      <c r="O32" s="435">
        <f t="shared" si="7"/>
        <v>0.61666481481481483</v>
      </c>
    </row>
    <row r="33" spans="1:15" ht="15">
      <c r="A33" s="650" t="s">
        <v>430</v>
      </c>
      <c r="B33" s="638" t="s">
        <v>431</v>
      </c>
      <c r="C33" s="13" t="s">
        <v>160</v>
      </c>
      <c r="D33" s="13">
        <v>107</v>
      </c>
      <c r="E33" s="637" t="s">
        <v>43</v>
      </c>
      <c r="F33" s="13" t="s">
        <v>10</v>
      </c>
      <c r="G33" s="28">
        <v>40</v>
      </c>
      <c r="H33" s="440">
        <v>10</v>
      </c>
      <c r="I33" s="28">
        <v>1</v>
      </c>
      <c r="J33" s="441">
        <f t="shared" si="5"/>
        <v>0.25</v>
      </c>
      <c r="K33" s="436">
        <f>530/1000*3.1415</f>
        <v>1.6649950000000002</v>
      </c>
      <c r="L33" s="267">
        <f t="shared" si="4"/>
        <v>0.41624875000000006</v>
      </c>
      <c r="M33" s="433">
        <f t="shared" si="6"/>
        <v>83.249750000000006</v>
      </c>
      <c r="N33" s="434">
        <v>200</v>
      </c>
      <c r="O33" s="435">
        <f t="shared" si="7"/>
        <v>0.41624875000000006</v>
      </c>
    </row>
    <row r="34" spans="1:15" ht="15">
      <c r="A34" s="650"/>
      <c r="B34" s="638"/>
      <c r="C34" s="13" t="s">
        <v>511</v>
      </c>
      <c r="D34" s="13">
        <v>107</v>
      </c>
      <c r="E34" s="637"/>
      <c r="F34" s="13" t="s">
        <v>10</v>
      </c>
      <c r="G34" s="28">
        <v>25</v>
      </c>
      <c r="H34" s="440">
        <v>10</v>
      </c>
      <c r="I34" s="28">
        <v>1</v>
      </c>
      <c r="J34" s="453">
        <f t="shared" si="5"/>
        <v>0.40</v>
      </c>
      <c r="K34" s="436">
        <f>530*3.1415/1000</f>
        <v>1.6649950000000002</v>
      </c>
      <c r="L34" s="267">
        <f t="shared" si="4"/>
        <v>0.66599800000000009</v>
      </c>
      <c r="M34" s="433">
        <f t="shared" si="6"/>
        <v>117.21564800000002</v>
      </c>
      <c r="N34" s="434">
        <v>176</v>
      </c>
      <c r="O34" s="435">
        <f t="shared" si="7"/>
        <v>0.66599800000000009</v>
      </c>
    </row>
    <row r="35" spans="1:15" ht="15">
      <c r="A35" s="650"/>
      <c r="B35" s="638"/>
      <c r="C35" s="13" t="s">
        <v>313</v>
      </c>
      <c r="D35" s="13">
        <v>107</v>
      </c>
      <c r="E35" s="637"/>
      <c r="F35" s="13" t="s">
        <v>10</v>
      </c>
      <c r="G35" s="28">
        <v>28.50</v>
      </c>
      <c r="H35" s="440">
        <v>10</v>
      </c>
      <c r="I35" s="28">
        <v>1</v>
      </c>
      <c r="J35" s="453">
        <f t="shared" si="5"/>
        <v>0.35087719298245612</v>
      </c>
      <c r="K35" s="436">
        <f>530*3.1415/1000</f>
        <v>1.6649950000000002</v>
      </c>
      <c r="L35" s="267">
        <f t="shared" si="4"/>
        <v>0.58420877192982457</v>
      </c>
      <c r="M35" s="433">
        <f t="shared" si="6"/>
        <v>116.84175438596492</v>
      </c>
      <c r="N35" s="434">
        <v>200</v>
      </c>
      <c r="O35" s="435">
        <f t="shared" si="7"/>
        <v>0.58420877192982457</v>
      </c>
    </row>
    <row r="36" spans="1:15" ht="15">
      <c r="A36" s="57" t="s">
        <v>629</v>
      </c>
      <c r="B36" s="56" t="s">
        <v>1072</v>
      </c>
      <c r="C36" s="13" t="s">
        <v>862</v>
      </c>
      <c r="D36" s="13">
        <v>224</v>
      </c>
      <c r="E36" s="13"/>
      <c r="F36" s="17"/>
      <c r="G36" s="28">
        <f>(600-25)/10</f>
        <v>57.50</v>
      </c>
      <c r="H36" s="440">
        <v>10</v>
      </c>
      <c r="I36" s="28">
        <v>2</v>
      </c>
      <c r="J36" s="441">
        <f t="shared" si="5"/>
        <v>0.34782608695652173</v>
      </c>
      <c r="K36" s="28">
        <v>1</v>
      </c>
      <c r="L36" s="267">
        <f t="shared" si="4"/>
        <v>0.34782608695652173</v>
      </c>
      <c r="M36" s="433">
        <f t="shared" si="6"/>
        <v>69.565217391304344</v>
      </c>
      <c r="N36" s="434">
        <v>200</v>
      </c>
      <c r="O36" s="435">
        <f t="shared" si="7"/>
        <v>0.17391304347826086</v>
      </c>
    </row>
    <row r="37" spans="1:15" ht="15">
      <c r="A37" s="637" t="s">
        <v>314</v>
      </c>
      <c r="B37" s="638" t="s">
        <v>107</v>
      </c>
      <c r="C37" s="13" t="s">
        <v>24</v>
      </c>
      <c r="D37" s="13">
        <v>110</v>
      </c>
      <c r="E37" s="13"/>
      <c r="F37" s="4" t="s">
        <v>40</v>
      </c>
      <c r="G37" s="442">
        <v>20</v>
      </c>
      <c r="H37" s="440">
        <v>10</v>
      </c>
      <c r="I37" s="28">
        <v>2</v>
      </c>
      <c r="J37" s="441">
        <f t="shared" si="5"/>
        <v>1</v>
      </c>
      <c r="K37" s="28">
        <v>1</v>
      </c>
      <c r="L37" s="267">
        <f t="shared" si="4"/>
        <v>1</v>
      </c>
      <c r="M37" s="433">
        <f t="shared" si="6"/>
        <v>200</v>
      </c>
      <c r="N37" s="434">
        <v>200</v>
      </c>
      <c r="O37" s="435">
        <f t="shared" si="7"/>
        <v>0.50</v>
      </c>
    </row>
    <row r="38" spans="1:15" ht="15">
      <c r="A38" s="637"/>
      <c r="B38" s="638"/>
      <c r="C38" s="13" t="s">
        <v>25</v>
      </c>
      <c r="D38" s="13">
        <v>110</v>
      </c>
      <c r="E38" s="13" t="s">
        <v>41</v>
      </c>
      <c r="F38" s="13" t="s">
        <v>10</v>
      </c>
      <c r="G38" s="28">
        <v>40</v>
      </c>
      <c r="H38" s="440">
        <v>10</v>
      </c>
      <c r="I38" s="28">
        <v>1</v>
      </c>
      <c r="J38" s="441">
        <f t="shared" si="5"/>
        <v>0.25</v>
      </c>
      <c r="K38" s="436">
        <f>530/1000*3.1415*2</f>
        <v>3.3299900000000004</v>
      </c>
      <c r="L38" s="267">
        <f t="shared" si="4"/>
        <v>0.83249750000000011</v>
      </c>
      <c r="M38" s="433">
        <f t="shared" si="6"/>
        <v>166.49950000000001</v>
      </c>
      <c r="N38" s="434">
        <v>200</v>
      </c>
      <c r="O38" s="435">
        <f t="shared" si="7"/>
        <v>0.83249750000000011</v>
      </c>
    </row>
    <row r="39" spans="1:15" ht="15">
      <c r="A39" s="57" t="s">
        <v>1285</v>
      </c>
      <c r="B39" s="56" t="s">
        <v>1503</v>
      </c>
      <c r="C39" s="13" t="s">
        <v>1308</v>
      </c>
      <c r="D39" s="13">
        <v>105</v>
      </c>
      <c r="E39" s="13"/>
      <c r="F39" s="13" t="s">
        <v>353</v>
      </c>
      <c r="G39" s="436">
        <v>22</v>
      </c>
      <c r="H39" s="440">
        <v>10</v>
      </c>
      <c r="I39" s="28">
        <v>1</v>
      </c>
      <c r="J39" s="441">
        <f t="shared" si="5"/>
        <v>0.45454545454545453</v>
      </c>
      <c r="K39" s="432">
        <v>1</v>
      </c>
      <c r="L39" s="435">
        <f t="shared" si="4"/>
        <v>0.45454545454545453</v>
      </c>
      <c r="M39" s="266">
        <f t="shared" si="6"/>
        <v>90.909090909090907</v>
      </c>
      <c r="N39" s="433">
        <v>200</v>
      </c>
      <c r="O39" s="435">
        <f t="shared" si="7"/>
        <v>0.45454545454545453</v>
      </c>
    </row>
    <row r="40" spans="1:15" ht="15">
      <c r="A40" s="57" t="s">
        <v>648</v>
      </c>
      <c r="B40" s="567" t="s">
        <v>1504</v>
      </c>
      <c r="C40" s="13" t="s">
        <v>1309</v>
      </c>
      <c r="D40" s="13">
        <v>108</v>
      </c>
      <c r="E40" s="13"/>
      <c r="F40" s="13" t="s">
        <v>10</v>
      </c>
      <c r="G40" s="28">
        <v>40</v>
      </c>
      <c r="H40" s="440">
        <v>10</v>
      </c>
      <c r="I40" s="28">
        <v>1</v>
      </c>
      <c r="J40" s="453">
        <f t="shared" si="5"/>
        <v>0.25</v>
      </c>
      <c r="K40" s="436">
        <f>158*2/1000</f>
        <v>0.316</v>
      </c>
      <c r="L40" s="267">
        <f t="shared" si="4"/>
        <v>0.079000000000000001</v>
      </c>
      <c r="M40" s="433">
        <f t="shared" si="6"/>
        <v>15.80</v>
      </c>
      <c r="N40" s="434">
        <v>200</v>
      </c>
      <c r="O40" s="435">
        <f t="shared" si="7"/>
        <v>0.079000000000000001</v>
      </c>
    </row>
    <row r="41" spans="1:15" ht="15">
      <c r="A41" s="57" t="s">
        <v>1288</v>
      </c>
      <c r="B41" s="56" t="s">
        <v>1505</v>
      </c>
      <c r="C41" s="13" t="s">
        <v>1308</v>
      </c>
      <c r="D41" s="13">
        <v>105</v>
      </c>
      <c r="E41" s="13"/>
      <c r="F41" s="13" t="s">
        <v>353</v>
      </c>
      <c r="G41" s="436">
        <v>34</v>
      </c>
      <c r="H41" s="440">
        <v>10</v>
      </c>
      <c r="I41" s="28">
        <v>1</v>
      </c>
      <c r="J41" s="441">
        <f t="shared" si="5"/>
        <v>0.29411764705882354</v>
      </c>
      <c r="K41" s="432">
        <v>1</v>
      </c>
      <c r="L41" s="435">
        <f t="shared" si="4"/>
        <v>0.29411764705882354</v>
      </c>
      <c r="M41" s="266">
        <f t="shared" si="6"/>
        <v>58.82352941176471</v>
      </c>
      <c r="N41" s="433">
        <v>200</v>
      </c>
      <c r="O41" s="435">
        <f t="shared" si="7"/>
        <v>0.29411764705882354</v>
      </c>
    </row>
    <row r="42" spans="1:15" ht="15">
      <c r="A42" s="57" t="s">
        <v>176</v>
      </c>
      <c r="B42" s="56" t="s">
        <v>1506</v>
      </c>
      <c r="C42" s="13" t="s">
        <v>154</v>
      </c>
      <c r="D42" s="13">
        <v>124</v>
      </c>
      <c r="E42" s="13"/>
      <c r="F42" s="13" t="s">
        <v>354</v>
      </c>
      <c r="G42" s="442">
        <v>18</v>
      </c>
      <c r="H42" s="440">
        <v>10</v>
      </c>
      <c r="I42" s="28">
        <v>1</v>
      </c>
      <c r="J42" s="441">
        <f t="shared" si="5"/>
        <v>0.55555555555555558</v>
      </c>
      <c r="K42" s="432">
        <v>1</v>
      </c>
      <c r="L42" s="267">
        <f t="shared" si="4"/>
        <v>0.55555555555555558</v>
      </c>
      <c r="M42" s="433">
        <f t="shared" si="6"/>
        <v>111.11111111111111</v>
      </c>
      <c r="N42" s="434">
        <v>200</v>
      </c>
      <c r="O42" s="435">
        <f t="shared" si="7"/>
        <v>0.55555555555555558</v>
      </c>
    </row>
    <row r="43" spans="1:15" ht="30">
      <c r="A43" s="57" t="s">
        <v>1289</v>
      </c>
      <c r="B43" s="56" t="s">
        <v>1507</v>
      </c>
      <c r="C43" s="13" t="s">
        <v>24</v>
      </c>
      <c r="D43" s="13">
        <v>117</v>
      </c>
      <c r="E43" s="13"/>
      <c r="F43" s="4" t="s">
        <v>38</v>
      </c>
      <c r="G43" s="442">
        <v>20</v>
      </c>
      <c r="H43" s="440">
        <v>10</v>
      </c>
      <c r="I43" s="28">
        <v>2</v>
      </c>
      <c r="J43" s="441">
        <f t="shared" si="5"/>
        <v>1</v>
      </c>
      <c r="K43" s="28">
        <v>1</v>
      </c>
      <c r="L43" s="267">
        <f t="shared" si="4"/>
        <v>1</v>
      </c>
      <c r="M43" s="433">
        <f t="shared" si="6"/>
        <v>200</v>
      </c>
      <c r="N43" s="434">
        <v>200</v>
      </c>
      <c r="O43" s="435">
        <f t="shared" si="7"/>
        <v>0.50</v>
      </c>
    </row>
    <row r="44" spans="1:15" ht="30">
      <c r="A44" s="13" t="s">
        <v>1290</v>
      </c>
      <c r="B44" s="56" t="s">
        <v>1508</v>
      </c>
      <c r="C44" s="13" t="s">
        <v>160</v>
      </c>
      <c r="D44" s="13">
        <v>117</v>
      </c>
      <c r="E44" s="13" t="s">
        <v>869</v>
      </c>
      <c r="F44" s="13" t="s">
        <v>10</v>
      </c>
      <c r="G44" s="28">
        <v>40</v>
      </c>
      <c r="H44" s="440">
        <v>10</v>
      </c>
      <c r="I44" s="28">
        <v>1</v>
      </c>
      <c r="J44" s="441">
        <f t="shared" si="5"/>
        <v>0.25</v>
      </c>
      <c r="K44" s="436">
        <f>444*3.1415*2/1000</f>
        <v>2.7896520000000002</v>
      </c>
      <c r="L44" s="267">
        <f t="shared" si="4"/>
        <v>0.69741300000000006</v>
      </c>
      <c r="M44" s="433">
        <f t="shared" si="6"/>
        <v>139.48260000000002</v>
      </c>
      <c r="N44" s="434">
        <v>200</v>
      </c>
      <c r="O44" s="435">
        <f t="shared" si="7"/>
        <v>0.69741300000000006</v>
      </c>
    </row>
    <row r="45" spans="1:15" ht="30">
      <c r="A45" s="57" t="s">
        <v>1291</v>
      </c>
      <c r="B45" s="56" t="s">
        <v>1509</v>
      </c>
      <c r="C45" s="13" t="s">
        <v>24</v>
      </c>
      <c r="D45" s="13">
        <v>110</v>
      </c>
      <c r="E45" s="13"/>
      <c r="F45" s="4" t="s">
        <v>38</v>
      </c>
      <c r="G45" s="442">
        <v>20</v>
      </c>
      <c r="H45" s="440">
        <v>10</v>
      </c>
      <c r="I45" s="28">
        <v>2</v>
      </c>
      <c r="J45" s="441">
        <f t="shared" si="5"/>
        <v>1</v>
      </c>
      <c r="K45" s="28">
        <v>1</v>
      </c>
      <c r="L45" s="267">
        <f t="shared" si="4"/>
        <v>1</v>
      </c>
      <c r="M45" s="433">
        <f t="shared" si="6"/>
        <v>200</v>
      </c>
      <c r="N45" s="434">
        <v>200</v>
      </c>
      <c r="O45" s="435">
        <f t="shared" si="7"/>
        <v>0.50</v>
      </c>
    </row>
    <row r="46" spans="1:15" ht="30">
      <c r="A46" s="13" t="s">
        <v>177</v>
      </c>
      <c r="B46" s="56" t="s">
        <v>1510</v>
      </c>
      <c r="C46" s="13" t="s">
        <v>160</v>
      </c>
      <c r="D46" s="13">
        <v>110</v>
      </c>
      <c r="E46" s="13" t="s">
        <v>869</v>
      </c>
      <c r="F46" s="13" t="s">
        <v>10</v>
      </c>
      <c r="G46" s="28">
        <v>40</v>
      </c>
      <c r="H46" s="440">
        <v>10</v>
      </c>
      <c r="I46" s="28">
        <v>1</v>
      </c>
      <c r="J46" s="441">
        <f t="shared" si="5"/>
        <v>0.25</v>
      </c>
      <c r="K46" s="436">
        <f>444*3.1415/1000</f>
        <v>1.3948260000000001</v>
      </c>
      <c r="L46" s="267">
        <f t="shared" si="4"/>
        <v>0.34870650000000003</v>
      </c>
      <c r="M46" s="433">
        <f t="shared" si="6"/>
        <v>69.74130000000001</v>
      </c>
      <c r="N46" s="434">
        <v>200</v>
      </c>
      <c r="O46" s="435">
        <f t="shared" si="7"/>
        <v>0.34870650000000003</v>
      </c>
    </row>
    <row r="47" spans="1:15" ht="15">
      <c r="A47" s="39"/>
      <c r="B47" s="649" t="s">
        <v>131</v>
      </c>
      <c r="C47" s="649"/>
      <c r="D47" s="649"/>
      <c r="E47" s="649"/>
      <c r="F47" s="649"/>
      <c r="G47" s="649"/>
      <c r="H47" s="649"/>
      <c r="I47" s="649"/>
      <c r="J47" s="649"/>
      <c r="K47" s="649"/>
      <c r="L47" s="267"/>
      <c r="M47" s="262">
        <f>SUM(M48:M60)</f>
        <v>1863.2994645049139</v>
      </c>
      <c r="N47" s="263"/>
      <c r="O47" s="264">
        <f>SUM(O48:O60)</f>
        <v>7.3537649383869681</v>
      </c>
    </row>
    <row r="48" spans="1:15" ht="15">
      <c r="A48" s="57" t="s">
        <v>182</v>
      </c>
      <c r="B48" s="56" t="s">
        <v>183</v>
      </c>
      <c r="C48" s="13" t="s">
        <v>1073</v>
      </c>
      <c r="D48" s="13">
        <v>105</v>
      </c>
      <c r="E48" s="13"/>
      <c r="F48" s="13" t="s">
        <v>353</v>
      </c>
      <c r="G48" s="436">
        <v>14.753468516542156</v>
      </c>
      <c r="H48" s="440">
        <v>10</v>
      </c>
      <c r="I48" s="28">
        <v>1</v>
      </c>
      <c r="J48" s="441">
        <f t="shared" si="8" ref="J48:J60">H48/G48*I48</f>
        <v>0.67780671296296291</v>
      </c>
      <c r="K48" s="432">
        <v>1</v>
      </c>
      <c r="L48" s="435">
        <f t="shared" si="9" ref="L48:L60">J48*K48</f>
        <v>0.67780671296296291</v>
      </c>
      <c r="M48" s="266">
        <f t="shared" si="10" ref="M48:M60">L48*N48</f>
        <v>135.56134259259258</v>
      </c>
      <c r="N48" s="433">
        <v>200</v>
      </c>
      <c r="O48" s="435">
        <f t="shared" si="11" ref="O48:O60">J48/I48*K48</f>
        <v>0.67780671296296291</v>
      </c>
    </row>
    <row r="49" spans="1:15" ht="30">
      <c r="A49" s="57" t="s">
        <v>185</v>
      </c>
      <c r="B49" s="56" t="s">
        <v>186</v>
      </c>
      <c r="C49" s="13" t="s">
        <v>187</v>
      </c>
      <c r="D49" s="13">
        <v>105</v>
      </c>
      <c r="E49" s="13"/>
      <c r="F49" s="13" t="s">
        <v>522</v>
      </c>
      <c r="G49" s="28">
        <v>55</v>
      </c>
      <c r="H49" s="440">
        <v>10</v>
      </c>
      <c r="I49" s="28">
        <v>1</v>
      </c>
      <c r="J49" s="441">
        <f t="shared" si="8"/>
        <v>0.18181818181818182</v>
      </c>
      <c r="K49" s="432">
        <v>3</v>
      </c>
      <c r="L49" s="435">
        <f t="shared" si="9"/>
        <v>0.54545454545454541</v>
      </c>
      <c r="M49" s="266">
        <f t="shared" si="10"/>
        <v>109.09090909090908</v>
      </c>
      <c r="N49" s="433">
        <v>200</v>
      </c>
      <c r="O49" s="435">
        <f t="shared" si="11"/>
        <v>0.54545454545454541</v>
      </c>
    </row>
    <row r="50" spans="1:15" ht="15">
      <c r="A50" s="650" t="s">
        <v>188</v>
      </c>
      <c r="B50" s="656" t="s">
        <v>438</v>
      </c>
      <c r="C50" s="13" t="s">
        <v>1074</v>
      </c>
      <c r="D50" s="13">
        <v>109</v>
      </c>
      <c r="E50" s="637" t="s">
        <v>36</v>
      </c>
      <c r="F50" s="13" t="s">
        <v>10</v>
      </c>
      <c r="G50" s="28">
        <v>40</v>
      </c>
      <c r="H50" s="440">
        <v>10</v>
      </c>
      <c r="I50" s="28">
        <v>1</v>
      </c>
      <c r="J50" s="453">
        <f t="shared" si="8"/>
        <v>0.25</v>
      </c>
      <c r="K50" s="436">
        <f>(1080)/1000+0.1</f>
        <v>1.1800000000000002</v>
      </c>
      <c r="L50" s="267">
        <f t="shared" si="9"/>
        <v>0.29500000000000004</v>
      </c>
      <c r="M50" s="433">
        <f t="shared" si="10"/>
        <v>59.000000000000007</v>
      </c>
      <c r="N50" s="434">
        <v>200</v>
      </c>
      <c r="O50" s="435">
        <f t="shared" si="11"/>
        <v>0.29500000000000004</v>
      </c>
    </row>
    <row r="51" spans="1:15" ht="15">
      <c r="A51" s="652"/>
      <c r="B51" s="654"/>
      <c r="C51" s="13" t="s">
        <v>1075</v>
      </c>
      <c r="D51" s="13">
        <v>109</v>
      </c>
      <c r="E51" s="637"/>
      <c r="F51" s="13" t="s">
        <v>10</v>
      </c>
      <c r="G51" s="28">
        <v>27</v>
      </c>
      <c r="H51" s="440">
        <v>10</v>
      </c>
      <c r="I51" s="28">
        <v>1</v>
      </c>
      <c r="J51" s="441">
        <f t="shared" si="8"/>
        <v>0.37037037037037035</v>
      </c>
      <c r="K51" s="436">
        <f>(1080)/1000+0.1</f>
        <v>1.1800000000000002</v>
      </c>
      <c r="L51" s="435">
        <f t="shared" si="9"/>
        <v>0.43703703703703706</v>
      </c>
      <c r="M51" s="266">
        <f t="shared" si="10"/>
        <v>87.407407407407405</v>
      </c>
      <c r="N51" s="433">
        <v>200</v>
      </c>
      <c r="O51" s="435">
        <f t="shared" si="11"/>
        <v>0.43703703703703706</v>
      </c>
    </row>
    <row r="52" spans="1:15" ht="15">
      <c r="A52" s="650" t="s">
        <v>437</v>
      </c>
      <c r="B52" s="638" t="s">
        <v>439</v>
      </c>
      <c r="C52" s="13" t="s">
        <v>1074</v>
      </c>
      <c r="D52" s="13">
        <v>107</v>
      </c>
      <c r="E52" s="637" t="s">
        <v>43</v>
      </c>
      <c r="F52" s="13" t="s">
        <v>10</v>
      </c>
      <c r="G52" s="28">
        <v>40</v>
      </c>
      <c r="H52" s="440">
        <v>10</v>
      </c>
      <c r="I52" s="28">
        <v>1</v>
      </c>
      <c r="J52" s="441">
        <f t="shared" si="8"/>
        <v>0.25</v>
      </c>
      <c r="K52" s="436">
        <f>1080/1000+0.1</f>
        <v>1.1800000000000002</v>
      </c>
      <c r="L52" s="267">
        <f t="shared" si="9"/>
        <v>0.29500000000000004</v>
      </c>
      <c r="M52" s="433">
        <f t="shared" si="10"/>
        <v>59.000000000000007</v>
      </c>
      <c r="N52" s="434">
        <v>200</v>
      </c>
      <c r="O52" s="435">
        <f t="shared" si="11"/>
        <v>0.29500000000000004</v>
      </c>
    </row>
    <row r="53" spans="1:15" ht="15">
      <c r="A53" s="650"/>
      <c r="B53" s="638"/>
      <c r="C53" s="13" t="s">
        <v>1076</v>
      </c>
      <c r="D53" s="13">
        <v>107</v>
      </c>
      <c r="E53" s="637"/>
      <c r="F53" s="13" t="s">
        <v>10</v>
      </c>
      <c r="G53" s="28">
        <v>25</v>
      </c>
      <c r="H53" s="440">
        <v>10</v>
      </c>
      <c r="I53" s="28">
        <v>1</v>
      </c>
      <c r="J53" s="453">
        <f t="shared" si="8"/>
        <v>0.40</v>
      </c>
      <c r="K53" s="436">
        <f>(1080)/1000</f>
        <v>1.0800000000000001</v>
      </c>
      <c r="L53" s="267">
        <f t="shared" si="9"/>
        <v>0.43200000000000005</v>
      </c>
      <c r="M53" s="433">
        <f t="shared" si="10"/>
        <v>76.032000000000011</v>
      </c>
      <c r="N53" s="434">
        <v>176</v>
      </c>
      <c r="O53" s="435">
        <f t="shared" si="11"/>
        <v>0.43200000000000005</v>
      </c>
    </row>
    <row r="54" spans="1:15" ht="15">
      <c r="A54" s="650"/>
      <c r="B54" s="638"/>
      <c r="C54" s="13" t="s">
        <v>1077</v>
      </c>
      <c r="D54" s="13">
        <v>107</v>
      </c>
      <c r="E54" s="637"/>
      <c r="F54" s="13" t="s">
        <v>10</v>
      </c>
      <c r="G54" s="442">
        <f>14.753/0.65</f>
        <v>22.696923076923078</v>
      </c>
      <c r="H54" s="440">
        <v>10</v>
      </c>
      <c r="I54" s="28">
        <v>1</v>
      </c>
      <c r="J54" s="453">
        <f t="shared" si="8"/>
        <v>0.44058835491086557</v>
      </c>
      <c r="K54" s="436">
        <f>(1080)/1000+0.1</f>
        <v>1.1800000000000002</v>
      </c>
      <c r="L54" s="267">
        <f t="shared" si="9"/>
        <v>0.51989425879482143</v>
      </c>
      <c r="M54" s="433">
        <f t="shared" si="10"/>
        <v>103.97885175896428</v>
      </c>
      <c r="N54" s="434">
        <v>200</v>
      </c>
      <c r="O54" s="435">
        <f t="shared" si="11"/>
        <v>0.51989425879482143</v>
      </c>
    </row>
    <row r="55" spans="1:15" s="0" customFormat="1" ht="15">
      <c r="A55" s="57" t="s">
        <v>348</v>
      </c>
      <c r="B55" s="56" t="s">
        <v>1007</v>
      </c>
      <c r="C55" s="17" t="s">
        <v>523</v>
      </c>
      <c r="D55" s="17">
        <v>224</v>
      </c>
      <c r="E55" s="13"/>
      <c r="F55" s="17" t="s">
        <v>353</v>
      </c>
      <c r="G55" s="16">
        <v>60</v>
      </c>
      <c r="H55" s="252">
        <v>10</v>
      </c>
      <c r="I55" s="16">
        <v>1</v>
      </c>
      <c r="J55" s="253">
        <f t="shared" si="8"/>
        <v>0.16666666666666666</v>
      </c>
      <c r="K55" s="52">
        <v>3</v>
      </c>
      <c r="L55" s="8">
        <f t="shared" si="9"/>
        <v>0.50</v>
      </c>
      <c r="M55" s="42">
        <f t="shared" si="10"/>
        <v>100</v>
      </c>
      <c r="N55" s="43">
        <v>200</v>
      </c>
      <c r="O55" s="8">
        <f t="shared" si="11"/>
        <v>0.50</v>
      </c>
    </row>
    <row r="56" spans="1:15" ht="15">
      <c r="A56" s="57" t="s">
        <v>325</v>
      </c>
      <c r="B56" s="56" t="s">
        <v>327</v>
      </c>
      <c r="C56" s="13" t="s">
        <v>326</v>
      </c>
      <c r="D56" s="13">
        <v>112</v>
      </c>
      <c r="E56" s="13"/>
      <c r="F56" s="13" t="s">
        <v>513</v>
      </c>
      <c r="G56" s="28">
        <v>17.50</v>
      </c>
      <c r="H56" s="440">
        <v>10</v>
      </c>
      <c r="I56" s="28">
        <v>2</v>
      </c>
      <c r="J56" s="441">
        <f t="shared" si="8"/>
        <v>1.1428571428571428</v>
      </c>
      <c r="K56" s="432">
        <v>1</v>
      </c>
      <c r="L56" s="435">
        <f t="shared" si="9"/>
        <v>1.1428571428571428</v>
      </c>
      <c r="M56" s="266">
        <f t="shared" si="10"/>
        <v>228.57142857142856</v>
      </c>
      <c r="N56" s="433">
        <v>200</v>
      </c>
      <c r="O56" s="435">
        <f t="shared" si="11"/>
        <v>0.5714285714285714</v>
      </c>
    </row>
    <row r="57" spans="1:15" s="0" customFormat="1" ht="15">
      <c r="A57" s="637" t="s">
        <v>197</v>
      </c>
      <c r="B57" s="638" t="s">
        <v>110</v>
      </c>
      <c r="C57" s="13" t="s">
        <v>47</v>
      </c>
      <c r="D57" s="13">
        <v>112</v>
      </c>
      <c r="E57" s="13"/>
      <c r="F57" s="25" t="s">
        <v>111</v>
      </c>
      <c r="G57" s="16">
        <v>20</v>
      </c>
      <c r="H57" s="252">
        <v>10</v>
      </c>
      <c r="I57" s="16">
        <v>2</v>
      </c>
      <c r="J57" s="253">
        <f t="shared" si="8"/>
        <v>1</v>
      </c>
      <c r="K57" s="16">
        <v>1</v>
      </c>
      <c r="L57" s="26">
        <f t="shared" si="9"/>
        <v>1</v>
      </c>
      <c r="M57" s="43">
        <f t="shared" si="10"/>
        <v>200</v>
      </c>
      <c r="N57" s="46">
        <v>200</v>
      </c>
      <c r="O57" s="8">
        <f t="shared" si="11"/>
        <v>0.50</v>
      </c>
    </row>
    <row r="58" spans="1:15" s="0" customFormat="1" ht="30">
      <c r="A58" s="637"/>
      <c r="B58" s="638"/>
      <c r="C58" s="13" t="s">
        <v>48</v>
      </c>
      <c r="D58" s="13">
        <v>112</v>
      </c>
      <c r="E58" s="4" t="s">
        <v>520</v>
      </c>
      <c r="F58" s="17" t="s">
        <v>10</v>
      </c>
      <c r="G58" s="16">
        <v>40</v>
      </c>
      <c r="H58" s="252">
        <v>10</v>
      </c>
      <c r="I58" s="16">
        <v>1</v>
      </c>
      <c r="J58" s="253">
        <f t="shared" si="8"/>
        <v>0.25</v>
      </c>
      <c r="K58" s="30">
        <f>((1090+1278*2+500*2)+(1268)+(634))/1000</f>
        <v>6.548</v>
      </c>
      <c r="L58" s="26">
        <f t="shared" si="9"/>
        <v>1.637</v>
      </c>
      <c r="M58" s="43">
        <f t="shared" si="10"/>
        <v>327.39999999999998</v>
      </c>
      <c r="N58" s="46">
        <v>200</v>
      </c>
      <c r="O58" s="8">
        <f t="shared" si="11"/>
        <v>1.637</v>
      </c>
    </row>
    <row r="59" spans="1:15" ht="15">
      <c r="A59" s="13" t="s">
        <v>888</v>
      </c>
      <c r="B59" s="56" t="s">
        <v>1402</v>
      </c>
      <c r="C59" s="13" t="s">
        <v>862</v>
      </c>
      <c r="D59" s="13">
        <v>224</v>
      </c>
      <c r="E59" s="13"/>
      <c r="F59" s="17"/>
      <c r="G59" s="28">
        <f>(600-25)/10</f>
        <v>57.50</v>
      </c>
      <c r="H59" s="440">
        <v>10</v>
      </c>
      <c r="I59" s="28">
        <v>2</v>
      </c>
      <c r="J59" s="441">
        <f t="shared" si="8"/>
        <v>0.34782608695652173</v>
      </c>
      <c r="K59" s="28">
        <v>1</v>
      </c>
      <c r="L59" s="267">
        <f t="shared" si="9"/>
        <v>0.34782608695652173</v>
      </c>
      <c r="M59" s="433">
        <f t="shared" si="10"/>
        <v>69.565217391304344</v>
      </c>
      <c r="N59" s="434">
        <v>200</v>
      </c>
      <c r="O59" s="435">
        <f t="shared" si="11"/>
        <v>0.17391304347826086</v>
      </c>
    </row>
    <row r="60" spans="1:15" ht="15">
      <c r="A60" s="13" t="s">
        <v>199</v>
      </c>
      <c r="B60" s="27" t="s">
        <v>890</v>
      </c>
      <c r="C60" s="13" t="s">
        <v>47</v>
      </c>
      <c r="D60" s="13">
        <v>112</v>
      </c>
      <c r="E60" s="13"/>
      <c r="F60" s="4" t="s">
        <v>870</v>
      </c>
      <c r="G60" s="28">
        <v>13</v>
      </c>
      <c r="H60" s="440">
        <v>10</v>
      </c>
      <c r="I60" s="28">
        <v>2</v>
      </c>
      <c r="J60" s="441">
        <f t="shared" si="8"/>
        <v>1.5384615384615385</v>
      </c>
      <c r="K60" s="28">
        <v>1</v>
      </c>
      <c r="L60" s="267">
        <f t="shared" si="9"/>
        <v>1.5384615384615385</v>
      </c>
      <c r="M60" s="433">
        <f t="shared" si="10"/>
        <v>307.69230769230774</v>
      </c>
      <c r="N60" s="434">
        <v>200</v>
      </c>
      <c r="O60" s="435">
        <f t="shared" si="11"/>
        <v>0.76923076923076927</v>
      </c>
    </row>
    <row r="61" spans="1:15" ht="15">
      <c r="A61" s="39"/>
      <c r="B61" s="649" t="s">
        <v>132</v>
      </c>
      <c r="C61" s="649"/>
      <c r="D61" s="649"/>
      <c r="E61" s="649"/>
      <c r="F61" s="649"/>
      <c r="G61" s="649"/>
      <c r="H61" s="649"/>
      <c r="I61" s="649"/>
      <c r="J61" s="649"/>
      <c r="K61" s="649"/>
      <c r="L61" s="267"/>
      <c r="M61" s="262">
        <f>SUM(M62:M73)</f>
        <v>5168.6712177118425</v>
      </c>
      <c r="N61" s="263"/>
      <c r="O61" s="264">
        <f>SUM(O62:O73)</f>
        <v>18.836522203384547</v>
      </c>
    </row>
    <row r="62" spans="1:15" ht="15">
      <c r="A62" s="650" t="s">
        <v>200</v>
      </c>
      <c r="B62" s="638" t="s">
        <v>871</v>
      </c>
      <c r="C62" s="13" t="s">
        <v>924</v>
      </c>
      <c r="D62" s="13">
        <v>224</v>
      </c>
      <c r="E62" s="13"/>
      <c r="F62" s="13" t="s">
        <v>353</v>
      </c>
      <c r="G62" s="442">
        <f>600/10</f>
        <v>60</v>
      </c>
      <c r="H62" s="440">
        <v>10</v>
      </c>
      <c r="I62" s="28">
        <v>1</v>
      </c>
      <c r="J62" s="441">
        <f t="shared" si="12" ref="J62:J73">H62/G62*I62</f>
        <v>0.16666666666666666</v>
      </c>
      <c r="K62" s="432">
        <v>2</v>
      </c>
      <c r="L62" s="435">
        <f t="shared" si="13" ref="L62:L65">J62*K62</f>
        <v>0.33333333333333331</v>
      </c>
      <c r="M62" s="266">
        <f t="shared" si="14" ref="M62:M73">L62*N62</f>
        <v>66.666666666666657</v>
      </c>
      <c r="N62" s="433">
        <v>200</v>
      </c>
      <c r="O62" s="435">
        <f t="shared" si="15" ref="O62:O73">J62/I62*K62</f>
        <v>0.33333333333333331</v>
      </c>
    </row>
    <row r="63" spans="1:15" ht="15">
      <c r="A63" s="650"/>
      <c r="B63" s="638"/>
      <c r="C63" s="13" t="s">
        <v>1079</v>
      </c>
      <c r="D63" s="13">
        <v>224</v>
      </c>
      <c r="E63" s="13"/>
      <c r="F63" s="13" t="s">
        <v>353</v>
      </c>
      <c r="G63" s="442">
        <v>120</v>
      </c>
      <c r="H63" s="440">
        <v>10</v>
      </c>
      <c r="I63" s="28">
        <v>1</v>
      </c>
      <c r="J63" s="441">
        <f t="shared" si="12"/>
        <v>0.083333333333333329</v>
      </c>
      <c r="K63" s="432">
        <v>2</v>
      </c>
      <c r="L63" s="435">
        <f t="shared" si="13"/>
        <v>0.16666666666666666</v>
      </c>
      <c r="M63" s="266">
        <f t="shared" si="14"/>
        <v>33.333333333333329</v>
      </c>
      <c r="N63" s="433">
        <v>200</v>
      </c>
      <c r="O63" s="435">
        <f t="shared" si="15"/>
        <v>0.16666666666666666</v>
      </c>
    </row>
    <row r="64" spans="1:15" ht="15">
      <c r="A64" s="650"/>
      <c r="B64" s="638"/>
      <c r="C64" s="13" t="s">
        <v>873</v>
      </c>
      <c r="D64" s="13">
        <v>224</v>
      </c>
      <c r="E64" s="13"/>
      <c r="F64" s="13" t="s">
        <v>353</v>
      </c>
      <c r="G64" s="442">
        <f>600/5</f>
        <v>120</v>
      </c>
      <c r="H64" s="440">
        <v>10</v>
      </c>
      <c r="I64" s="28">
        <v>1</v>
      </c>
      <c r="J64" s="441">
        <f t="shared" si="12"/>
        <v>0.083333333333333329</v>
      </c>
      <c r="K64" s="432">
        <v>2</v>
      </c>
      <c r="L64" s="435">
        <f t="shared" si="13"/>
        <v>0.16666666666666666</v>
      </c>
      <c r="M64" s="266">
        <f t="shared" si="14"/>
        <v>33.333333333333329</v>
      </c>
      <c r="N64" s="433">
        <v>200</v>
      </c>
      <c r="O64" s="435">
        <f t="shared" si="15"/>
        <v>0.16666666666666666</v>
      </c>
    </row>
    <row r="65" spans="1:15" ht="15">
      <c r="A65" s="57" t="s">
        <v>662</v>
      </c>
      <c r="B65" s="56" t="s">
        <v>1080</v>
      </c>
      <c r="C65" s="13" t="s">
        <v>862</v>
      </c>
      <c r="D65" s="13">
        <v>224</v>
      </c>
      <c r="E65" s="13"/>
      <c r="F65" s="17"/>
      <c r="G65" s="442">
        <f>(600-25)/10</f>
        <v>57.50</v>
      </c>
      <c r="H65" s="440">
        <v>10</v>
      </c>
      <c r="I65" s="28">
        <v>2</v>
      </c>
      <c r="J65" s="441">
        <f t="shared" si="12"/>
        <v>0.34782608695652173</v>
      </c>
      <c r="K65" s="28">
        <v>1</v>
      </c>
      <c r="L65" s="267">
        <f t="shared" si="13"/>
        <v>0.34782608695652173</v>
      </c>
      <c r="M65" s="433">
        <f t="shared" si="14"/>
        <v>69.565217391304344</v>
      </c>
      <c r="N65" s="434">
        <v>200</v>
      </c>
      <c r="O65" s="435">
        <f t="shared" si="15"/>
        <v>0.17391304347826086</v>
      </c>
    </row>
    <row r="66" spans="1:15" ht="15">
      <c r="A66" s="13" t="s">
        <v>205</v>
      </c>
      <c r="B66" s="27" t="s">
        <v>875</v>
      </c>
      <c r="C66" s="13" t="s">
        <v>138</v>
      </c>
      <c r="D66" s="13">
        <v>117</v>
      </c>
      <c r="E66" s="13"/>
      <c r="F66" s="4" t="s">
        <v>13</v>
      </c>
      <c r="G66" s="442">
        <f>1.667*1.4</f>
        <v>2.3338000000000001</v>
      </c>
      <c r="H66" s="440">
        <v>10</v>
      </c>
      <c r="I66" s="28">
        <v>2</v>
      </c>
      <c r="J66" s="441">
        <f t="shared" si="12"/>
        <v>8.5697146285028705</v>
      </c>
      <c r="K66" s="28">
        <v>1</v>
      </c>
      <c r="L66" s="267">
        <f>J66*K66</f>
        <v>8.5697146285028705</v>
      </c>
      <c r="M66" s="433">
        <f t="shared" si="14"/>
        <v>1713.9429257005741</v>
      </c>
      <c r="N66" s="434">
        <v>200</v>
      </c>
      <c r="O66" s="435">
        <f t="shared" si="15"/>
        <v>4.2848573142514352</v>
      </c>
    </row>
    <row r="67" spans="1:15" ht="15">
      <c r="A67" s="13" t="s">
        <v>877</v>
      </c>
      <c r="B67" s="27" t="s">
        <v>876</v>
      </c>
      <c r="C67" s="13" t="s">
        <v>160</v>
      </c>
      <c r="D67" s="13">
        <v>117</v>
      </c>
      <c r="E67" s="13"/>
      <c r="F67" s="4" t="s">
        <v>13</v>
      </c>
      <c r="G67" s="442">
        <v>40</v>
      </c>
      <c r="H67" s="440">
        <v>10</v>
      </c>
      <c r="I67" s="28">
        <v>1</v>
      </c>
      <c r="J67" s="441">
        <f t="shared" si="12"/>
        <v>0.25</v>
      </c>
      <c r="K67" s="442">
        <f>(2974+2638+2600+825+16*3.1415*8+219*3.1415+30*3)/1000</f>
        <v>10.217100499999999</v>
      </c>
      <c r="L67" s="267">
        <f>J67*K67</f>
        <v>2.5542751249999998</v>
      </c>
      <c r="M67" s="433">
        <f t="shared" si="14"/>
        <v>510.85502499999996</v>
      </c>
      <c r="N67" s="434">
        <v>200</v>
      </c>
      <c r="O67" s="435">
        <f t="shared" si="15"/>
        <v>2.5542751249999998</v>
      </c>
    </row>
    <row r="68" spans="1:15" ht="15">
      <c r="A68" s="13" t="s">
        <v>206</v>
      </c>
      <c r="B68" s="27" t="s">
        <v>94</v>
      </c>
      <c r="C68" s="13" t="s">
        <v>160</v>
      </c>
      <c r="D68" s="13">
        <v>117</v>
      </c>
      <c r="E68" s="13"/>
      <c r="F68" s="4" t="s">
        <v>13</v>
      </c>
      <c r="G68" s="442">
        <v>40</v>
      </c>
      <c r="H68" s="440">
        <v>10</v>
      </c>
      <c r="I68" s="28">
        <v>1</v>
      </c>
      <c r="J68" s="441">
        <f t="shared" si="12"/>
        <v>0.25</v>
      </c>
      <c r="K68" s="442">
        <f>(2974*2+120*3+16*3.1415*8+219*3.1415+2638+2790+2827+19*3.1415*2+23*3.1415*2+2600)/1000</f>
        <v>18.516986499999998</v>
      </c>
      <c r="L68" s="267">
        <f>J68*K68</f>
        <v>4.6292466249999995</v>
      </c>
      <c r="M68" s="433">
        <f t="shared" si="14"/>
        <v>925.84932499999991</v>
      </c>
      <c r="N68" s="434">
        <v>200</v>
      </c>
      <c r="O68" s="435">
        <f t="shared" si="15"/>
        <v>4.6292466249999995</v>
      </c>
    </row>
    <row r="69" spans="1:15" ht="15">
      <c r="A69" s="13" t="s">
        <v>207</v>
      </c>
      <c r="B69" s="56" t="s">
        <v>55</v>
      </c>
      <c r="C69" s="13" t="s">
        <v>29</v>
      </c>
      <c r="D69" s="13">
        <v>120</v>
      </c>
      <c r="E69" s="13"/>
      <c r="F69" s="13" t="s">
        <v>13</v>
      </c>
      <c r="G69" s="31">
        <v>15.52</v>
      </c>
      <c r="H69" s="440">
        <v>10</v>
      </c>
      <c r="I69" s="28">
        <v>1</v>
      </c>
      <c r="J69" s="441">
        <f t="shared" si="12"/>
        <v>0.64432989690721654</v>
      </c>
      <c r="K69" s="28">
        <v>1</v>
      </c>
      <c r="L69" s="267">
        <f t="shared" si="16" ref="L69:L72">J69*K69</f>
        <v>0.64432989690721654</v>
      </c>
      <c r="M69" s="433">
        <f t="shared" si="14"/>
        <v>113.40206185567011</v>
      </c>
      <c r="N69" s="434">
        <v>176</v>
      </c>
      <c r="O69" s="435">
        <f t="shared" si="15"/>
        <v>0.64432989690721654</v>
      </c>
    </row>
    <row r="70" spans="1:15" ht="15">
      <c r="A70" s="13" t="s">
        <v>208</v>
      </c>
      <c r="B70" s="56" t="s">
        <v>56</v>
      </c>
      <c r="C70" s="13" t="s">
        <v>29</v>
      </c>
      <c r="D70" s="13">
        <v>120</v>
      </c>
      <c r="E70" s="13"/>
      <c r="F70" s="13" t="s">
        <v>13</v>
      </c>
      <c r="G70" s="31">
        <v>15.52</v>
      </c>
      <c r="H70" s="440">
        <v>10</v>
      </c>
      <c r="I70" s="28">
        <v>1</v>
      </c>
      <c r="J70" s="441">
        <f t="shared" si="12"/>
        <v>0.64432989690721654</v>
      </c>
      <c r="K70" s="28">
        <v>1</v>
      </c>
      <c r="L70" s="267">
        <f t="shared" si="16"/>
        <v>0.64432989690721654</v>
      </c>
      <c r="M70" s="433">
        <f t="shared" si="14"/>
        <v>113.40206185567011</v>
      </c>
      <c r="N70" s="434">
        <v>176</v>
      </c>
      <c r="O70" s="435">
        <f t="shared" si="15"/>
        <v>0.64432989690721654</v>
      </c>
    </row>
    <row r="71" spans="1:16" ht="30">
      <c r="A71" s="13" t="s">
        <v>209</v>
      </c>
      <c r="B71" s="27" t="s">
        <v>892</v>
      </c>
      <c r="C71" s="13" t="s">
        <v>14</v>
      </c>
      <c r="D71" s="13">
        <v>119</v>
      </c>
      <c r="E71" s="13"/>
      <c r="F71" s="13" t="s">
        <v>58</v>
      </c>
      <c r="G71" s="16">
        <v>61</v>
      </c>
      <c r="H71" s="440">
        <v>10</v>
      </c>
      <c r="I71" s="28">
        <v>1</v>
      </c>
      <c r="J71" s="441">
        <f t="shared" si="12"/>
        <v>0.16393442622950818</v>
      </c>
      <c r="K71" s="28">
        <v>1.48</v>
      </c>
      <c r="L71" s="267">
        <f t="shared" si="16"/>
        <v>0.24262295081967211</v>
      </c>
      <c r="M71" s="433">
        <f t="shared" si="14"/>
        <v>48.52459016393442</v>
      </c>
      <c r="N71" s="434">
        <v>200</v>
      </c>
      <c r="O71" s="435">
        <f t="shared" si="15"/>
        <v>0.24262295081967211</v>
      </c>
      <c r="P71" s="22"/>
    </row>
    <row r="72" spans="1:16" ht="30">
      <c r="A72" s="13" t="s">
        <v>210</v>
      </c>
      <c r="B72" s="27" t="s">
        <v>114</v>
      </c>
      <c r="C72" s="13" t="s">
        <v>54</v>
      </c>
      <c r="D72" s="13">
        <v>116</v>
      </c>
      <c r="E72" s="13"/>
      <c r="F72" s="13" t="s">
        <v>13</v>
      </c>
      <c r="G72" s="469">
        <v>3.70</v>
      </c>
      <c r="H72" s="440">
        <v>10</v>
      </c>
      <c r="I72" s="28">
        <v>2</v>
      </c>
      <c r="J72" s="441">
        <f t="shared" si="12"/>
        <v>5.4054054054054053</v>
      </c>
      <c r="K72" s="28">
        <v>1</v>
      </c>
      <c r="L72" s="267">
        <f t="shared" si="16"/>
        <v>5.4054054054054053</v>
      </c>
      <c r="M72" s="433">
        <f t="shared" si="14"/>
        <v>1081.081081081081</v>
      </c>
      <c r="N72" s="434">
        <v>200</v>
      </c>
      <c r="O72" s="435">
        <f t="shared" si="15"/>
        <v>2.7027027027027026</v>
      </c>
      <c r="P72" s="22"/>
    </row>
    <row r="73" spans="1:15" ht="30">
      <c r="A73" s="13" t="s">
        <v>211</v>
      </c>
      <c r="B73" s="56" t="s">
        <v>60</v>
      </c>
      <c r="C73" s="13" t="s">
        <v>14</v>
      </c>
      <c r="D73" s="13">
        <v>226</v>
      </c>
      <c r="E73" s="13"/>
      <c r="F73" s="4" t="s">
        <v>58</v>
      </c>
      <c r="G73" s="470">
        <v>4.3600000000000003</v>
      </c>
      <c r="H73" s="440">
        <v>10</v>
      </c>
      <c r="I73" s="28">
        <v>1</v>
      </c>
      <c r="J73" s="441">
        <f t="shared" si="12"/>
        <v>2.2935779816513762</v>
      </c>
      <c r="K73" s="28">
        <v>1</v>
      </c>
      <c r="L73" s="267">
        <f>J73*K73</f>
        <v>2.2935779816513762</v>
      </c>
      <c r="M73" s="433">
        <f t="shared" si="14"/>
        <v>458.71559633027522</v>
      </c>
      <c r="N73" s="434">
        <v>200</v>
      </c>
      <c r="O73" s="435">
        <f t="shared" si="15"/>
        <v>2.2935779816513762</v>
      </c>
    </row>
    <row r="74" spans="1:15" ht="15">
      <c r="A74" s="39"/>
      <c r="B74" s="649" t="s">
        <v>140</v>
      </c>
      <c r="C74" s="649"/>
      <c r="D74" s="649"/>
      <c r="E74" s="649"/>
      <c r="F74" s="649"/>
      <c r="G74" s="649"/>
      <c r="H74" s="649"/>
      <c r="I74" s="649"/>
      <c r="J74" s="649"/>
      <c r="K74" s="649"/>
      <c r="L74" s="267"/>
      <c r="M74" s="262">
        <f>SUM(M75:M80)</f>
        <v>2114.3115540036101</v>
      </c>
      <c r="N74" s="263"/>
      <c r="O74" s="264">
        <f>SUM(O75:O80)</f>
        <v>6.8973446965367895</v>
      </c>
    </row>
    <row r="75" spans="1:15" ht="15">
      <c r="A75" s="57" t="s">
        <v>893</v>
      </c>
      <c r="B75" s="27" t="s">
        <v>881</v>
      </c>
      <c r="C75" s="13" t="s">
        <v>880</v>
      </c>
      <c r="D75" s="13">
        <v>224</v>
      </c>
      <c r="E75" s="13"/>
      <c r="F75" s="13" t="s">
        <v>353</v>
      </c>
      <c r="G75" s="436">
        <f>600/20</f>
        <v>30</v>
      </c>
      <c r="H75" s="440">
        <v>10</v>
      </c>
      <c r="I75" s="28">
        <v>1</v>
      </c>
      <c r="J75" s="441">
        <f t="shared" si="17" ref="J75:J80">H75/G75*I75</f>
        <v>0.33333333333333331</v>
      </c>
      <c r="K75" s="432">
        <v>1</v>
      </c>
      <c r="L75" s="435">
        <f t="shared" si="18" ref="L75:L80">J75*K75</f>
        <v>0.33333333333333331</v>
      </c>
      <c r="M75" s="266">
        <f t="shared" si="19" ref="M75:M80">L75*N75</f>
        <v>66.666666666666657</v>
      </c>
      <c r="N75" s="433">
        <v>200</v>
      </c>
      <c r="O75" s="435">
        <f t="shared" si="20" ref="O75:O80">J75/I75*K75</f>
        <v>0.33333333333333331</v>
      </c>
    </row>
    <row r="76" spans="1:15" ht="15">
      <c r="A76" s="57" t="s">
        <v>212</v>
      </c>
      <c r="B76" s="56" t="s">
        <v>1081</v>
      </c>
      <c r="C76" s="13" t="s">
        <v>862</v>
      </c>
      <c r="D76" s="13">
        <v>224</v>
      </c>
      <c r="E76" s="13"/>
      <c r="F76" s="17"/>
      <c r="G76" s="28">
        <f>(600-25)/10</f>
        <v>57.50</v>
      </c>
      <c r="H76" s="440">
        <v>10</v>
      </c>
      <c r="I76" s="28">
        <v>2</v>
      </c>
      <c r="J76" s="441">
        <f t="shared" si="17"/>
        <v>0.34782608695652173</v>
      </c>
      <c r="K76" s="28">
        <v>1</v>
      </c>
      <c r="L76" s="267">
        <f t="shared" si="18"/>
        <v>0.34782608695652173</v>
      </c>
      <c r="M76" s="433">
        <f t="shared" si="19"/>
        <v>69.565217391304344</v>
      </c>
      <c r="N76" s="434">
        <v>200</v>
      </c>
      <c r="O76" s="435">
        <f t="shared" si="20"/>
        <v>0.17391304347826086</v>
      </c>
    </row>
    <row r="77" spans="1:15" ht="15">
      <c r="A77" s="57" t="s">
        <v>878</v>
      </c>
      <c r="B77" s="27" t="s">
        <v>882</v>
      </c>
      <c r="C77" s="13" t="s">
        <v>917</v>
      </c>
      <c r="D77" s="13">
        <v>117</v>
      </c>
      <c r="E77" s="13"/>
      <c r="F77" s="13" t="s">
        <v>353</v>
      </c>
      <c r="G77" s="28">
        <v>55.40</v>
      </c>
      <c r="H77" s="440">
        <v>10</v>
      </c>
      <c r="I77" s="28">
        <v>1</v>
      </c>
      <c r="J77" s="441">
        <f t="shared" si="17"/>
        <v>0.18050541516245489</v>
      </c>
      <c r="K77" s="432">
        <v>1</v>
      </c>
      <c r="L77" s="435">
        <f t="shared" si="18"/>
        <v>0.18050541516245489</v>
      </c>
      <c r="M77" s="266">
        <f t="shared" si="19"/>
        <v>36.101083032490976</v>
      </c>
      <c r="N77" s="433">
        <v>200</v>
      </c>
      <c r="O77" s="435">
        <f t="shared" si="20"/>
        <v>0.18050541516245489</v>
      </c>
    </row>
    <row r="78" spans="1:15" ht="15">
      <c r="A78" s="57" t="s">
        <v>214</v>
      </c>
      <c r="B78" s="56" t="s">
        <v>883</v>
      </c>
      <c r="C78" s="13" t="s">
        <v>33</v>
      </c>
      <c r="D78" s="13">
        <v>118</v>
      </c>
      <c r="E78" s="13"/>
      <c r="F78" s="13" t="s">
        <v>510</v>
      </c>
      <c r="G78" s="28">
        <v>40</v>
      </c>
      <c r="H78" s="440">
        <v>10</v>
      </c>
      <c r="I78" s="28">
        <v>2</v>
      </c>
      <c r="J78" s="441">
        <f t="shared" si="17"/>
        <v>0.50</v>
      </c>
      <c r="K78" s="432">
        <v>2</v>
      </c>
      <c r="L78" s="267">
        <f t="shared" si="18"/>
        <v>1</v>
      </c>
      <c r="M78" s="433">
        <f t="shared" si="19"/>
        <v>200</v>
      </c>
      <c r="N78" s="434">
        <v>200</v>
      </c>
      <c r="O78" s="435">
        <f t="shared" si="20"/>
        <v>0.50</v>
      </c>
    </row>
    <row r="79" spans="1:15" ht="15">
      <c r="A79" s="13" t="s">
        <v>219</v>
      </c>
      <c r="B79" s="56" t="s">
        <v>91</v>
      </c>
      <c r="C79" s="13" t="s">
        <v>54</v>
      </c>
      <c r="D79" s="13">
        <v>118</v>
      </c>
      <c r="E79" s="13"/>
      <c r="F79" s="4" t="s">
        <v>59</v>
      </c>
      <c r="G79" s="28">
        <v>3.3330000000000002</v>
      </c>
      <c r="H79" s="440">
        <v>10</v>
      </c>
      <c r="I79" s="28">
        <v>2</v>
      </c>
      <c r="J79" s="441">
        <f t="shared" si="17"/>
        <v>6.0006000600060005</v>
      </c>
      <c r="K79" s="432">
        <v>1</v>
      </c>
      <c r="L79" s="267">
        <f t="shared" si="18"/>
        <v>6.0006000600060005</v>
      </c>
      <c r="M79" s="433">
        <f t="shared" si="19"/>
        <v>1200.1200120012002</v>
      </c>
      <c r="N79" s="434">
        <v>200</v>
      </c>
      <c r="O79" s="435">
        <f t="shared" si="20"/>
        <v>3.0003000300030003</v>
      </c>
    </row>
    <row r="80" spans="1:15" ht="15">
      <c r="A80" s="13" t="s">
        <v>220</v>
      </c>
      <c r="B80" s="56" t="s">
        <v>92</v>
      </c>
      <c r="C80" s="13" t="s">
        <v>54</v>
      </c>
      <c r="D80" s="13">
        <v>118</v>
      </c>
      <c r="E80" s="13"/>
      <c r="F80" s="4" t="s">
        <v>59</v>
      </c>
      <c r="G80" s="28">
        <v>3.6909999999999998</v>
      </c>
      <c r="H80" s="440">
        <v>10</v>
      </c>
      <c r="I80" s="28">
        <v>1</v>
      </c>
      <c r="J80" s="441">
        <f t="shared" si="17"/>
        <v>2.7092928745597402</v>
      </c>
      <c r="K80" s="432">
        <v>1</v>
      </c>
      <c r="L80" s="267">
        <f t="shared" si="18"/>
        <v>2.7092928745597402</v>
      </c>
      <c r="M80" s="433">
        <f t="shared" si="19"/>
        <v>541.85857491194804</v>
      </c>
      <c r="N80" s="434">
        <v>200</v>
      </c>
      <c r="O80" s="435">
        <f t="shared" si="20"/>
        <v>2.7092928745597402</v>
      </c>
    </row>
    <row r="81" spans="1:15" ht="15">
      <c r="A81" s="39"/>
      <c r="B81" s="649" t="s">
        <v>135</v>
      </c>
      <c r="C81" s="649"/>
      <c r="D81" s="649"/>
      <c r="E81" s="649"/>
      <c r="F81" s="649"/>
      <c r="G81" s="649"/>
      <c r="H81" s="649"/>
      <c r="I81" s="649"/>
      <c r="J81" s="649"/>
      <c r="K81" s="649"/>
      <c r="L81" s="435"/>
      <c r="M81" s="262">
        <f>SUM(M82:M84)</f>
        <v>542.1416234887738</v>
      </c>
      <c r="N81" s="263"/>
      <c r="O81" s="264">
        <f>SUM(O82:O84)</f>
        <v>1.4607081174438687</v>
      </c>
    </row>
    <row r="82" spans="1:15" ht="15">
      <c r="A82" s="13" t="s">
        <v>136</v>
      </c>
      <c r="B82" s="56" t="s">
        <v>137</v>
      </c>
      <c r="C82" s="13" t="s">
        <v>138</v>
      </c>
      <c r="D82" s="13">
        <v>117</v>
      </c>
      <c r="E82" s="13"/>
      <c r="F82" s="4" t="s">
        <v>139</v>
      </c>
      <c r="G82" s="28">
        <v>10</v>
      </c>
      <c r="H82" s="440">
        <v>10</v>
      </c>
      <c r="I82" s="28">
        <v>2</v>
      </c>
      <c r="J82" s="441">
        <f>H82/G82*I82</f>
        <v>2</v>
      </c>
      <c r="K82" s="28">
        <v>1</v>
      </c>
      <c r="L82" s="435">
        <f t="shared" si="21" ref="L82:L84">J82*K82</f>
        <v>2</v>
      </c>
      <c r="M82" s="266">
        <f>L82*N82</f>
        <v>400</v>
      </c>
      <c r="N82" s="433">
        <v>200</v>
      </c>
      <c r="O82" s="435">
        <f>J82/I82*K82</f>
        <v>1</v>
      </c>
    </row>
    <row r="83" spans="1:15" ht="15">
      <c r="A83" s="13" t="s">
        <v>346</v>
      </c>
      <c r="B83" s="56" t="s">
        <v>347</v>
      </c>
      <c r="C83" s="13" t="s">
        <v>14</v>
      </c>
      <c r="D83" s="13">
        <v>226</v>
      </c>
      <c r="E83" s="13"/>
      <c r="F83" s="13" t="s">
        <v>58</v>
      </c>
      <c r="G83" s="28">
        <v>23.16</v>
      </c>
      <c r="H83" s="440">
        <v>10</v>
      </c>
      <c r="I83" s="28">
        <v>1</v>
      </c>
      <c r="J83" s="441">
        <f>H83/G83*I83</f>
        <v>0.43177892918825561</v>
      </c>
      <c r="K83" s="28">
        <f>0.122*4</f>
        <v>0.48799999999999999</v>
      </c>
      <c r="L83" s="435">
        <f t="shared" si="21"/>
        <v>0.21070811744386872</v>
      </c>
      <c r="M83" s="266">
        <f>L83*N83</f>
        <v>42.141623488773746</v>
      </c>
      <c r="N83" s="433">
        <v>200</v>
      </c>
      <c r="O83" s="435">
        <f>J83/I83*K83</f>
        <v>0.21070811744386872</v>
      </c>
    </row>
    <row r="84" spans="1:15" ht="15">
      <c r="A84" s="13" t="s">
        <v>344</v>
      </c>
      <c r="B84" s="56" t="s">
        <v>345</v>
      </c>
      <c r="C84" s="13" t="s">
        <v>24</v>
      </c>
      <c r="D84" s="13">
        <v>219</v>
      </c>
      <c r="E84" s="13"/>
      <c r="F84" s="4" t="s">
        <v>139</v>
      </c>
      <c r="G84" s="28">
        <v>40</v>
      </c>
      <c r="H84" s="440">
        <v>10</v>
      </c>
      <c r="I84" s="28">
        <v>2</v>
      </c>
      <c r="J84" s="441">
        <f>H84/G84*I84</f>
        <v>0.50</v>
      </c>
      <c r="K84" s="28">
        <v>1</v>
      </c>
      <c r="L84" s="435">
        <f t="shared" si="21"/>
        <v>0.50</v>
      </c>
      <c r="M84" s="266">
        <f>L84*N84</f>
        <v>100</v>
      </c>
      <c r="N84" s="433">
        <v>200</v>
      </c>
      <c r="O84" s="435">
        <f>J84/I84*K84</f>
        <v>0.25</v>
      </c>
    </row>
    <row r="85" spans="1:15" ht="15">
      <c r="A85" s="39"/>
      <c r="B85" s="649" t="s">
        <v>133</v>
      </c>
      <c r="C85" s="649"/>
      <c r="D85" s="649"/>
      <c r="E85" s="649"/>
      <c r="F85" s="649"/>
      <c r="G85" s="649"/>
      <c r="H85" s="649"/>
      <c r="I85" s="649"/>
      <c r="J85" s="649"/>
      <c r="K85" s="649"/>
      <c r="L85" s="267"/>
      <c r="M85" s="262">
        <f>SUM(M86:M131)</f>
        <v>14237.539220792263</v>
      </c>
      <c r="N85" s="263"/>
      <c r="O85" s="264">
        <f>SUM(O86:O131)</f>
        <v>44.426927814845676</v>
      </c>
    </row>
    <row r="86" spans="1:15" ht="15">
      <c r="A86" s="13" t="s">
        <v>221</v>
      </c>
      <c r="B86" s="56" t="s">
        <v>715</v>
      </c>
      <c r="C86" s="13" t="s">
        <v>24</v>
      </c>
      <c r="D86" s="13">
        <v>112</v>
      </c>
      <c r="E86" s="13"/>
      <c r="F86" s="13" t="s">
        <v>11</v>
      </c>
      <c r="G86" s="432">
        <v>9</v>
      </c>
      <c r="H86" s="440">
        <v>10</v>
      </c>
      <c r="I86" s="28">
        <v>2</v>
      </c>
      <c r="J86" s="441">
        <f t="shared" si="22" ref="J86:J131">H86/G86*I86</f>
        <v>2.2222222222222223</v>
      </c>
      <c r="K86" s="28">
        <v>1</v>
      </c>
      <c r="L86" s="267">
        <f t="shared" si="23" ref="L86:L131">J86*K86</f>
        <v>2.2222222222222223</v>
      </c>
      <c r="M86" s="433">
        <f t="shared" si="24" ref="M86:M131">L86*N86</f>
        <v>444.44444444444446</v>
      </c>
      <c r="N86" s="434">
        <v>200</v>
      </c>
      <c r="O86" s="435">
        <f t="shared" si="25" ref="O86:O131">J86/I86*K86</f>
        <v>1.1111111111111112</v>
      </c>
    </row>
    <row r="87" spans="1:15" ht="15">
      <c r="A87" s="13" t="s">
        <v>1293</v>
      </c>
      <c r="B87" s="56" t="s">
        <v>1294</v>
      </c>
      <c r="C87" s="13" t="s">
        <v>160</v>
      </c>
      <c r="D87" s="13">
        <v>112</v>
      </c>
      <c r="E87" s="13" t="s">
        <v>53</v>
      </c>
      <c r="F87" s="13" t="s">
        <v>1295</v>
      </c>
      <c r="G87" s="28">
        <v>40</v>
      </c>
      <c r="H87" s="431">
        <v>10</v>
      </c>
      <c r="I87" s="28">
        <v>1</v>
      </c>
      <c r="J87" s="473">
        <f t="shared" si="22"/>
        <v>0.25</v>
      </c>
      <c r="K87" s="442">
        <f>460*3.1415*2/1000</f>
        <v>2.8901800000000004</v>
      </c>
      <c r="L87" s="267">
        <f t="shared" si="23"/>
        <v>0.7225450000000001</v>
      </c>
      <c r="M87" s="433">
        <f t="shared" si="24"/>
        <v>144.50900000000001</v>
      </c>
      <c r="N87" s="478">
        <v>200</v>
      </c>
      <c r="O87" s="435">
        <f t="shared" si="25"/>
        <v>0.7225450000000001</v>
      </c>
    </row>
    <row r="88" spans="1:15" ht="30">
      <c r="A88" s="13" t="s">
        <v>225</v>
      </c>
      <c r="B88" s="27" t="s">
        <v>230</v>
      </c>
      <c r="C88" s="13" t="s">
        <v>226</v>
      </c>
      <c r="D88" s="13">
        <v>302</v>
      </c>
      <c r="E88" s="13"/>
      <c r="F88" s="13" t="s">
        <v>227</v>
      </c>
      <c r="G88" s="28">
        <f>600/2.5</f>
        <v>240</v>
      </c>
      <c r="H88" s="440">
        <v>10</v>
      </c>
      <c r="I88" s="28">
        <v>2</v>
      </c>
      <c r="J88" s="441">
        <f t="shared" si="22"/>
        <v>0.083333333333333329</v>
      </c>
      <c r="K88" s="28">
        <v>34</v>
      </c>
      <c r="L88" s="435">
        <f t="shared" si="23"/>
        <v>2.833333333333333</v>
      </c>
      <c r="M88" s="433">
        <f t="shared" si="24"/>
        <v>566.66666666666663</v>
      </c>
      <c r="N88" s="433">
        <v>200</v>
      </c>
      <c r="O88" s="435">
        <f t="shared" si="25"/>
        <v>1.4166666666666665</v>
      </c>
    </row>
    <row r="89" spans="1:15" ht="30">
      <c r="A89" s="13" t="s">
        <v>228</v>
      </c>
      <c r="B89" s="27" t="s">
        <v>1282</v>
      </c>
      <c r="C89" s="13" t="s">
        <v>24</v>
      </c>
      <c r="D89" s="13">
        <v>110</v>
      </c>
      <c r="E89" s="13"/>
      <c r="F89" s="13" t="s">
        <v>63</v>
      </c>
      <c r="G89" s="28">
        <f>10*40</f>
        <v>400</v>
      </c>
      <c r="H89" s="440">
        <v>10</v>
      </c>
      <c r="I89" s="28">
        <v>2</v>
      </c>
      <c r="J89" s="441">
        <f t="shared" si="22"/>
        <v>0.05</v>
      </c>
      <c r="K89" s="28">
        <v>34</v>
      </c>
      <c r="L89" s="435">
        <f t="shared" si="23"/>
        <v>1.7000000000000002</v>
      </c>
      <c r="M89" s="433">
        <f t="shared" si="24"/>
        <v>258.40000000000003</v>
      </c>
      <c r="N89" s="433">
        <v>152</v>
      </c>
      <c r="O89" s="435">
        <f t="shared" si="25"/>
        <v>0.85000000000000009</v>
      </c>
    </row>
    <row r="90" spans="1:15" ht="15">
      <c r="A90" s="13" t="s">
        <v>232</v>
      </c>
      <c r="B90" s="27" t="s">
        <v>61</v>
      </c>
      <c r="C90" s="13" t="s">
        <v>62</v>
      </c>
      <c r="D90" s="13">
        <v>112</v>
      </c>
      <c r="E90" s="13"/>
      <c r="F90" s="13" t="s">
        <v>63</v>
      </c>
      <c r="G90" s="28">
        <v>200</v>
      </c>
      <c r="H90" s="440">
        <v>10</v>
      </c>
      <c r="I90" s="28">
        <v>2</v>
      </c>
      <c r="J90" s="441">
        <f t="shared" si="22"/>
        <v>0.10000000000000001</v>
      </c>
      <c r="K90" s="28">
        <v>34</v>
      </c>
      <c r="L90" s="267">
        <f t="shared" si="23"/>
        <v>3.4000000000000004</v>
      </c>
      <c r="M90" s="433">
        <f t="shared" si="24"/>
        <v>516.80000000000007</v>
      </c>
      <c r="N90" s="434">
        <v>152</v>
      </c>
      <c r="O90" s="435">
        <f t="shared" si="25"/>
        <v>1.7000000000000002</v>
      </c>
    </row>
    <row r="91" spans="1:15" ht="15">
      <c r="A91" s="13" t="s">
        <v>536</v>
      </c>
      <c r="B91" s="27" t="s">
        <v>537</v>
      </c>
      <c r="C91" s="13" t="s">
        <v>538</v>
      </c>
      <c r="D91" s="13">
        <v>115</v>
      </c>
      <c r="E91" s="13"/>
      <c r="F91" s="13" t="s">
        <v>63</v>
      </c>
      <c r="G91" s="28">
        <v>1200</v>
      </c>
      <c r="H91" s="440">
        <v>10</v>
      </c>
      <c r="I91" s="28">
        <v>1</v>
      </c>
      <c r="J91" s="441">
        <f t="shared" si="22"/>
        <v>0.0083333333333333332</v>
      </c>
      <c r="K91" s="28">
        <v>34</v>
      </c>
      <c r="L91" s="267">
        <f t="shared" si="23"/>
        <v>0.28333333333333333</v>
      </c>
      <c r="M91" s="433">
        <f t="shared" si="24"/>
        <v>56.666666666666664</v>
      </c>
      <c r="N91" s="434">
        <v>200</v>
      </c>
      <c r="O91" s="435">
        <f t="shared" si="25"/>
        <v>0.28333333333333333</v>
      </c>
    </row>
    <row r="92" spans="1:15" ht="30">
      <c r="A92" s="13" t="s">
        <v>233</v>
      </c>
      <c r="B92" s="27" t="s">
        <v>66</v>
      </c>
      <c r="C92" s="13" t="s">
        <v>48</v>
      </c>
      <c r="D92" s="13">
        <v>112</v>
      </c>
      <c r="E92" s="13"/>
      <c r="F92" s="13" t="s">
        <v>67</v>
      </c>
      <c r="G92" s="28">
        <v>80</v>
      </c>
      <c r="H92" s="440">
        <v>10</v>
      </c>
      <c r="I92" s="28">
        <v>2</v>
      </c>
      <c r="J92" s="441">
        <f t="shared" si="22"/>
        <v>0.25</v>
      </c>
      <c r="K92" s="28">
        <v>4</v>
      </c>
      <c r="L92" s="267">
        <f t="shared" si="23"/>
        <v>1</v>
      </c>
      <c r="M92" s="433">
        <f t="shared" si="24"/>
        <v>200</v>
      </c>
      <c r="N92" s="434">
        <v>200</v>
      </c>
      <c r="O92" s="435">
        <f t="shared" si="25"/>
        <v>0.50</v>
      </c>
    </row>
    <row r="93" spans="1:15" ht="15">
      <c r="A93" s="637" t="s">
        <v>234</v>
      </c>
      <c r="B93" s="648" t="s">
        <v>235</v>
      </c>
      <c r="C93" s="13" t="s">
        <v>72</v>
      </c>
      <c r="D93" s="13">
        <v>115</v>
      </c>
      <c r="E93" s="13"/>
      <c r="F93" s="13" t="s">
        <v>236</v>
      </c>
      <c r="G93" s="28">
        <v>30</v>
      </c>
      <c r="H93" s="440">
        <v>10</v>
      </c>
      <c r="I93" s="28">
        <v>2</v>
      </c>
      <c r="J93" s="441">
        <f t="shared" si="22"/>
        <v>0.66666666666666663</v>
      </c>
      <c r="K93" s="28">
        <v>2</v>
      </c>
      <c r="L93" s="267">
        <f t="shared" si="23"/>
        <v>1.3333333333333333</v>
      </c>
      <c r="M93" s="433">
        <f t="shared" si="24"/>
        <v>266.66666666666663</v>
      </c>
      <c r="N93" s="434">
        <v>200</v>
      </c>
      <c r="O93" s="435">
        <f t="shared" si="25"/>
        <v>0.66666666666666663</v>
      </c>
    </row>
    <row r="94" spans="1:15" ht="15">
      <c r="A94" s="637"/>
      <c r="B94" s="648"/>
      <c r="C94" s="13" t="s">
        <v>48</v>
      </c>
      <c r="D94" s="13">
        <v>115</v>
      </c>
      <c r="E94" s="13" t="s">
        <v>529</v>
      </c>
      <c r="F94" s="13" t="s">
        <v>10</v>
      </c>
      <c r="G94" s="28">
        <v>40</v>
      </c>
      <c r="H94" s="440">
        <v>10</v>
      </c>
      <c r="I94" s="28">
        <v>1</v>
      </c>
      <c r="J94" s="441">
        <f t="shared" si="22"/>
        <v>0.25</v>
      </c>
      <c r="K94" s="442">
        <f>(3010)/1000</f>
        <v>3.01</v>
      </c>
      <c r="L94" s="267">
        <f t="shared" si="23"/>
        <v>0.7525</v>
      </c>
      <c r="M94" s="433">
        <f t="shared" si="24"/>
        <v>150.50</v>
      </c>
      <c r="N94" s="434">
        <v>200</v>
      </c>
      <c r="O94" s="435">
        <f t="shared" si="25"/>
        <v>0.7525</v>
      </c>
    </row>
    <row r="95" spans="1:15" ht="15">
      <c r="A95" s="13" t="s">
        <v>237</v>
      </c>
      <c r="B95" s="56" t="s">
        <v>238</v>
      </c>
      <c r="C95" s="13" t="s">
        <v>69</v>
      </c>
      <c r="D95" s="13">
        <v>110</v>
      </c>
      <c r="E95" s="13"/>
      <c r="F95" s="13" t="s">
        <v>34</v>
      </c>
      <c r="G95" s="28">
        <v>10</v>
      </c>
      <c r="H95" s="440">
        <v>10</v>
      </c>
      <c r="I95" s="28">
        <v>2</v>
      </c>
      <c r="J95" s="441">
        <f t="shared" si="22"/>
        <v>2</v>
      </c>
      <c r="K95" s="28">
        <v>1</v>
      </c>
      <c r="L95" s="267">
        <f t="shared" si="23"/>
        <v>2</v>
      </c>
      <c r="M95" s="433">
        <f t="shared" si="24"/>
        <v>400</v>
      </c>
      <c r="N95" s="434">
        <v>200</v>
      </c>
      <c r="O95" s="435">
        <f t="shared" si="25"/>
        <v>1</v>
      </c>
    </row>
    <row r="96" spans="1:15" ht="30">
      <c r="A96" s="13" t="s">
        <v>896</v>
      </c>
      <c r="B96" s="56" t="s">
        <v>894</v>
      </c>
      <c r="C96" s="13" t="s">
        <v>138</v>
      </c>
      <c r="D96" s="13">
        <v>110</v>
      </c>
      <c r="E96" s="13"/>
      <c r="F96" s="13" t="s">
        <v>12</v>
      </c>
      <c r="G96" s="28">
        <v>20</v>
      </c>
      <c r="H96" s="440">
        <v>10</v>
      </c>
      <c r="I96" s="28">
        <v>2</v>
      </c>
      <c r="J96" s="441">
        <f t="shared" si="22"/>
        <v>1</v>
      </c>
      <c r="K96" s="28">
        <v>1</v>
      </c>
      <c r="L96" s="267">
        <f t="shared" si="23"/>
        <v>1</v>
      </c>
      <c r="M96" s="433">
        <f t="shared" si="24"/>
        <v>200</v>
      </c>
      <c r="N96" s="434">
        <v>200</v>
      </c>
      <c r="O96" s="435">
        <f t="shared" si="25"/>
        <v>0.50</v>
      </c>
    </row>
    <row r="97" spans="1:15" ht="30">
      <c r="A97" s="13" t="s">
        <v>243</v>
      </c>
      <c r="B97" s="56" t="s">
        <v>244</v>
      </c>
      <c r="C97" s="13" t="s">
        <v>25</v>
      </c>
      <c r="D97" s="13">
        <v>110</v>
      </c>
      <c r="E97" s="13" t="s">
        <v>53</v>
      </c>
      <c r="F97" s="13" t="s">
        <v>10</v>
      </c>
      <c r="G97" s="28">
        <v>40</v>
      </c>
      <c r="H97" s="440">
        <v>10</v>
      </c>
      <c r="I97" s="28">
        <v>1</v>
      </c>
      <c r="J97" s="441">
        <f t="shared" si="22"/>
        <v>0.25</v>
      </c>
      <c r="K97" s="28">
        <f>2.96*2</f>
        <v>5.92</v>
      </c>
      <c r="L97" s="267">
        <f t="shared" si="23"/>
        <v>1.48</v>
      </c>
      <c r="M97" s="433">
        <f t="shared" si="24"/>
        <v>296</v>
      </c>
      <c r="N97" s="434">
        <v>200</v>
      </c>
      <c r="O97" s="435">
        <f t="shared" si="25"/>
        <v>1.48</v>
      </c>
    </row>
    <row r="98" spans="1:15" ht="15">
      <c r="A98" s="13" t="s">
        <v>237</v>
      </c>
      <c r="B98" s="56" t="s">
        <v>71</v>
      </c>
      <c r="C98" s="13" t="s">
        <v>68</v>
      </c>
      <c r="D98" s="13">
        <v>110</v>
      </c>
      <c r="E98" s="13"/>
      <c r="F98" s="13" t="s">
        <v>34</v>
      </c>
      <c r="G98" s="28">
        <v>20</v>
      </c>
      <c r="H98" s="440">
        <v>10</v>
      </c>
      <c r="I98" s="28">
        <v>2</v>
      </c>
      <c r="J98" s="441">
        <f t="shared" si="22"/>
        <v>1</v>
      </c>
      <c r="K98" s="28">
        <v>1</v>
      </c>
      <c r="L98" s="267">
        <f t="shared" si="23"/>
        <v>1</v>
      </c>
      <c r="M98" s="433">
        <f t="shared" si="24"/>
        <v>200</v>
      </c>
      <c r="N98" s="434">
        <v>200</v>
      </c>
      <c r="O98" s="435">
        <f t="shared" si="25"/>
        <v>0.50</v>
      </c>
    </row>
    <row r="99" spans="1:15" ht="30">
      <c r="A99" s="13" t="s">
        <v>897</v>
      </c>
      <c r="B99" s="56" t="s">
        <v>895</v>
      </c>
      <c r="C99" s="13" t="s">
        <v>138</v>
      </c>
      <c r="D99" s="13">
        <v>110</v>
      </c>
      <c r="E99" s="13"/>
      <c r="F99" s="13" t="s">
        <v>12</v>
      </c>
      <c r="G99" s="28">
        <v>20</v>
      </c>
      <c r="H99" s="440">
        <v>10</v>
      </c>
      <c r="I99" s="28">
        <v>2</v>
      </c>
      <c r="J99" s="441">
        <f t="shared" si="22"/>
        <v>1</v>
      </c>
      <c r="K99" s="28">
        <v>1</v>
      </c>
      <c r="L99" s="267">
        <f t="shared" si="23"/>
        <v>1</v>
      </c>
      <c r="M99" s="433">
        <f t="shared" si="24"/>
        <v>200</v>
      </c>
      <c r="N99" s="434">
        <v>200</v>
      </c>
      <c r="O99" s="435">
        <f t="shared" si="25"/>
        <v>0.50</v>
      </c>
    </row>
    <row r="100" spans="1:15" ht="30">
      <c r="A100" s="13" t="s">
        <v>249</v>
      </c>
      <c r="B100" s="56" t="s">
        <v>248</v>
      </c>
      <c r="C100" s="13" t="s">
        <v>25</v>
      </c>
      <c r="D100" s="13">
        <v>110</v>
      </c>
      <c r="E100" s="13" t="s">
        <v>53</v>
      </c>
      <c r="F100" s="13" t="s">
        <v>10</v>
      </c>
      <c r="G100" s="28">
        <v>40</v>
      </c>
      <c r="H100" s="440">
        <v>10</v>
      </c>
      <c r="I100" s="28">
        <v>1</v>
      </c>
      <c r="J100" s="441">
        <f t="shared" si="22"/>
        <v>0.25</v>
      </c>
      <c r="K100" s="28">
        <f>2.96*2</f>
        <v>5.92</v>
      </c>
      <c r="L100" s="267">
        <f t="shared" si="23"/>
        <v>1.48</v>
      </c>
      <c r="M100" s="433">
        <f t="shared" si="24"/>
        <v>296</v>
      </c>
      <c r="N100" s="434">
        <v>200</v>
      </c>
      <c r="O100" s="435">
        <f t="shared" si="25"/>
        <v>1.48</v>
      </c>
    </row>
    <row r="101" spans="1:15" ht="15">
      <c r="A101" s="13" t="s">
        <v>237</v>
      </c>
      <c r="B101" s="56" t="s">
        <v>71</v>
      </c>
      <c r="C101" s="13" t="s">
        <v>68</v>
      </c>
      <c r="D101" s="13">
        <v>110</v>
      </c>
      <c r="E101" s="13"/>
      <c r="F101" s="13" t="s">
        <v>34</v>
      </c>
      <c r="G101" s="28">
        <v>20</v>
      </c>
      <c r="H101" s="440">
        <v>10</v>
      </c>
      <c r="I101" s="28">
        <v>2</v>
      </c>
      <c r="J101" s="441">
        <f t="shared" si="22"/>
        <v>1</v>
      </c>
      <c r="K101" s="28">
        <v>1</v>
      </c>
      <c r="L101" s="267">
        <f t="shared" si="23"/>
        <v>1</v>
      </c>
      <c r="M101" s="433">
        <f t="shared" si="24"/>
        <v>200</v>
      </c>
      <c r="N101" s="434">
        <v>200</v>
      </c>
      <c r="O101" s="435">
        <f t="shared" si="25"/>
        <v>0.50</v>
      </c>
    </row>
    <row r="102" spans="1:15" ht="30">
      <c r="A102" s="13" t="s">
        <v>239</v>
      </c>
      <c r="B102" s="56" t="s">
        <v>240</v>
      </c>
      <c r="C102" s="13" t="s">
        <v>25</v>
      </c>
      <c r="D102" s="13">
        <v>113</v>
      </c>
      <c r="E102" s="13"/>
      <c r="F102" s="13" t="s">
        <v>63</v>
      </c>
      <c r="G102" s="432">
        <v>112</v>
      </c>
      <c r="H102" s="440">
        <v>10</v>
      </c>
      <c r="I102" s="28">
        <v>1</v>
      </c>
      <c r="J102" s="441">
        <f t="shared" si="22"/>
        <v>0.089285714285714288</v>
      </c>
      <c r="K102" s="28">
        <v>34</v>
      </c>
      <c r="L102" s="267">
        <f t="shared" si="23"/>
        <v>3.0357142857142856</v>
      </c>
      <c r="M102" s="433">
        <f t="shared" si="24"/>
        <v>789.28571428571422</v>
      </c>
      <c r="N102" s="434">
        <v>260</v>
      </c>
      <c r="O102" s="435">
        <f t="shared" si="25"/>
        <v>3.0357142857142856</v>
      </c>
    </row>
    <row r="103" spans="1:15" ht="30">
      <c r="A103" s="13" t="s">
        <v>317</v>
      </c>
      <c r="B103" s="56" t="s">
        <v>316</v>
      </c>
      <c r="C103" s="13" t="s">
        <v>25</v>
      </c>
      <c r="D103" s="13">
        <v>113</v>
      </c>
      <c r="E103" s="13" t="s">
        <v>70</v>
      </c>
      <c r="F103" s="13" t="s">
        <v>10</v>
      </c>
      <c r="G103" s="28">
        <v>40</v>
      </c>
      <c r="H103" s="440">
        <v>10</v>
      </c>
      <c r="I103" s="28">
        <v>1</v>
      </c>
      <c r="J103" s="441">
        <f t="shared" si="22"/>
        <v>0.25</v>
      </c>
      <c r="K103" s="436">
        <f>530/1000*3.1415</f>
        <v>1.6649950000000002</v>
      </c>
      <c r="L103" s="267">
        <f t="shared" si="23"/>
        <v>0.41624875000000006</v>
      </c>
      <c r="M103" s="433">
        <f t="shared" si="24"/>
        <v>83.249750000000006</v>
      </c>
      <c r="N103" s="434">
        <v>200</v>
      </c>
      <c r="O103" s="435">
        <f t="shared" si="25"/>
        <v>0.41624875000000006</v>
      </c>
    </row>
    <row r="104" spans="1:15" ht="30">
      <c r="A104" s="13" t="s">
        <v>245</v>
      </c>
      <c r="B104" s="56" t="s">
        <v>246</v>
      </c>
      <c r="C104" s="13" t="s">
        <v>25</v>
      </c>
      <c r="D104" s="13">
        <v>113</v>
      </c>
      <c r="E104" s="13"/>
      <c r="F104" s="13" t="s">
        <v>63</v>
      </c>
      <c r="G104" s="432">
        <v>112</v>
      </c>
      <c r="H104" s="440">
        <v>10</v>
      </c>
      <c r="I104" s="28">
        <v>1</v>
      </c>
      <c r="J104" s="441">
        <f t="shared" si="22"/>
        <v>0.089285714285714288</v>
      </c>
      <c r="K104" s="28">
        <v>34</v>
      </c>
      <c r="L104" s="267">
        <f t="shared" si="23"/>
        <v>3.0357142857142856</v>
      </c>
      <c r="M104" s="433">
        <f t="shared" si="24"/>
        <v>789.28571428571422</v>
      </c>
      <c r="N104" s="434">
        <v>260</v>
      </c>
      <c r="O104" s="435">
        <f t="shared" si="25"/>
        <v>3.0357142857142856</v>
      </c>
    </row>
    <row r="105" spans="1:15" ht="15">
      <c r="A105" s="13" t="s">
        <v>741</v>
      </c>
      <c r="B105" s="56" t="s">
        <v>1281</v>
      </c>
      <c r="C105" s="13" t="s">
        <v>33</v>
      </c>
      <c r="D105" s="13">
        <v>115</v>
      </c>
      <c r="E105" s="13"/>
      <c r="F105" s="13"/>
      <c r="G105" s="28">
        <v>10</v>
      </c>
      <c r="H105" s="440">
        <v>10</v>
      </c>
      <c r="I105" s="28">
        <v>1</v>
      </c>
      <c r="J105" s="441">
        <f t="shared" si="22"/>
        <v>1</v>
      </c>
      <c r="K105" s="28">
        <v>1</v>
      </c>
      <c r="L105" s="267">
        <f t="shared" si="23"/>
        <v>1</v>
      </c>
      <c r="M105" s="433">
        <f t="shared" si="24"/>
        <v>200</v>
      </c>
      <c r="N105" s="434">
        <v>200</v>
      </c>
      <c r="O105" s="435">
        <f t="shared" si="25"/>
        <v>1</v>
      </c>
    </row>
    <row r="106" spans="1:15" ht="15">
      <c r="A106" s="637" t="s">
        <v>254</v>
      </c>
      <c r="B106" s="638" t="s">
        <v>884</v>
      </c>
      <c r="C106" s="13" t="s">
        <v>76</v>
      </c>
      <c r="D106" s="13">
        <v>115</v>
      </c>
      <c r="E106" s="13"/>
      <c r="F106" s="13" t="s">
        <v>78</v>
      </c>
      <c r="G106" s="28">
        <v>20</v>
      </c>
      <c r="H106" s="440">
        <v>10</v>
      </c>
      <c r="I106" s="28">
        <v>2</v>
      </c>
      <c r="J106" s="441">
        <f t="shared" si="22"/>
        <v>1</v>
      </c>
      <c r="K106" s="28">
        <v>2</v>
      </c>
      <c r="L106" s="267">
        <f t="shared" si="23"/>
        <v>2</v>
      </c>
      <c r="M106" s="433">
        <f t="shared" si="24"/>
        <v>400</v>
      </c>
      <c r="N106" s="434">
        <v>200</v>
      </c>
      <c r="O106" s="435">
        <f t="shared" si="25"/>
        <v>1</v>
      </c>
    </row>
    <row r="107" spans="1:15" ht="15">
      <c r="A107" s="637"/>
      <c r="B107" s="638"/>
      <c r="C107" s="13" t="s">
        <v>77</v>
      </c>
      <c r="D107" s="13">
        <v>115</v>
      </c>
      <c r="E107" s="13" t="s">
        <v>79</v>
      </c>
      <c r="F107" s="13" t="s">
        <v>10</v>
      </c>
      <c r="G107" s="28">
        <v>40</v>
      </c>
      <c r="H107" s="440">
        <v>10</v>
      </c>
      <c r="I107" s="28">
        <v>1</v>
      </c>
      <c r="J107" s="441">
        <f t="shared" si="22"/>
        <v>0.25</v>
      </c>
      <c r="K107" s="442">
        <f>(116*2*4+130*4)/1000</f>
        <v>1.448</v>
      </c>
      <c r="L107" s="267">
        <f t="shared" si="23"/>
        <v>0.36199999999999999</v>
      </c>
      <c r="M107" s="433">
        <f t="shared" si="24"/>
        <v>72.399999999999991</v>
      </c>
      <c r="N107" s="434">
        <v>200</v>
      </c>
      <c r="O107" s="435">
        <f t="shared" si="25"/>
        <v>0.36199999999999999</v>
      </c>
    </row>
    <row r="108" spans="1:15" ht="15">
      <c r="A108" s="637" t="s">
        <v>257</v>
      </c>
      <c r="B108" s="638" t="s">
        <v>258</v>
      </c>
      <c r="C108" s="13" t="s">
        <v>318</v>
      </c>
      <c r="D108" s="13">
        <v>107</v>
      </c>
      <c r="E108" s="13" t="s">
        <v>260</v>
      </c>
      <c r="F108" s="13" t="s">
        <v>261</v>
      </c>
      <c r="G108" s="442">
        <f>32*2</f>
        <v>64</v>
      </c>
      <c r="H108" s="468">
        <v>10</v>
      </c>
      <c r="I108" s="432">
        <v>2</v>
      </c>
      <c r="J108" s="468">
        <f t="shared" si="22"/>
        <v>0.3125</v>
      </c>
      <c r="K108" s="442">
        <v>2</v>
      </c>
      <c r="L108" s="267">
        <f t="shared" si="23"/>
        <v>0.625</v>
      </c>
      <c r="M108" s="266">
        <f t="shared" si="24"/>
        <v>125</v>
      </c>
      <c r="N108" s="433">
        <v>200</v>
      </c>
      <c r="O108" s="267">
        <f t="shared" si="25"/>
        <v>0.3125</v>
      </c>
    </row>
    <row r="109" spans="1:15" ht="15">
      <c r="A109" s="637"/>
      <c r="B109" s="638"/>
      <c r="C109" s="13" t="s">
        <v>319</v>
      </c>
      <c r="D109" s="13">
        <v>107</v>
      </c>
      <c r="E109" s="13" t="s">
        <v>260</v>
      </c>
      <c r="F109" s="17" t="s">
        <v>261</v>
      </c>
      <c r="G109" s="31">
        <v>110</v>
      </c>
      <c r="H109" s="252">
        <v>10</v>
      </c>
      <c r="I109" s="16">
        <v>2</v>
      </c>
      <c r="J109" s="253">
        <f t="shared" si="22"/>
        <v>0.18181818181818182</v>
      </c>
      <c r="K109" s="31">
        <v>4</v>
      </c>
      <c r="L109" s="8">
        <f t="shared" si="23"/>
        <v>0.72727272727272729</v>
      </c>
      <c r="M109" s="42">
        <f t="shared" si="24"/>
        <v>145.45454545454547</v>
      </c>
      <c r="N109" s="43">
        <v>200</v>
      </c>
      <c r="O109" s="8">
        <f t="shared" si="25"/>
        <v>0.36363636363636365</v>
      </c>
    </row>
    <row r="110" spans="1:15" ht="15">
      <c r="A110" s="637" t="s">
        <v>265</v>
      </c>
      <c r="B110" s="638" t="s">
        <v>266</v>
      </c>
      <c r="C110" s="13" t="s">
        <v>76</v>
      </c>
      <c r="D110" s="13">
        <v>116</v>
      </c>
      <c r="E110" s="13"/>
      <c r="F110" s="13" t="s">
        <v>82</v>
      </c>
      <c r="G110" s="28">
        <v>9</v>
      </c>
      <c r="H110" s="440">
        <v>10</v>
      </c>
      <c r="I110" s="28">
        <v>2</v>
      </c>
      <c r="J110" s="441">
        <f t="shared" si="22"/>
        <v>2.2222222222222223</v>
      </c>
      <c r="K110" s="28">
        <v>1</v>
      </c>
      <c r="L110" s="267">
        <f t="shared" si="23"/>
        <v>2.2222222222222223</v>
      </c>
      <c r="M110" s="433">
        <f t="shared" si="24"/>
        <v>444.44444444444446</v>
      </c>
      <c r="N110" s="434">
        <v>200</v>
      </c>
      <c r="O110" s="435">
        <f t="shared" si="25"/>
        <v>1.1111111111111112</v>
      </c>
    </row>
    <row r="111" spans="1:15" ht="15">
      <c r="A111" s="637"/>
      <c r="B111" s="638"/>
      <c r="C111" s="13" t="s">
        <v>77</v>
      </c>
      <c r="D111" s="13">
        <v>116</v>
      </c>
      <c r="E111" s="13" t="s">
        <v>264</v>
      </c>
      <c r="F111" s="13" t="s">
        <v>10</v>
      </c>
      <c r="G111" s="28">
        <v>40</v>
      </c>
      <c r="H111" s="440">
        <v>10</v>
      </c>
      <c r="I111" s="28">
        <v>1</v>
      </c>
      <c r="J111" s="441">
        <f t="shared" si="22"/>
        <v>0.25</v>
      </c>
      <c r="K111" s="442">
        <f>(76*3.1415*3)*2/1000</f>
        <v>1.4325240000000001</v>
      </c>
      <c r="L111" s="267">
        <f t="shared" si="23"/>
        <v>0.35813100000000003</v>
      </c>
      <c r="M111" s="433">
        <f t="shared" si="24"/>
        <v>71.626200000000011</v>
      </c>
      <c r="N111" s="434">
        <v>200</v>
      </c>
      <c r="O111" s="435">
        <f t="shared" si="25"/>
        <v>0.35813100000000003</v>
      </c>
    </row>
    <row r="112" spans="1:15" ht="30">
      <c r="A112" s="13" t="s">
        <v>267</v>
      </c>
      <c r="B112" s="27" t="s">
        <v>519</v>
      </c>
      <c r="C112" s="13" t="s">
        <v>77</v>
      </c>
      <c r="D112" s="13">
        <v>116</v>
      </c>
      <c r="E112" s="13"/>
      <c r="F112" s="13" t="s">
        <v>67</v>
      </c>
      <c r="G112" s="28">
        <v>10</v>
      </c>
      <c r="H112" s="440">
        <v>10</v>
      </c>
      <c r="I112" s="28">
        <v>2</v>
      </c>
      <c r="J112" s="441">
        <f t="shared" si="22"/>
        <v>2</v>
      </c>
      <c r="K112" s="28">
        <v>1</v>
      </c>
      <c r="L112" s="267">
        <f t="shared" si="23"/>
        <v>2</v>
      </c>
      <c r="M112" s="433">
        <f t="shared" si="24"/>
        <v>400</v>
      </c>
      <c r="N112" s="434">
        <v>200</v>
      </c>
      <c r="O112" s="435">
        <f t="shared" si="25"/>
        <v>1</v>
      </c>
    </row>
    <row r="113" spans="1:15" ht="15">
      <c r="A113" s="13" t="s">
        <v>268</v>
      </c>
      <c r="B113" s="27" t="s">
        <v>334</v>
      </c>
      <c r="C113" s="13" t="s">
        <v>83</v>
      </c>
      <c r="D113" s="13">
        <v>116</v>
      </c>
      <c r="E113" s="13"/>
      <c r="F113" s="4" t="s">
        <v>84</v>
      </c>
      <c r="G113" s="16">
        <v>11.34</v>
      </c>
      <c r="H113" s="440">
        <v>10</v>
      </c>
      <c r="I113" s="28">
        <v>2</v>
      </c>
      <c r="J113" s="441">
        <f t="shared" si="22"/>
        <v>1.7636684303350971</v>
      </c>
      <c r="K113" s="28">
        <v>1</v>
      </c>
      <c r="L113" s="267">
        <f t="shared" si="23"/>
        <v>1.7636684303350971</v>
      </c>
      <c r="M113" s="433">
        <f t="shared" si="24"/>
        <v>352.73368606701945</v>
      </c>
      <c r="N113" s="434">
        <v>200</v>
      </c>
      <c r="O113" s="435">
        <f t="shared" si="25"/>
        <v>0.88183421516754856</v>
      </c>
    </row>
    <row r="114" spans="1:15" ht="15">
      <c r="A114" s="13" t="s">
        <v>335</v>
      </c>
      <c r="B114" s="27" t="s">
        <v>336</v>
      </c>
      <c r="C114" s="13" t="s">
        <v>83</v>
      </c>
      <c r="D114" s="13">
        <v>116</v>
      </c>
      <c r="E114" s="13"/>
      <c r="F114" s="4" t="s">
        <v>84</v>
      </c>
      <c r="G114" s="16">
        <v>5.2830000000000004</v>
      </c>
      <c r="H114" s="440">
        <v>10</v>
      </c>
      <c r="I114" s="28">
        <v>2</v>
      </c>
      <c r="J114" s="441">
        <f t="shared" si="22"/>
        <v>3.785727806170736</v>
      </c>
      <c r="K114" s="28">
        <v>1</v>
      </c>
      <c r="L114" s="267">
        <f t="shared" si="23"/>
        <v>3.785727806170736</v>
      </c>
      <c r="M114" s="433">
        <f t="shared" si="24"/>
        <v>757.14556123414718</v>
      </c>
      <c r="N114" s="434">
        <v>200</v>
      </c>
      <c r="O114" s="435">
        <f t="shared" si="25"/>
        <v>1.892863903085368</v>
      </c>
    </row>
    <row r="115" spans="1:15" ht="15">
      <c r="A115" s="13" t="s">
        <v>526</v>
      </c>
      <c r="B115" s="56" t="s">
        <v>524</v>
      </c>
      <c r="C115" s="13" t="s">
        <v>523</v>
      </c>
      <c r="D115" s="13">
        <v>224</v>
      </c>
      <c r="E115" s="13"/>
      <c r="F115" s="4" t="s">
        <v>525</v>
      </c>
      <c r="G115" s="28">
        <v>600</v>
      </c>
      <c r="H115" s="431">
        <v>10</v>
      </c>
      <c r="I115" s="28">
        <v>1</v>
      </c>
      <c r="J115" s="441">
        <f t="shared" si="22"/>
        <v>0.016666666666666666</v>
      </c>
      <c r="K115" s="28">
        <v>4</v>
      </c>
      <c r="L115" s="267">
        <f t="shared" si="23"/>
        <v>0.066666666666666666</v>
      </c>
      <c r="M115" s="433">
        <f t="shared" si="24"/>
        <v>11.733333333333333</v>
      </c>
      <c r="N115" s="434">
        <v>176</v>
      </c>
      <c r="O115" s="435">
        <f t="shared" si="25"/>
        <v>0.066666666666666666</v>
      </c>
    </row>
    <row r="116" spans="1:15" ht="15">
      <c r="A116" s="13" t="s">
        <v>269</v>
      </c>
      <c r="B116" s="56" t="s">
        <v>270</v>
      </c>
      <c r="C116" s="13" t="s">
        <v>523</v>
      </c>
      <c r="D116" s="13">
        <v>224</v>
      </c>
      <c r="E116" s="13"/>
      <c r="F116" s="4" t="s">
        <v>88</v>
      </c>
      <c r="G116" s="28">
        <v>300</v>
      </c>
      <c r="H116" s="431">
        <v>10</v>
      </c>
      <c r="I116" s="28">
        <v>1</v>
      </c>
      <c r="J116" s="441">
        <f t="shared" si="22"/>
        <v>0.033333333333333333</v>
      </c>
      <c r="K116" s="28">
        <v>2</v>
      </c>
      <c r="L116" s="267">
        <f t="shared" si="23"/>
        <v>0.066666666666666666</v>
      </c>
      <c r="M116" s="433">
        <f t="shared" si="24"/>
        <v>11.733333333333333</v>
      </c>
      <c r="N116" s="434">
        <v>176</v>
      </c>
      <c r="O116" s="435">
        <f t="shared" si="25"/>
        <v>0.066666666666666666</v>
      </c>
    </row>
    <row r="117" spans="1:15" ht="15">
      <c r="A117" s="13" t="s">
        <v>918</v>
      </c>
      <c r="B117" s="56" t="s">
        <v>898</v>
      </c>
      <c r="C117" s="13" t="s">
        <v>523</v>
      </c>
      <c r="D117" s="13">
        <v>224</v>
      </c>
      <c r="E117" s="13"/>
      <c r="F117" s="4" t="s">
        <v>88</v>
      </c>
      <c r="G117" s="28">
        <v>600</v>
      </c>
      <c r="H117" s="431">
        <v>10</v>
      </c>
      <c r="I117" s="28">
        <v>1</v>
      </c>
      <c r="J117" s="441">
        <f t="shared" si="22"/>
        <v>0.016666666666666666</v>
      </c>
      <c r="K117" s="28">
        <v>1</v>
      </c>
      <c r="L117" s="267">
        <f t="shared" si="23"/>
        <v>0.016666666666666666</v>
      </c>
      <c r="M117" s="433">
        <f t="shared" si="24"/>
        <v>2.9333333333333331</v>
      </c>
      <c r="N117" s="434">
        <v>176</v>
      </c>
      <c r="O117" s="435">
        <f t="shared" si="25"/>
        <v>0.016666666666666666</v>
      </c>
    </row>
    <row r="118" spans="1:15" ht="30">
      <c r="A118" s="13" t="s">
        <v>271</v>
      </c>
      <c r="B118" s="56" t="s">
        <v>85</v>
      </c>
      <c r="C118" s="13" t="s">
        <v>83</v>
      </c>
      <c r="D118" s="13">
        <v>116</v>
      </c>
      <c r="E118" s="13"/>
      <c r="F118" s="13" t="s">
        <v>12</v>
      </c>
      <c r="G118" s="28">
        <v>2.60</v>
      </c>
      <c r="H118" s="440">
        <v>10</v>
      </c>
      <c r="I118" s="28">
        <v>2</v>
      </c>
      <c r="J118" s="441">
        <f t="shared" si="22"/>
        <v>7.6923076923076916</v>
      </c>
      <c r="K118" s="28">
        <v>1</v>
      </c>
      <c r="L118" s="267">
        <f t="shared" si="23"/>
        <v>7.6923076923076916</v>
      </c>
      <c r="M118" s="433">
        <f t="shared" si="24"/>
        <v>1538.4615384615383</v>
      </c>
      <c r="N118" s="434">
        <v>200</v>
      </c>
      <c r="O118" s="435">
        <f t="shared" si="25"/>
        <v>3.8461538461538458</v>
      </c>
    </row>
    <row r="119" spans="1:15" ht="15">
      <c r="A119" s="13" t="s">
        <v>272</v>
      </c>
      <c r="B119" s="27" t="s">
        <v>337</v>
      </c>
      <c r="C119" s="13" t="s">
        <v>83</v>
      </c>
      <c r="D119" s="13">
        <v>116</v>
      </c>
      <c r="E119" s="13"/>
      <c r="F119" s="4" t="s">
        <v>89</v>
      </c>
      <c r="G119" s="28">
        <v>13.65</v>
      </c>
      <c r="H119" s="440">
        <v>10</v>
      </c>
      <c r="I119" s="28">
        <v>2</v>
      </c>
      <c r="J119" s="441">
        <f t="shared" si="22"/>
        <v>1.4652014652014651</v>
      </c>
      <c r="K119" s="28">
        <v>1</v>
      </c>
      <c r="L119" s="267">
        <f t="shared" si="23"/>
        <v>1.4652014652014651</v>
      </c>
      <c r="M119" s="433">
        <f t="shared" si="24"/>
        <v>293.04029304029302</v>
      </c>
      <c r="N119" s="434">
        <v>200</v>
      </c>
      <c r="O119" s="435">
        <f t="shared" si="25"/>
        <v>0.73260073260073255</v>
      </c>
    </row>
    <row r="120" spans="1:15" ht="30">
      <c r="A120" s="13" t="s">
        <v>339</v>
      </c>
      <c r="B120" s="27" t="s">
        <v>338</v>
      </c>
      <c r="C120" s="13" t="s">
        <v>83</v>
      </c>
      <c r="D120" s="13">
        <v>116</v>
      </c>
      <c r="E120" s="13"/>
      <c r="F120" s="4" t="s">
        <v>89</v>
      </c>
      <c r="G120" s="28">
        <v>6.5970000000000004</v>
      </c>
      <c r="H120" s="440">
        <v>10</v>
      </c>
      <c r="I120" s="28">
        <v>2</v>
      </c>
      <c r="J120" s="441">
        <f t="shared" si="22"/>
        <v>3.0316810671517356</v>
      </c>
      <c r="K120" s="28">
        <v>1</v>
      </c>
      <c r="L120" s="267">
        <f t="shared" si="23"/>
        <v>3.0316810671517356</v>
      </c>
      <c r="M120" s="433">
        <f t="shared" si="24"/>
        <v>606.33621343034713</v>
      </c>
      <c r="N120" s="434">
        <v>200</v>
      </c>
      <c r="O120" s="435">
        <f t="shared" si="25"/>
        <v>1.5158405335758678</v>
      </c>
    </row>
    <row r="121" spans="1:15" ht="30">
      <c r="A121" s="13" t="s">
        <v>273</v>
      </c>
      <c r="B121" s="27" t="s">
        <v>125</v>
      </c>
      <c r="C121" s="13" t="s">
        <v>54</v>
      </c>
      <c r="D121" s="13">
        <v>116</v>
      </c>
      <c r="E121" s="13"/>
      <c r="F121" s="4" t="s">
        <v>88</v>
      </c>
      <c r="G121" s="28">
        <v>10</v>
      </c>
      <c r="H121" s="440">
        <v>10</v>
      </c>
      <c r="I121" s="28">
        <v>2</v>
      </c>
      <c r="J121" s="441">
        <f t="shared" si="22"/>
        <v>2</v>
      </c>
      <c r="K121" s="28">
        <v>2</v>
      </c>
      <c r="L121" s="267">
        <f t="shared" si="23"/>
        <v>4</v>
      </c>
      <c r="M121" s="433">
        <f t="shared" si="24"/>
        <v>800</v>
      </c>
      <c r="N121" s="434">
        <v>200</v>
      </c>
      <c r="O121" s="435">
        <f t="shared" si="25"/>
        <v>2</v>
      </c>
    </row>
    <row r="122" spans="1:15" ht="30">
      <c r="A122" s="523" t="s">
        <v>1668</v>
      </c>
      <c r="B122" s="522" t="s">
        <v>1670</v>
      </c>
      <c r="C122" s="523" t="s">
        <v>33</v>
      </c>
      <c r="D122" s="523">
        <v>116</v>
      </c>
      <c r="E122" s="523"/>
      <c r="F122" s="523" t="s">
        <v>1666</v>
      </c>
      <c r="G122" s="527">
        <v>15.39</v>
      </c>
      <c r="H122" s="530">
        <v>10</v>
      </c>
      <c r="I122" s="527">
        <v>2</v>
      </c>
      <c r="J122" s="531">
        <f t="shared" si="22"/>
        <v>1.2995451591942819</v>
      </c>
      <c r="K122" s="527">
        <v>1</v>
      </c>
      <c r="L122" s="267">
        <f t="shared" si="23"/>
        <v>1.2995451591942819</v>
      </c>
      <c r="M122" s="433">
        <f t="shared" si="24"/>
        <v>259.90903183885638</v>
      </c>
      <c r="N122" s="434">
        <v>200</v>
      </c>
      <c r="O122" s="435">
        <f t="shared" si="25"/>
        <v>0.64977257959714096</v>
      </c>
    </row>
    <row r="123" spans="1:15" ht="30">
      <c r="A123" s="523" t="s">
        <v>1669</v>
      </c>
      <c r="B123" s="522" t="s">
        <v>1671</v>
      </c>
      <c r="C123" s="523" t="s">
        <v>33</v>
      </c>
      <c r="D123" s="523">
        <v>116</v>
      </c>
      <c r="E123" s="523"/>
      <c r="F123" s="523" t="s">
        <v>10</v>
      </c>
      <c r="G123" s="527">
        <v>40</v>
      </c>
      <c r="H123" s="530">
        <v>10</v>
      </c>
      <c r="I123" s="527">
        <v>1</v>
      </c>
      <c r="J123" s="531">
        <f t="shared" si="22"/>
        <v>0.25</v>
      </c>
      <c r="K123" s="525">
        <f>2886/1000</f>
        <v>2.8860000000000001</v>
      </c>
      <c r="L123" s="267">
        <f t="shared" si="23"/>
        <v>0.72150000000000003</v>
      </c>
      <c r="M123" s="433">
        <f t="shared" si="24"/>
        <v>144.30000000000001</v>
      </c>
      <c r="N123" s="434">
        <v>200</v>
      </c>
      <c r="O123" s="435">
        <f t="shared" si="25"/>
        <v>0.72150000000000003</v>
      </c>
    </row>
    <row r="124" spans="1:15" ht="15">
      <c r="A124" s="13" t="s">
        <v>274</v>
      </c>
      <c r="B124" s="27" t="s">
        <v>275</v>
      </c>
      <c r="C124" s="13" t="s">
        <v>83</v>
      </c>
      <c r="D124" s="13">
        <v>116</v>
      </c>
      <c r="E124" s="13"/>
      <c r="F124" s="4" t="s">
        <v>276</v>
      </c>
      <c r="G124" s="28">
        <v>20</v>
      </c>
      <c r="H124" s="440">
        <v>10</v>
      </c>
      <c r="I124" s="28">
        <v>2</v>
      </c>
      <c r="J124" s="441">
        <f t="shared" si="22"/>
        <v>1</v>
      </c>
      <c r="K124" s="28">
        <v>1</v>
      </c>
      <c r="L124" s="267">
        <f t="shared" si="23"/>
        <v>1</v>
      </c>
      <c r="M124" s="433">
        <f t="shared" si="24"/>
        <v>200</v>
      </c>
      <c r="N124" s="434">
        <v>200</v>
      </c>
      <c r="O124" s="435">
        <f t="shared" si="25"/>
        <v>0.50</v>
      </c>
    </row>
    <row r="125" spans="1:15" ht="15">
      <c r="A125" s="13" t="s">
        <v>277</v>
      </c>
      <c r="B125" s="27" t="s">
        <v>278</v>
      </c>
      <c r="C125" s="13" t="s">
        <v>83</v>
      </c>
      <c r="D125" s="13">
        <v>116</v>
      </c>
      <c r="E125" s="13"/>
      <c r="F125" s="4" t="s">
        <v>90</v>
      </c>
      <c r="G125" s="28">
        <v>14</v>
      </c>
      <c r="H125" s="440">
        <v>10</v>
      </c>
      <c r="I125" s="28">
        <v>2</v>
      </c>
      <c r="J125" s="441">
        <f t="shared" si="22"/>
        <v>1.4285714285714286</v>
      </c>
      <c r="K125" s="28">
        <v>1</v>
      </c>
      <c r="L125" s="267">
        <f t="shared" si="23"/>
        <v>1.4285714285714286</v>
      </c>
      <c r="M125" s="433">
        <f t="shared" si="24"/>
        <v>285.71428571428572</v>
      </c>
      <c r="N125" s="434">
        <v>200</v>
      </c>
      <c r="O125" s="435">
        <f t="shared" si="25"/>
        <v>0.7142857142857143</v>
      </c>
    </row>
    <row r="126" spans="1:15" ht="15">
      <c r="A126" s="13" t="s">
        <v>279</v>
      </c>
      <c r="B126" s="27" t="s">
        <v>280</v>
      </c>
      <c r="C126" s="13" t="s">
        <v>29</v>
      </c>
      <c r="D126" s="13">
        <v>120</v>
      </c>
      <c r="E126" s="13"/>
      <c r="F126" s="13" t="s">
        <v>12</v>
      </c>
      <c r="G126" s="28">
        <v>13</v>
      </c>
      <c r="H126" s="440">
        <v>10</v>
      </c>
      <c r="I126" s="28">
        <v>1</v>
      </c>
      <c r="J126" s="441">
        <f t="shared" si="22"/>
        <v>0.76923076923076927</v>
      </c>
      <c r="K126" s="28">
        <v>1</v>
      </c>
      <c r="L126" s="435">
        <f t="shared" si="23"/>
        <v>0.76923076923076927</v>
      </c>
      <c r="M126" s="266">
        <f t="shared" si="24"/>
        <v>135.38461538461539</v>
      </c>
      <c r="N126" s="433">
        <v>176</v>
      </c>
      <c r="O126" s="435">
        <f t="shared" si="25"/>
        <v>0.76923076923076927</v>
      </c>
    </row>
    <row r="127" spans="1:15" ht="15">
      <c r="A127" s="13" t="s">
        <v>281</v>
      </c>
      <c r="B127" s="56" t="s">
        <v>30</v>
      </c>
      <c r="C127" s="13" t="s">
        <v>29</v>
      </c>
      <c r="D127" s="13">
        <v>120</v>
      </c>
      <c r="E127" s="13"/>
      <c r="F127" s="13" t="s">
        <v>12</v>
      </c>
      <c r="G127" s="436">
        <v>8.43</v>
      </c>
      <c r="H127" s="440">
        <v>10</v>
      </c>
      <c r="I127" s="28">
        <v>1</v>
      </c>
      <c r="J127" s="441">
        <f t="shared" si="22"/>
        <v>1.1862396204033214</v>
      </c>
      <c r="K127" s="28">
        <v>1</v>
      </c>
      <c r="L127" s="267">
        <f t="shared" si="23"/>
        <v>1.1862396204033214</v>
      </c>
      <c r="M127" s="433">
        <f t="shared" si="24"/>
        <v>208.77817319098457</v>
      </c>
      <c r="N127" s="434">
        <v>176</v>
      </c>
      <c r="O127" s="435">
        <f t="shared" si="25"/>
        <v>1.1862396204033214</v>
      </c>
    </row>
    <row r="128" spans="1:15" ht="30">
      <c r="A128" s="13" t="s">
        <v>282</v>
      </c>
      <c r="B128" s="56" t="s">
        <v>283</v>
      </c>
      <c r="C128" s="13" t="s">
        <v>29</v>
      </c>
      <c r="D128" s="13">
        <v>120</v>
      </c>
      <c r="E128" s="13"/>
      <c r="F128" s="13" t="s">
        <v>12</v>
      </c>
      <c r="G128" s="436">
        <v>11.21</v>
      </c>
      <c r="H128" s="440">
        <v>10</v>
      </c>
      <c r="I128" s="28">
        <v>1</v>
      </c>
      <c r="J128" s="441">
        <f t="shared" si="22"/>
        <v>0.89206066012488838</v>
      </c>
      <c r="K128" s="28">
        <v>1</v>
      </c>
      <c r="L128" s="267">
        <f t="shared" si="23"/>
        <v>0.89206066012488838</v>
      </c>
      <c r="M128" s="433">
        <f t="shared" si="24"/>
        <v>157.00267618198035</v>
      </c>
      <c r="N128" s="434">
        <v>176</v>
      </c>
      <c r="O128" s="435">
        <f t="shared" si="25"/>
        <v>0.89206066012488838</v>
      </c>
    </row>
    <row r="129" spans="1:15" ht="15">
      <c r="A129" s="13" t="s">
        <v>902</v>
      </c>
      <c r="B129" s="56" t="s">
        <v>1082</v>
      </c>
      <c r="C129" s="13" t="s">
        <v>523</v>
      </c>
      <c r="D129" s="13">
        <v>224</v>
      </c>
      <c r="E129" s="13"/>
      <c r="F129" s="4" t="s">
        <v>900</v>
      </c>
      <c r="G129" s="28">
        <v>600</v>
      </c>
      <c r="H129" s="431">
        <v>10</v>
      </c>
      <c r="I129" s="28">
        <v>1</v>
      </c>
      <c r="J129" s="441">
        <f t="shared" si="22"/>
        <v>0.016666666666666666</v>
      </c>
      <c r="K129" s="28">
        <v>1</v>
      </c>
      <c r="L129" s="267">
        <f t="shared" si="23"/>
        <v>0.016666666666666666</v>
      </c>
      <c r="M129" s="433">
        <f t="shared" si="24"/>
        <v>2.9333333333333331</v>
      </c>
      <c r="N129" s="434">
        <v>176</v>
      </c>
      <c r="O129" s="435">
        <f t="shared" si="25"/>
        <v>0.016666666666666666</v>
      </c>
    </row>
    <row r="130" spans="1:15" ht="15">
      <c r="A130" s="13" t="s">
        <v>285</v>
      </c>
      <c r="B130" s="56" t="s">
        <v>901</v>
      </c>
      <c r="C130" s="13" t="s">
        <v>83</v>
      </c>
      <c r="D130" s="13">
        <v>116</v>
      </c>
      <c r="E130" s="13"/>
      <c r="F130" s="13" t="s">
        <v>12</v>
      </c>
      <c r="G130" s="28">
        <v>10</v>
      </c>
      <c r="H130" s="440">
        <v>10</v>
      </c>
      <c r="I130" s="28">
        <v>2</v>
      </c>
      <c r="J130" s="441">
        <f t="shared" si="22"/>
        <v>2</v>
      </c>
      <c r="K130" s="28">
        <v>1</v>
      </c>
      <c r="L130" s="267">
        <f t="shared" si="23"/>
        <v>2</v>
      </c>
      <c r="M130" s="433">
        <f t="shared" si="24"/>
        <v>400</v>
      </c>
      <c r="N130" s="434">
        <v>200</v>
      </c>
      <c r="O130" s="435">
        <f t="shared" si="25"/>
        <v>1</v>
      </c>
    </row>
    <row r="131" spans="1:15" ht="15">
      <c r="A131" s="13" t="s">
        <v>286</v>
      </c>
      <c r="B131" s="27" t="s">
        <v>288</v>
      </c>
      <c r="C131" s="13" t="s">
        <v>287</v>
      </c>
      <c r="D131" s="13">
        <v>116</v>
      </c>
      <c r="E131" s="13"/>
      <c r="F131" s="13" t="s">
        <v>67</v>
      </c>
      <c r="G131" s="28">
        <v>40</v>
      </c>
      <c r="H131" s="440">
        <v>10</v>
      </c>
      <c r="I131" s="28">
        <v>1</v>
      </c>
      <c r="J131" s="441">
        <f t="shared" si="22"/>
        <v>0.25</v>
      </c>
      <c r="K131" s="28">
        <v>4</v>
      </c>
      <c r="L131" s="267">
        <f t="shared" si="23"/>
        <v>1</v>
      </c>
      <c r="M131" s="433">
        <f t="shared" si="24"/>
        <v>152</v>
      </c>
      <c r="N131" s="434">
        <v>152</v>
      </c>
      <c r="O131" s="435">
        <f t="shared" si="25"/>
        <v>1</v>
      </c>
    </row>
    <row r="132" spans="1:15" ht="15">
      <c r="A132" s="39"/>
      <c r="B132" s="649" t="s">
        <v>134</v>
      </c>
      <c r="C132" s="649"/>
      <c r="D132" s="649"/>
      <c r="E132" s="649"/>
      <c r="F132" s="649"/>
      <c r="G132" s="649"/>
      <c r="H132" s="649"/>
      <c r="I132" s="649"/>
      <c r="J132" s="649"/>
      <c r="K132" s="649"/>
      <c r="L132" s="267"/>
      <c r="M132" s="262">
        <f>SUM(M133:M153)</f>
        <v>5272.6577428768451</v>
      </c>
      <c r="N132" s="263"/>
      <c r="O132" s="264">
        <f>SUM(O133:O153)</f>
        <v>18.999136208659703</v>
      </c>
    </row>
    <row r="133" spans="1:16" ht="30">
      <c r="A133" s="13" t="s">
        <v>297</v>
      </c>
      <c r="B133" s="56" t="s">
        <v>298</v>
      </c>
      <c r="C133" s="13" t="s">
        <v>33</v>
      </c>
      <c r="D133" s="13">
        <v>116</v>
      </c>
      <c r="E133" s="13"/>
      <c r="F133" s="13" t="s">
        <v>96</v>
      </c>
      <c r="G133" s="432">
        <v>10</v>
      </c>
      <c r="H133" s="440">
        <v>10</v>
      </c>
      <c r="I133" s="28">
        <v>2</v>
      </c>
      <c r="J133" s="441">
        <f t="shared" si="26" ref="J133:J153">H133/G133*I133</f>
        <v>2</v>
      </c>
      <c r="K133" s="28">
        <v>1</v>
      </c>
      <c r="L133" s="267">
        <f t="shared" si="27" ref="L133:L153">J133*K133</f>
        <v>2</v>
      </c>
      <c r="M133" s="433">
        <f t="shared" si="28" ref="M133:M153">L133*N133</f>
        <v>400</v>
      </c>
      <c r="N133" s="434">
        <v>200</v>
      </c>
      <c r="O133" s="435">
        <f t="shared" si="29" ref="O133:O153">J133/I133*K133</f>
        <v>1</v>
      </c>
      <c r="P133" s="22"/>
    </row>
    <row r="134" spans="1:16" ht="30">
      <c r="A134" s="523" t="s">
        <v>1663</v>
      </c>
      <c r="B134" s="522" t="s">
        <v>1665</v>
      </c>
      <c r="C134" s="523" t="s">
        <v>33</v>
      </c>
      <c r="D134" s="523">
        <v>116</v>
      </c>
      <c r="E134" s="523"/>
      <c r="F134" s="523" t="s">
        <v>1666</v>
      </c>
      <c r="G134" s="527">
        <v>14.51</v>
      </c>
      <c r="H134" s="530">
        <v>10</v>
      </c>
      <c r="I134" s="527">
        <v>2</v>
      </c>
      <c r="J134" s="531">
        <f t="shared" si="26"/>
        <v>1.3783597518952446</v>
      </c>
      <c r="K134" s="527">
        <v>1</v>
      </c>
      <c r="L134" s="267">
        <f t="shared" si="27"/>
        <v>1.3783597518952446</v>
      </c>
      <c r="M134" s="433">
        <f t="shared" si="28"/>
        <v>275.67195037904895</v>
      </c>
      <c r="N134" s="434">
        <v>200</v>
      </c>
      <c r="O134" s="435">
        <f t="shared" si="29"/>
        <v>0.68917987594762231</v>
      </c>
      <c r="P134" s="22"/>
    </row>
    <row r="135" spans="1:16" ht="30">
      <c r="A135" s="523" t="s">
        <v>1664</v>
      </c>
      <c r="B135" s="522" t="s">
        <v>1667</v>
      </c>
      <c r="C135" s="523" t="s">
        <v>33</v>
      </c>
      <c r="D135" s="523">
        <v>116</v>
      </c>
      <c r="E135" s="523"/>
      <c r="F135" s="523" t="s">
        <v>10</v>
      </c>
      <c r="G135" s="527">
        <v>40</v>
      </c>
      <c r="H135" s="530">
        <v>10</v>
      </c>
      <c r="I135" s="527">
        <v>1</v>
      </c>
      <c r="J135" s="531">
        <f t="shared" si="26"/>
        <v>0.25</v>
      </c>
      <c r="K135" s="525">
        <f>2960/1000</f>
        <v>2.96</v>
      </c>
      <c r="L135" s="267">
        <f t="shared" si="27"/>
        <v>0.74</v>
      </c>
      <c r="M135" s="433">
        <f t="shared" si="28"/>
        <v>148</v>
      </c>
      <c r="N135" s="434">
        <v>200</v>
      </c>
      <c r="O135" s="435">
        <f t="shared" si="29"/>
        <v>0.74</v>
      </c>
      <c r="P135" s="22"/>
    </row>
    <row r="136" spans="1:16" ht="30">
      <c r="A136" s="13" t="s">
        <v>299</v>
      </c>
      <c r="B136" s="56" t="s">
        <v>300</v>
      </c>
      <c r="C136" s="13" t="s">
        <v>33</v>
      </c>
      <c r="D136" s="13">
        <v>119</v>
      </c>
      <c r="E136" s="13"/>
      <c r="F136" s="13" t="s">
        <v>96</v>
      </c>
      <c r="G136" s="442">
        <v>20.239999999999998</v>
      </c>
      <c r="H136" s="440">
        <v>10</v>
      </c>
      <c r="I136" s="28">
        <v>2</v>
      </c>
      <c r="J136" s="441">
        <f t="shared" si="26"/>
        <v>0.98814229249011865</v>
      </c>
      <c r="K136" s="28">
        <v>1</v>
      </c>
      <c r="L136" s="267">
        <f t="shared" si="27"/>
        <v>0.98814229249011865</v>
      </c>
      <c r="M136" s="433">
        <f t="shared" si="28"/>
        <v>197.62845849802372</v>
      </c>
      <c r="N136" s="434">
        <v>200</v>
      </c>
      <c r="O136" s="435">
        <f t="shared" si="29"/>
        <v>0.49407114624505932</v>
      </c>
      <c r="P136" s="22"/>
    </row>
    <row r="137" spans="1:16" ht="30">
      <c r="A137" s="13" t="s">
        <v>301</v>
      </c>
      <c r="B137" s="27" t="s">
        <v>97</v>
      </c>
      <c r="C137" s="13" t="s">
        <v>83</v>
      </c>
      <c r="D137" s="13">
        <v>119</v>
      </c>
      <c r="E137" s="13"/>
      <c r="F137" s="13" t="s">
        <v>12</v>
      </c>
      <c r="G137" s="442">
        <v>4.37</v>
      </c>
      <c r="H137" s="440">
        <v>10</v>
      </c>
      <c r="I137" s="28">
        <v>2</v>
      </c>
      <c r="J137" s="441">
        <f t="shared" si="26"/>
        <v>4.5766590389016013</v>
      </c>
      <c r="K137" s="28">
        <v>1</v>
      </c>
      <c r="L137" s="267">
        <f t="shared" si="27"/>
        <v>4.5766590389016013</v>
      </c>
      <c r="M137" s="433">
        <f t="shared" si="28"/>
        <v>915.33180778032022</v>
      </c>
      <c r="N137" s="434">
        <v>200</v>
      </c>
      <c r="O137" s="435">
        <f t="shared" si="29"/>
        <v>2.2883295194508007</v>
      </c>
      <c r="P137" s="22"/>
    </row>
    <row r="138" spans="1:15" ht="15">
      <c r="A138" s="57" t="s">
        <v>530</v>
      </c>
      <c r="B138" s="269" t="s">
        <v>531</v>
      </c>
      <c r="C138" s="13" t="s">
        <v>33</v>
      </c>
      <c r="D138" s="13">
        <v>226</v>
      </c>
      <c r="E138" s="13"/>
      <c r="F138" s="13" t="s">
        <v>12</v>
      </c>
      <c r="G138" s="28">
        <v>10</v>
      </c>
      <c r="H138" s="440">
        <v>10</v>
      </c>
      <c r="I138" s="28">
        <v>1</v>
      </c>
      <c r="J138" s="441">
        <f t="shared" si="26"/>
        <v>1</v>
      </c>
      <c r="K138" s="442">
        <v>1</v>
      </c>
      <c r="L138" s="267">
        <f t="shared" si="27"/>
        <v>1</v>
      </c>
      <c r="M138" s="266">
        <f t="shared" si="28"/>
        <v>200</v>
      </c>
      <c r="N138" s="433">
        <v>200</v>
      </c>
      <c r="O138" s="435">
        <f t="shared" si="29"/>
        <v>1</v>
      </c>
    </row>
    <row r="139" spans="1:16" ht="15">
      <c r="A139" s="13" t="s">
        <v>290</v>
      </c>
      <c r="B139" s="27" t="s">
        <v>31</v>
      </c>
      <c r="C139" s="13" t="s">
        <v>14</v>
      </c>
      <c r="D139" s="13">
        <v>226</v>
      </c>
      <c r="E139" s="13"/>
      <c r="F139" s="13" t="s">
        <v>58</v>
      </c>
      <c r="G139" s="28">
        <v>61</v>
      </c>
      <c r="H139" s="440">
        <v>10</v>
      </c>
      <c r="I139" s="28">
        <v>1</v>
      </c>
      <c r="J139" s="441">
        <f t="shared" si="26"/>
        <v>0.16393442622950818</v>
      </c>
      <c r="K139" s="28">
        <v>5.97</v>
      </c>
      <c r="L139" s="267">
        <f t="shared" si="27"/>
        <v>0.97868852459016387</v>
      </c>
      <c r="M139" s="433">
        <f t="shared" si="28"/>
        <v>195.73770491803276</v>
      </c>
      <c r="N139" s="434">
        <v>200</v>
      </c>
      <c r="O139" s="435">
        <f t="shared" si="29"/>
        <v>0.97868852459016387</v>
      </c>
      <c r="P139" s="22"/>
    </row>
    <row r="140" spans="1:16" ht="15">
      <c r="A140" s="13" t="s">
        <v>302</v>
      </c>
      <c r="B140" s="27" t="s">
        <v>903</v>
      </c>
      <c r="C140" s="13" t="s">
        <v>523</v>
      </c>
      <c r="D140" s="13">
        <v>224</v>
      </c>
      <c r="E140" s="13"/>
      <c r="F140" s="13" t="s">
        <v>400</v>
      </c>
      <c r="G140" s="442">
        <v>50</v>
      </c>
      <c r="H140" s="440">
        <v>10</v>
      </c>
      <c r="I140" s="28">
        <v>2</v>
      </c>
      <c r="J140" s="441">
        <f t="shared" si="26"/>
        <v>0.40</v>
      </c>
      <c r="K140" s="28">
        <v>2</v>
      </c>
      <c r="L140" s="267">
        <f t="shared" si="27"/>
        <v>0.80</v>
      </c>
      <c r="M140" s="433">
        <f t="shared" si="28"/>
        <v>140.80000000000001</v>
      </c>
      <c r="N140" s="434">
        <v>176</v>
      </c>
      <c r="O140" s="435">
        <f t="shared" si="29"/>
        <v>0.40</v>
      </c>
      <c r="P140" s="22"/>
    </row>
    <row r="141" spans="1:16" ht="15">
      <c r="A141" s="13" t="s">
        <v>292</v>
      </c>
      <c r="B141" s="27" t="s">
        <v>21</v>
      </c>
      <c r="C141" s="13" t="s">
        <v>33</v>
      </c>
      <c r="D141" s="13">
        <v>219</v>
      </c>
      <c r="E141" s="13"/>
      <c r="F141" s="13" t="s">
        <v>12</v>
      </c>
      <c r="G141" s="569">
        <f>5.34*2</f>
        <v>10.68</v>
      </c>
      <c r="H141" s="440">
        <v>10</v>
      </c>
      <c r="I141" s="28">
        <v>2</v>
      </c>
      <c r="J141" s="441">
        <f t="shared" si="26"/>
        <v>1.8726591760299627</v>
      </c>
      <c r="K141" s="28">
        <v>1</v>
      </c>
      <c r="L141" s="267">
        <f t="shared" si="27"/>
        <v>1.8726591760299627</v>
      </c>
      <c r="M141" s="433">
        <f t="shared" si="28"/>
        <v>310.86142322097379</v>
      </c>
      <c r="N141" s="434">
        <v>166</v>
      </c>
      <c r="O141" s="435">
        <f t="shared" si="29"/>
        <v>0.93632958801498134</v>
      </c>
      <c r="P141" s="22"/>
    </row>
    <row r="142" spans="1:16" ht="30">
      <c r="A142" s="13" t="s">
        <v>406</v>
      </c>
      <c r="B142" s="27" t="s">
        <v>407</v>
      </c>
      <c r="C142" s="13" t="s">
        <v>14</v>
      </c>
      <c r="D142" s="13">
        <v>226</v>
      </c>
      <c r="E142" s="13"/>
      <c r="F142" s="13" t="s">
        <v>12</v>
      </c>
      <c r="G142" s="442">
        <v>61</v>
      </c>
      <c r="H142" s="440">
        <v>10</v>
      </c>
      <c r="I142" s="28">
        <v>1</v>
      </c>
      <c r="J142" s="441">
        <f t="shared" si="26"/>
        <v>0.16393442622950818</v>
      </c>
      <c r="K142" s="28">
        <v>0.80</v>
      </c>
      <c r="L142" s="435">
        <f t="shared" si="27"/>
        <v>0.13114754098360656</v>
      </c>
      <c r="M142" s="266">
        <f t="shared" si="28"/>
        <v>26.229508196721312</v>
      </c>
      <c r="N142" s="433">
        <v>200</v>
      </c>
      <c r="O142" s="435">
        <f t="shared" si="29"/>
        <v>0.13114754098360656</v>
      </c>
      <c r="P142" s="22"/>
    </row>
    <row r="143" spans="1:16" ht="15">
      <c r="A143" s="13" t="s">
        <v>291</v>
      </c>
      <c r="B143" s="27" t="s">
        <v>101</v>
      </c>
      <c r="C143" s="13" t="s">
        <v>33</v>
      </c>
      <c r="D143" s="13">
        <v>219</v>
      </c>
      <c r="E143" s="13"/>
      <c r="F143" s="13" t="s">
        <v>12</v>
      </c>
      <c r="G143" s="442">
        <v>9.10</v>
      </c>
      <c r="H143" s="440">
        <v>10</v>
      </c>
      <c r="I143" s="28">
        <v>2</v>
      </c>
      <c r="J143" s="441">
        <f t="shared" si="26"/>
        <v>2.197802197802198</v>
      </c>
      <c r="K143" s="28">
        <v>1</v>
      </c>
      <c r="L143" s="267">
        <f t="shared" si="27"/>
        <v>2.197802197802198</v>
      </c>
      <c r="M143" s="433">
        <f t="shared" si="28"/>
        <v>439.56043956043959</v>
      </c>
      <c r="N143" s="434">
        <v>200</v>
      </c>
      <c r="O143" s="435">
        <f t="shared" si="29"/>
        <v>1.098901098901099</v>
      </c>
      <c r="P143" s="22"/>
    </row>
    <row r="144" spans="1:16" ht="15">
      <c r="A144" s="13" t="s">
        <v>303</v>
      </c>
      <c r="B144" s="27" t="s">
        <v>304</v>
      </c>
      <c r="C144" s="13" t="s">
        <v>226</v>
      </c>
      <c r="D144" s="13">
        <v>302</v>
      </c>
      <c r="E144" s="13"/>
      <c r="F144" s="13" t="s">
        <v>103</v>
      </c>
      <c r="G144" s="432">
        <v>151</v>
      </c>
      <c r="H144" s="440">
        <v>10</v>
      </c>
      <c r="I144" s="28">
        <v>1</v>
      </c>
      <c r="J144" s="441">
        <f t="shared" si="26"/>
        <v>0.066225165562913912</v>
      </c>
      <c r="K144" s="28">
        <v>34</v>
      </c>
      <c r="L144" s="267">
        <f t="shared" si="27"/>
        <v>2.2516556291390728</v>
      </c>
      <c r="M144" s="433">
        <f t="shared" si="28"/>
        <v>396.29139072847681</v>
      </c>
      <c r="N144" s="434">
        <v>176</v>
      </c>
      <c r="O144" s="435">
        <f t="shared" si="29"/>
        <v>2.2516556291390728</v>
      </c>
      <c r="P144" s="22"/>
    </row>
    <row r="145" spans="1:16" ht="15">
      <c r="A145" s="13" t="s">
        <v>293</v>
      </c>
      <c r="B145" s="27" t="s">
        <v>102</v>
      </c>
      <c r="C145" s="13" t="s">
        <v>33</v>
      </c>
      <c r="D145" s="13">
        <v>219</v>
      </c>
      <c r="E145" s="13"/>
      <c r="F145" s="13" t="s">
        <v>103</v>
      </c>
      <c r="G145" s="28">
        <f>10*60/1</f>
        <v>600</v>
      </c>
      <c r="H145" s="440">
        <v>10</v>
      </c>
      <c r="I145" s="28">
        <v>1</v>
      </c>
      <c r="J145" s="441">
        <f t="shared" si="26"/>
        <v>0.016666666666666666</v>
      </c>
      <c r="K145" s="28">
        <v>34</v>
      </c>
      <c r="L145" s="267">
        <f t="shared" si="27"/>
        <v>0.56666666666666665</v>
      </c>
      <c r="M145" s="433">
        <f t="shared" si="28"/>
        <v>86.133333333333326</v>
      </c>
      <c r="N145" s="434">
        <v>152</v>
      </c>
      <c r="O145" s="435">
        <f t="shared" si="29"/>
        <v>0.56666666666666665</v>
      </c>
      <c r="P145" s="22"/>
    </row>
    <row r="146" spans="1:16" ht="15">
      <c r="A146" s="13" t="s">
        <v>305</v>
      </c>
      <c r="B146" s="27" t="s">
        <v>343</v>
      </c>
      <c r="C146" s="13" t="s">
        <v>14</v>
      </c>
      <c r="D146" s="13">
        <v>226</v>
      </c>
      <c r="E146" s="13"/>
      <c r="F146" s="13" t="s">
        <v>58</v>
      </c>
      <c r="G146" s="28">
        <v>55.20</v>
      </c>
      <c r="H146" s="440">
        <v>10</v>
      </c>
      <c r="I146" s="28">
        <v>1</v>
      </c>
      <c r="J146" s="441">
        <f t="shared" si="26"/>
        <v>0.18115942028985507</v>
      </c>
      <c r="K146" s="28">
        <v>1.20</v>
      </c>
      <c r="L146" s="435">
        <f t="shared" si="27"/>
        <v>0.21739130434782608</v>
      </c>
      <c r="M146" s="266">
        <f t="shared" si="28"/>
        <v>43.478260869565219</v>
      </c>
      <c r="N146" s="433">
        <v>200</v>
      </c>
      <c r="O146" s="435">
        <f t="shared" si="29"/>
        <v>0.21739130434782608</v>
      </c>
      <c r="P146" s="22"/>
    </row>
    <row r="147" spans="1:16" ht="30">
      <c r="A147" s="13" t="s">
        <v>306</v>
      </c>
      <c r="B147" s="27" t="s">
        <v>307</v>
      </c>
      <c r="C147" s="13" t="s">
        <v>14</v>
      </c>
      <c r="D147" s="13">
        <v>226</v>
      </c>
      <c r="E147" s="13"/>
      <c r="F147" s="13" t="s">
        <v>12</v>
      </c>
      <c r="G147" s="28">
        <v>10</v>
      </c>
      <c r="H147" s="440">
        <v>10</v>
      </c>
      <c r="I147" s="28">
        <v>1</v>
      </c>
      <c r="J147" s="441">
        <f t="shared" si="26"/>
        <v>1</v>
      </c>
      <c r="K147" s="28">
        <v>1</v>
      </c>
      <c r="L147" s="435">
        <f t="shared" si="27"/>
        <v>1</v>
      </c>
      <c r="M147" s="266">
        <f t="shared" si="28"/>
        <v>200</v>
      </c>
      <c r="N147" s="433">
        <v>200</v>
      </c>
      <c r="O147" s="435">
        <f t="shared" si="29"/>
        <v>1</v>
      </c>
      <c r="P147" s="22"/>
    </row>
    <row r="148" spans="1:16" ht="15">
      <c r="A148" s="13" t="s">
        <v>296</v>
      </c>
      <c r="B148" s="56" t="s">
        <v>105</v>
      </c>
      <c r="C148" s="13" t="s">
        <v>33</v>
      </c>
      <c r="D148" s="13">
        <v>219</v>
      </c>
      <c r="E148" s="13"/>
      <c r="F148" s="13" t="s">
        <v>96</v>
      </c>
      <c r="G148" s="28">
        <v>12</v>
      </c>
      <c r="H148" s="440">
        <v>10</v>
      </c>
      <c r="I148" s="28">
        <v>2</v>
      </c>
      <c r="J148" s="441">
        <f t="shared" si="26"/>
        <v>1.6666666666666667</v>
      </c>
      <c r="K148" s="28">
        <v>1</v>
      </c>
      <c r="L148" s="267">
        <f t="shared" si="27"/>
        <v>1.6666666666666667</v>
      </c>
      <c r="M148" s="433">
        <f t="shared" si="28"/>
        <v>333.33333333333337</v>
      </c>
      <c r="N148" s="434">
        <v>200</v>
      </c>
      <c r="O148" s="435">
        <f t="shared" si="29"/>
        <v>0.83333333333333337</v>
      </c>
      <c r="P148" s="22"/>
    </row>
    <row r="149" spans="1:16" ht="15">
      <c r="A149" s="523" t="s">
        <v>1695</v>
      </c>
      <c r="B149" s="522" t="s">
        <v>1696</v>
      </c>
      <c r="C149" s="523" t="s">
        <v>33</v>
      </c>
      <c r="D149" s="523">
        <v>226</v>
      </c>
      <c r="E149" s="523"/>
      <c r="F149" s="523" t="s">
        <v>12</v>
      </c>
      <c r="G149" s="527">
        <v>20</v>
      </c>
      <c r="H149" s="530">
        <v>10</v>
      </c>
      <c r="I149" s="527">
        <v>1</v>
      </c>
      <c r="J149" s="531">
        <f t="shared" si="26"/>
        <v>0.50</v>
      </c>
      <c r="K149" s="527">
        <v>1</v>
      </c>
      <c r="L149" s="267">
        <f t="shared" si="27"/>
        <v>0.50</v>
      </c>
      <c r="M149" s="433">
        <f t="shared" si="28"/>
        <v>100</v>
      </c>
      <c r="N149" s="434">
        <v>200</v>
      </c>
      <c r="O149" s="435">
        <f t="shared" si="29"/>
        <v>0.50</v>
      </c>
      <c r="P149" s="22"/>
    </row>
    <row r="150" spans="1:16" ht="15">
      <c r="A150" s="13" t="s">
        <v>308</v>
      </c>
      <c r="B150" s="27" t="s">
        <v>309</v>
      </c>
      <c r="C150" s="13" t="s">
        <v>14</v>
      </c>
      <c r="D150" s="13">
        <v>226</v>
      </c>
      <c r="E150" s="13"/>
      <c r="F150" s="13" t="s">
        <v>58</v>
      </c>
      <c r="G150" s="442">
        <v>55</v>
      </c>
      <c r="H150" s="440">
        <v>10</v>
      </c>
      <c r="I150" s="28">
        <v>1</v>
      </c>
      <c r="J150" s="441">
        <f t="shared" si="26"/>
        <v>0.18181818181818182</v>
      </c>
      <c r="K150" s="28">
        <v>2.2599999999999998</v>
      </c>
      <c r="L150" s="435">
        <f t="shared" si="27"/>
        <v>0.41090909090909089</v>
      </c>
      <c r="M150" s="266">
        <f t="shared" si="28"/>
        <v>62.458181818181814</v>
      </c>
      <c r="N150" s="433">
        <v>152</v>
      </c>
      <c r="O150" s="435">
        <f t="shared" si="29"/>
        <v>0.41090909090909089</v>
      </c>
      <c r="P150" s="22"/>
    </row>
    <row r="151" spans="1:16" ht="15">
      <c r="A151" s="13" t="s">
        <v>294</v>
      </c>
      <c r="B151" s="27" t="s">
        <v>521</v>
      </c>
      <c r="C151" s="13" t="s">
        <v>14</v>
      </c>
      <c r="D151" s="13">
        <v>226</v>
      </c>
      <c r="E151" s="13"/>
      <c r="F151" s="13" t="s">
        <v>58</v>
      </c>
      <c r="G151" s="28">
        <v>23.16</v>
      </c>
      <c r="H151" s="440">
        <v>10</v>
      </c>
      <c r="I151" s="28">
        <v>1</v>
      </c>
      <c r="J151" s="441">
        <f t="shared" si="26"/>
        <v>0.43177892918825561</v>
      </c>
      <c r="K151" s="28">
        <v>5.60</v>
      </c>
      <c r="L151" s="267">
        <f t="shared" si="27"/>
        <v>2.4179620034542313</v>
      </c>
      <c r="M151" s="433">
        <f t="shared" si="28"/>
        <v>483.59240069084626</v>
      </c>
      <c r="N151" s="434">
        <v>200</v>
      </c>
      <c r="O151" s="435">
        <f t="shared" si="29"/>
        <v>2.4179620034542313</v>
      </c>
      <c r="P151" s="22"/>
    </row>
    <row r="152" spans="1:16" ht="15">
      <c r="A152" s="13" t="s">
        <v>1639</v>
      </c>
      <c r="B152" s="27" t="s">
        <v>1640</v>
      </c>
      <c r="C152" s="13" t="s">
        <v>33</v>
      </c>
      <c r="D152" s="13" t="s">
        <v>1333</v>
      </c>
      <c r="E152" s="13"/>
      <c r="F152" s="13" t="s">
        <v>12</v>
      </c>
      <c r="G152" s="442">
        <v>30</v>
      </c>
      <c r="H152" s="440">
        <v>10</v>
      </c>
      <c r="I152" s="28">
        <v>2</v>
      </c>
      <c r="J152" s="441">
        <f t="shared" si="26"/>
        <v>0.66666666666666663</v>
      </c>
      <c r="K152" s="28">
        <v>1</v>
      </c>
      <c r="L152" s="267">
        <f t="shared" si="27"/>
        <v>0.66666666666666663</v>
      </c>
      <c r="M152" s="433">
        <f t="shared" si="28"/>
        <v>101.33333333333333</v>
      </c>
      <c r="N152" s="434">
        <v>152</v>
      </c>
      <c r="O152" s="435">
        <f t="shared" si="29"/>
        <v>0.33333333333333331</v>
      </c>
      <c r="P152" s="21"/>
    </row>
    <row r="153" spans="1:16" ht="15">
      <c r="A153" s="13" t="s">
        <v>295</v>
      </c>
      <c r="B153" s="27" t="s">
        <v>104</v>
      </c>
      <c r="C153" s="13" t="s">
        <v>33</v>
      </c>
      <c r="D153" s="13" t="s">
        <v>1333</v>
      </c>
      <c r="E153" s="13"/>
      <c r="F153" s="13" t="s">
        <v>12</v>
      </c>
      <c r="G153" s="28">
        <v>14.06</v>
      </c>
      <c r="H153" s="440">
        <v>10</v>
      </c>
      <c r="I153" s="28">
        <v>2</v>
      </c>
      <c r="J153" s="441">
        <f t="shared" si="26"/>
        <v>1.4224751066856329</v>
      </c>
      <c r="K153" s="28">
        <v>1</v>
      </c>
      <c r="L153" s="267">
        <f t="shared" si="27"/>
        <v>1.4224751066856329</v>
      </c>
      <c r="M153" s="433">
        <f t="shared" si="28"/>
        <v>216.2162162162162</v>
      </c>
      <c r="N153" s="434">
        <v>152</v>
      </c>
      <c r="O153" s="435">
        <f t="shared" si="29"/>
        <v>0.71123755334281646</v>
      </c>
      <c r="P153" s="21"/>
    </row>
    <row r="154" spans="1:15" s="22" customFormat="1" ht="15">
      <c r="A154" s="443"/>
      <c r="B154" s="495" t="s">
        <v>15</v>
      </c>
      <c r="C154" s="443"/>
      <c r="D154" s="443"/>
      <c r="E154" s="443"/>
      <c r="F154" s="444"/>
      <c r="G154" s="443"/>
      <c r="H154" s="445"/>
      <c r="I154" s="443"/>
      <c r="J154" s="446"/>
      <c r="K154" s="443"/>
      <c r="L154" s="447">
        <f>SUM(L6:L153)</f>
        <v>166.12442072886088</v>
      </c>
      <c r="M154" s="455">
        <f>M18+M47+M61+M74+M85+M132+M81+M5</f>
        <v>32799.630921061413</v>
      </c>
      <c r="N154" s="110"/>
      <c r="O154" s="454">
        <f>O18+O47+O61+O74+O85+O132+O81+O5</f>
        <v>114.15532898478165</v>
      </c>
    </row>
    <row r="155" spans="12:15" ht="15">
      <c r="L155" s="448" t="s">
        <v>16</v>
      </c>
      <c r="O155" s="448" t="s">
        <v>17</v>
      </c>
    </row>
    <row r="156" spans="6:15" ht="15">
      <c r="F156" s="107"/>
      <c r="J156" s="450"/>
      <c r="K156" s="451" t="s">
        <v>18</v>
      </c>
      <c r="L156" s="452">
        <f>L154/G2</f>
        <v>181.16076415361056</v>
      </c>
      <c r="M156" s="450" t="s">
        <v>19</v>
      </c>
      <c r="N156" s="450"/>
      <c r="O156" s="450"/>
    </row>
    <row r="157" spans="6:6" ht="15">
      <c r="F157" s="107"/>
    </row>
    <row r="158" spans="2:8" ht="15">
      <c r="B158" s="493" t="s">
        <v>858</v>
      </c>
      <c r="C158" s="449"/>
      <c r="F158" s="107"/>
      <c r="H158" s="268"/>
    </row>
    <row r="159" spans="6:6" ht="15">
      <c r="F159" s="107"/>
    </row>
    <row r="160" spans="2:3" ht="15">
      <c r="B160" s="493" t="s">
        <v>848</v>
      </c>
      <c r="C160" s="449"/>
    </row>
    <row r="162" spans="2:3" ht="15">
      <c r="B162" s="493" t="s">
        <v>849</v>
      </c>
      <c r="C162" s="449"/>
    </row>
    <row r="165" ht="15.75"/>
    <row r="166" spans="1:8" ht="15" hidden="1">
      <c r="A166" s="481" t="s">
        <v>328</v>
      </c>
      <c r="B166" s="496" t="s">
        <v>329</v>
      </c>
      <c r="C166" s="481" t="s">
        <v>330</v>
      </c>
      <c r="D166" s="481" t="s">
        <v>331</v>
      </c>
      <c r="E166" s="481" t="s">
        <v>332</v>
      </c>
      <c r="F166" s="481" t="s">
        <v>333</v>
      </c>
      <c r="G166" s="427"/>
      <c r="H166" s="268"/>
    </row>
    <row r="167" spans="1:8" ht="75" hidden="1">
      <c r="A167" s="482">
        <v>1</v>
      </c>
      <c r="B167" s="483" t="s">
        <v>1283</v>
      </c>
      <c r="C167" s="482">
        <v>600</v>
      </c>
      <c r="D167" s="482">
        <v>400</v>
      </c>
      <c r="E167" s="482" t="s">
        <v>954</v>
      </c>
      <c r="F167" s="484">
        <v>44602</v>
      </c>
      <c r="G167" s="427"/>
      <c r="H167" s="268"/>
    </row>
    <row r="168" spans="1:8" ht="30" hidden="1">
      <c r="A168" s="482">
        <v>2</v>
      </c>
      <c r="B168" s="483" t="s">
        <v>1284</v>
      </c>
      <c r="C168" s="485"/>
      <c r="D168" s="485"/>
      <c r="E168" s="482" t="s">
        <v>954</v>
      </c>
      <c r="F168" s="484">
        <v>44602</v>
      </c>
      <c r="G168" s="427"/>
      <c r="H168" s="268"/>
    </row>
    <row r="169" spans="1:8" ht="30" hidden="1">
      <c r="A169" s="482">
        <v>3</v>
      </c>
      <c r="B169" s="483" t="s">
        <v>1296</v>
      </c>
      <c r="C169" s="485"/>
      <c r="D169" s="485"/>
      <c r="E169" s="482" t="s">
        <v>954</v>
      </c>
      <c r="F169" s="484">
        <v>44616</v>
      </c>
      <c r="G169" s="427"/>
      <c r="H169" s="268"/>
    </row>
    <row r="170" spans="1:8" ht="30" hidden="1">
      <c r="A170" s="482">
        <v>4</v>
      </c>
      <c r="B170" s="483" t="s">
        <v>1310</v>
      </c>
      <c r="C170" s="485"/>
      <c r="D170" s="485"/>
      <c r="E170" s="482" t="s">
        <v>954</v>
      </c>
      <c r="F170" s="484">
        <v>44616</v>
      </c>
      <c r="G170" s="427"/>
      <c r="H170" s="268"/>
    </row>
    <row r="171" spans="1:8" ht="30" hidden="1">
      <c r="A171" s="482">
        <v>5</v>
      </c>
      <c r="B171" s="483" t="s">
        <v>1298</v>
      </c>
      <c r="C171" s="485"/>
      <c r="D171" s="485"/>
      <c r="E171" s="482" t="s">
        <v>954</v>
      </c>
      <c r="F171" s="484">
        <v>44616</v>
      </c>
      <c r="G171" s="427"/>
      <c r="H171" s="268"/>
    </row>
    <row r="172" spans="1:8" ht="30" hidden="1">
      <c r="A172" s="482">
        <v>6</v>
      </c>
      <c r="B172" s="483" t="s">
        <v>1299</v>
      </c>
      <c r="C172" s="485"/>
      <c r="D172" s="485"/>
      <c r="E172" s="482" t="s">
        <v>954</v>
      </c>
      <c r="F172" s="484">
        <v>44616</v>
      </c>
      <c r="G172" s="427"/>
      <c r="H172" s="268"/>
    </row>
    <row r="173" spans="1:8" ht="30" hidden="1">
      <c r="A173" s="482">
        <v>7</v>
      </c>
      <c r="B173" s="483" t="s">
        <v>1300</v>
      </c>
      <c r="C173" s="485"/>
      <c r="D173" s="485"/>
      <c r="E173" s="482" t="s">
        <v>954</v>
      </c>
      <c r="F173" s="484">
        <v>44616</v>
      </c>
      <c r="G173" s="427"/>
      <c r="H173" s="268"/>
    </row>
    <row r="174" spans="1:8" ht="30" hidden="1">
      <c r="A174" s="482">
        <v>8</v>
      </c>
      <c r="B174" s="483" t="s">
        <v>1301</v>
      </c>
      <c r="C174" s="485"/>
      <c r="D174" s="485"/>
      <c r="E174" s="482" t="s">
        <v>954</v>
      </c>
      <c r="F174" s="484">
        <v>44616</v>
      </c>
      <c r="G174" s="427"/>
      <c r="H174" s="268"/>
    </row>
    <row r="175" spans="1:8" ht="30" hidden="1">
      <c r="A175" s="482">
        <v>9</v>
      </c>
      <c r="B175" s="483" t="s">
        <v>1302</v>
      </c>
      <c r="C175" s="485"/>
      <c r="D175" s="485"/>
      <c r="E175" s="482" t="s">
        <v>954</v>
      </c>
      <c r="F175" s="484">
        <v>44616</v>
      </c>
      <c r="G175" s="427"/>
      <c r="H175" s="268"/>
    </row>
    <row r="176" spans="1:8" ht="30" hidden="1">
      <c r="A176" s="482">
        <v>10</v>
      </c>
      <c r="B176" s="483" t="s">
        <v>1303</v>
      </c>
      <c r="C176" s="485"/>
      <c r="D176" s="485"/>
      <c r="E176" s="482" t="s">
        <v>954</v>
      </c>
      <c r="F176" s="484">
        <v>44616</v>
      </c>
      <c r="G176" s="427"/>
      <c r="H176" s="268"/>
    </row>
    <row r="177" spans="1:8" ht="30" hidden="1">
      <c r="A177" s="482">
        <v>11</v>
      </c>
      <c r="B177" s="483" t="s">
        <v>1304</v>
      </c>
      <c r="C177" s="485"/>
      <c r="D177" s="485"/>
      <c r="E177" s="482" t="s">
        <v>954</v>
      </c>
      <c r="F177" s="484">
        <v>44616</v>
      </c>
      <c r="G177" s="427"/>
      <c r="H177" s="268"/>
    </row>
    <row r="178" spans="1:8" ht="30" hidden="1">
      <c r="A178" s="482">
        <v>12</v>
      </c>
      <c r="B178" s="483" t="s">
        <v>1305</v>
      </c>
      <c r="C178" s="485"/>
      <c r="D178" s="485"/>
      <c r="E178" s="482" t="s">
        <v>954</v>
      </c>
      <c r="F178" s="484">
        <v>44616</v>
      </c>
      <c r="G178" s="427"/>
      <c r="H178" s="268"/>
    </row>
    <row r="179" spans="1:8" ht="30" hidden="1">
      <c r="A179" s="482">
        <v>13</v>
      </c>
      <c r="B179" s="483" t="s">
        <v>1306</v>
      </c>
      <c r="C179" s="485"/>
      <c r="D179" s="485"/>
      <c r="E179" s="482" t="s">
        <v>954</v>
      </c>
      <c r="F179" s="484">
        <v>44616</v>
      </c>
      <c r="G179" s="427"/>
      <c r="H179" s="268"/>
    </row>
    <row r="180" spans="1:8" ht="30" hidden="1">
      <c r="A180" s="482">
        <v>14</v>
      </c>
      <c r="B180" s="483" t="s">
        <v>1307</v>
      </c>
      <c r="C180" s="485"/>
      <c r="D180" s="485"/>
      <c r="E180" s="482" t="s">
        <v>954</v>
      </c>
      <c r="F180" s="484">
        <v>44616</v>
      </c>
      <c r="G180" s="427"/>
      <c r="H180" s="268"/>
    </row>
    <row r="181" spans="1:6" ht="45" hidden="1">
      <c r="A181" s="482">
        <v>15</v>
      </c>
      <c r="B181" s="483" t="s">
        <v>1518</v>
      </c>
      <c r="C181" s="485"/>
      <c r="D181" s="485"/>
      <c r="E181" s="482" t="s">
        <v>954</v>
      </c>
      <c r="F181" s="484">
        <v>44634</v>
      </c>
    </row>
    <row r="182" spans="1:6" ht="45" hidden="1">
      <c r="A182" s="482">
        <v>16</v>
      </c>
      <c r="B182" s="483" t="s">
        <v>1517</v>
      </c>
      <c r="C182" s="485"/>
      <c r="D182" s="485"/>
      <c r="E182" s="482" t="s">
        <v>954</v>
      </c>
      <c r="F182" s="484">
        <v>44634</v>
      </c>
    </row>
    <row r="183" spans="1:6" ht="45" hidden="1">
      <c r="A183" s="482">
        <v>17</v>
      </c>
      <c r="B183" s="483" t="s">
        <v>1516</v>
      </c>
      <c r="C183" s="485"/>
      <c r="D183" s="485"/>
      <c r="E183" s="482" t="s">
        <v>954</v>
      </c>
      <c r="F183" s="484">
        <v>44634</v>
      </c>
    </row>
    <row r="184" spans="1:6" ht="45" hidden="1">
      <c r="A184" s="482">
        <v>18</v>
      </c>
      <c r="B184" s="483" t="s">
        <v>1515</v>
      </c>
      <c r="C184" s="485"/>
      <c r="D184" s="485"/>
      <c r="E184" s="482" t="s">
        <v>954</v>
      </c>
      <c r="F184" s="484">
        <v>44634</v>
      </c>
    </row>
    <row r="185" spans="1:6" ht="60" hidden="1">
      <c r="A185" s="482">
        <v>19</v>
      </c>
      <c r="B185" s="483" t="s">
        <v>1514</v>
      </c>
      <c r="C185" s="485"/>
      <c r="D185" s="485"/>
      <c r="E185" s="482" t="s">
        <v>954</v>
      </c>
      <c r="F185" s="484">
        <v>44634</v>
      </c>
    </row>
    <row r="186" spans="1:6" ht="60" hidden="1">
      <c r="A186" s="482">
        <v>20</v>
      </c>
      <c r="B186" s="483" t="s">
        <v>1513</v>
      </c>
      <c r="C186" s="485"/>
      <c r="D186" s="485"/>
      <c r="E186" s="482" t="s">
        <v>954</v>
      </c>
      <c r="F186" s="484">
        <v>44634</v>
      </c>
    </row>
    <row r="187" spans="1:6" ht="60" hidden="1">
      <c r="A187" s="482">
        <v>21</v>
      </c>
      <c r="B187" s="483" t="s">
        <v>1512</v>
      </c>
      <c r="C187" s="485"/>
      <c r="D187" s="485"/>
      <c r="E187" s="482" t="s">
        <v>954</v>
      </c>
      <c r="F187" s="484">
        <v>44634</v>
      </c>
    </row>
    <row r="188" spans="1:6" ht="60" hidden="1">
      <c r="A188" s="482">
        <v>22</v>
      </c>
      <c r="B188" s="483" t="s">
        <v>1511</v>
      </c>
      <c r="C188" s="485"/>
      <c r="D188" s="485"/>
      <c r="E188" s="482" t="s">
        <v>954</v>
      </c>
      <c r="F188" s="484">
        <v>44634</v>
      </c>
    </row>
    <row r="189" spans="1:6" ht="45.75" hidden="1" thickBot="1">
      <c r="A189" s="482">
        <v>23</v>
      </c>
      <c r="B189" s="483" t="s">
        <v>1401</v>
      </c>
      <c r="C189" s="485"/>
      <c r="D189" s="485"/>
      <c r="E189" s="482" t="s">
        <v>954</v>
      </c>
      <c r="F189" s="484">
        <v>44634</v>
      </c>
    </row>
    <row r="190" spans="1:15" ht="15">
      <c r="A190" s="500" t="s">
        <v>328</v>
      </c>
      <c r="B190" s="631" t="s">
        <v>1593</v>
      </c>
      <c r="C190" s="632"/>
      <c r="D190" s="633"/>
      <c r="E190" s="501" t="s">
        <v>332</v>
      </c>
      <c r="F190" s="502" t="s">
        <v>333</v>
      </c>
      <c r="G190" s="427"/>
      <c r="H190" s="268"/>
      <c r="O190" s="503"/>
    </row>
    <row r="191" spans="1:15" ht="15.75" thickBot="1">
      <c r="A191" s="504">
        <v>1</v>
      </c>
      <c r="B191" s="634" t="s">
        <v>1605</v>
      </c>
      <c r="C191" s="635"/>
      <c r="D191" s="636"/>
      <c r="E191" s="505" t="s">
        <v>1334</v>
      </c>
      <c r="F191" s="506">
        <v>44677</v>
      </c>
      <c r="G191" s="427"/>
      <c r="H191" s="268"/>
      <c r="O191" s="503"/>
    </row>
    <row r="192" spans="1:16" ht="15">
      <c r="A192" s="13" t="s">
        <v>1639</v>
      </c>
      <c r="B192" s="27" t="s">
        <v>1640</v>
      </c>
      <c r="C192" s="13" t="s">
        <v>33</v>
      </c>
      <c r="D192" s="13" t="s">
        <v>1333</v>
      </c>
      <c r="E192" s="13"/>
      <c r="F192" s="13" t="s">
        <v>12</v>
      </c>
      <c r="G192" s="442">
        <v>30</v>
      </c>
      <c r="H192" s="440">
        <v>10</v>
      </c>
      <c r="I192" s="28">
        <v>2</v>
      </c>
      <c r="J192" s="441">
        <f t="shared" si="30" ref="J192">H192/G192*I192</f>
        <v>0.66666666666666663</v>
      </c>
      <c r="K192" s="28">
        <v>1</v>
      </c>
      <c r="L192" s="267">
        <f t="shared" si="31" ref="L192">J192*K192</f>
        <v>0.66666666666666663</v>
      </c>
      <c r="M192" s="433">
        <f t="shared" si="32" ref="M192">L192*N192</f>
        <v>101.33333333333333</v>
      </c>
      <c r="N192" s="434">
        <v>152</v>
      </c>
      <c r="O192" s="435">
        <f t="shared" si="33" ref="O192">J192/I192*K192</f>
        <v>0.33333333333333331</v>
      </c>
      <c r="P192" s="21"/>
    </row>
    <row r="193" ht="15.75" thickBot="1"/>
    <row r="194" spans="1:7" ht="15">
      <c r="A194" s="500" t="s">
        <v>328</v>
      </c>
      <c r="B194" s="631" t="s">
        <v>1593</v>
      </c>
      <c r="C194" s="632"/>
      <c r="D194" s="633"/>
      <c r="E194" s="501" t="s">
        <v>332</v>
      </c>
      <c r="F194" s="502" t="s">
        <v>333</v>
      </c>
      <c r="G194" s="68"/>
    </row>
    <row r="195" spans="1:7" ht="15.75" thickBot="1">
      <c r="A195" s="504">
        <v>2</v>
      </c>
      <c r="B195" s="634" t="s">
        <v>1605</v>
      </c>
      <c r="C195" s="635"/>
      <c r="D195" s="636"/>
      <c r="E195" s="505" t="s">
        <v>1682</v>
      </c>
      <c r="F195" s="506">
        <v>44987</v>
      </c>
      <c r="G195" s="68"/>
    </row>
    <row r="196" spans="1:15" ht="30">
      <c r="A196" s="529" t="s">
        <v>1662</v>
      </c>
      <c r="B196" s="522" t="s">
        <v>1661</v>
      </c>
      <c r="C196" s="523" t="s">
        <v>9</v>
      </c>
      <c r="D196" s="523">
        <v>109</v>
      </c>
      <c r="E196" s="523"/>
      <c r="F196" s="524" t="s">
        <v>10</v>
      </c>
      <c r="G196" s="525">
        <v>33</v>
      </c>
      <c r="H196" s="526">
        <v>10</v>
      </c>
      <c r="I196" s="527">
        <v>1</v>
      </c>
      <c r="J196" s="528">
        <f t="shared" si="34" ref="J196:J200">H196/G196*I196</f>
        <v>0.30303030303030304</v>
      </c>
      <c r="K196" s="525">
        <f>(350*2)/1000</f>
        <v>0.70</v>
      </c>
      <c r="L196" s="267">
        <f t="shared" si="35" ref="L196:L200">J196*K196</f>
        <v>0.21212121212121213</v>
      </c>
      <c r="M196" s="266">
        <f t="shared" si="36" ref="M196:M200">L196*N196</f>
        <v>32.242424242424242</v>
      </c>
      <c r="N196" s="433">
        <v>152</v>
      </c>
      <c r="O196" s="267">
        <f t="shared" si="37" ref="O196:O200">J196/I196*K196</f>
        <v>0.21212121212121213</v>
      </c>
    </row>
    <row r="197" spans="1:15" ht="30">
      <c r="A197" s="523" t="s">
        <v>1668</v>
      </c>
      <c r="B197" s="522" t="s">
        <v>1670</v>
      </c>
      <c r="C197" s="523" t="s">
        <v>33</v>
      </c>
      <c r="D197" s="523">
        <v>116</v>
      </c>
      <c r="E197" s="523"/>
      <c r="F197" s="523" t="s">
        <v>1666</v>
      </c>
      <c r="G197" s="527">
        <v>15.39</v>
      </c>
      <c r="H197" s="530">
        <v>10</v>
      </c>
      <c r="I197" s="527">
        <v>2</v>
      </c>
      <c r="J197" s="531">
        <f t="shared" si="34"/>
        <v>1.2995451591942819</v>
      </c>
      <c r="K197" s="527">
        <v>1</v>
      </c>
      <c r="L197" s="267">
        <f t="shared" si="35"/>
        <v>1.2995451591942819</v>
      </c>
      <c r="M197" s="433">
        <f t="shared" si="36"/>
        <v>259.90903183885638</v>
      </c>
      <c r="N197" s="434">
        <v>200</v>
      </c>
      <c r="O197" s="435">
        <f t="shared" si="37"/>
        <v>0.64977257959714096</v>
      </c>
    </row>
    <row r="198" spans="1:15" ht="30">
      <c r="A198" s="523" t="s">
        <v>1669</v>
      </c>
      <c r="B198" s="522" t="s">
        <v>1671</v>
      </c>
      <c r="C198" s="523" t="s">
        <v>33</v>
      </c>
      <c r="D198" s="523">
        <v>116</v>
      </c>
      <c r="E198" s="523"/>
      <c r="F198" s="523" t="s">
        <v>10</v>
      </c>
      <c r="G198" s="527">
        <v>40</v>
      </c>
      <c r="H198" s="530">
        <v>10</v>
      </c>
      <c r="I198" s="527">
        <v>1</v>
      </c>
      <c r="J198" s="531">
        <f t="shared" si="34"/>
        <v>0.25</v>
      </c>
      <c r="K198" s="525">
        <f>2886/1000</f>
        <v>2.8860000000000001</v>
      </c>
      <c r="L198" s="267">
        <f t="shared" si="35"/>
        <v>0.72150000000000003</v>
      </c>
      <c r="M198" s="433">
        <f t="shared" si="36"/>
        <v>144.30000000000001</v>
      </c>
      <c r="N198" s="434">
        <v>200</v>
      </c>
      <c r="O198" s="435">
        <f t="shared" si="37"/>
        <v>0.72150000000000003</v>
      </c>
    </row>
    <row r="199" spans="1:15" ht="30">
      <c r="A199" s="523" t="s">
        <v>1663</v>
      </c>
      <c r="B199" s="522" t="s">
        <v>1665</v>
      </c>
      <c r="C199" s="523" t="s">
        <v>33</v>
      </c>
      <c r="D199" s="523">
        <v>116</v>
      </c>
      <c r="E199" s="523"/>
      <c r="F199" s="523" t="s">
        <v>1666</v>
      </c>
      <c r="G199" s="527">
        <v>14.51</v>
      </c>
      <c r="H199" s="530">
        <v>10</v>
      </c>
      <c r="I199" s="527">
        <v>2</v>
      </c>
      <c r="J199" s="531">
        <f t="shared" si="34"/>
        <v>1.3783597518952446</v>
      </c>
      <c r="K199" s="527">
        <v>1</v>
      </c>
      <c r="L199" s="267">
        <f t="shared" si="35"/>
        <v>1.3783597518952446</v>
      </c>
      <c r="M199" s="433">
        <f t="shared" si="36"/>
        <v>275.67195037904895</v>
      </c>
      <c r="N199" s="434">
        <v>200</v>
      </c>
      <c r="O199" s="435">
        <f t="shared" si="37"/>
        <v>0.68917987594762231</v>
      </c>
    </row>
    <row r="200" spans="1:15" ht="30">
      <c r="A200" s="523" t="s">
        <v>1664</v>
      </c>
      <c r="B200" s="522" t="s">
        <v>1667</v>
      </c>
      <c r="C200" s="523" t="s">
        <v>33</v>
      </c>
      <c r="D200" s="523">
        <v>116</v>
      </c>
      <c r="E200" s="523"/>
      <c r="F200" s="523" t="s">
        <v>10</v>
      </c>
      <c r="G200" s="527">
        <v>40</v>
      </c>
      <c r="H200" s="530">
        <v>10</v>
      </c>
      <c r="I200" s="527">
        <v>1</v>
      </c>
      <c r="J200" s="531">
        <f t="shared" si="34"/>
        <v>0.25</v>
      </c>
      <c r="K200" s="525">
        <f>2960/1000</f>
        <v>2.96</v>
      </c>
      <c r="L200" s="267">
        <f t="shared" si="35"/>
        <v>0.74</v>
      </c>
      <c r="M200" s="433">
        <f t="shared" si="36"/>
        <v>148</v>
      </c>
      <c r="N200" s="434">
        <v>200</v>
      </c>
      <c r="O200" s="435">
        <f t="shared" si="37"/>
        <v>0.74</v>
      </c>
    </row>
    <row r="201" ht="15.75" thickBot="1"/>
    <row r="202" spans="1:6" ht="15">
      <c r="A202" s="500" t="s">
        <v>328</v>
      </c>
      <c r="B202" s="631" t="s">
        <v>1593</v>
      </c>
      <c r="C202" s="632"/>
      <c r="D202" s="633"/>
      <c r="E202" s="501" t="s">
        <v>332</v>
      </c>
      <c r="F202" s="502" t="s">
        <v>333</v>
      </c>
    </row>
    <row r="203" spans="1:6" ht="15.75" thickBot="1">
      <c r="A203" s="504">
        <v>3</v>
      </c>
      <c r="B203" s="634" t="s">
        <v>1605</v>
      </c>
      <c r="C203" s="635"/>
      <c r="D203" s="636"/>
      <c r="E203" s="505" t="s">
        <v>1682</v>
      </c>
      <c r="F203" s="506">
        <v>45055</v>
      </c>
    </row>
    <row r="204" spans="1:15" ht="15">
      <c r="A204" s="523" t="s">
        <v>1695</v>
      </c>
      <c r="B204" s="522" t="s">
        <v>1696</v>
      </c>
      <c r="C204" s="523" t="s">
        <v>33</v>
      </c>
      <c r="D204" s="523">
        <v>226</v>
      </c>
      <c r="E204" s="523"/>
      <c r="F204" s="523" t="s">
        <v>12</v>
      </c>
      <c r="G204" s="527">
        <v>20</v>
      </c>
      <c r="H204" s="530">
        <v>10</v>
      </c>
      <c r="I204" s="527">
        <v>1</v>
      </c>
      <c r="J204" s="531">
        <f t="shared" si="38" ref="J204">H204/G204*I204</f>
        <v>0.50</v>
      </c>
      <c r="K204" s="527">
        <v>1</v>
      </c>
      <c r="L204" s="267">
        <f t="shared" si="39" ref="L204">J204*K204</f>
        <v>0.50</v>
      </c>
      <c r="M204" s="433">
        <f t="shared" si="40" ref="M204">L204*N204</f>
        <v>100</v>
      </c>
      <c r="N204" s="434">
        <v>200</v>
      </c>
      <c r="O204" s="435">
        <f t="shared" si="41" ref="O204">J204/I204*K204</f>
        <v>0.50</v>
      </c>
    </row>
    <row r="205" ht="15.75" thickBot="1"/>
    <row r="206" spans="1:6" ht="15">
      <c r="A206" s="500" t="s">
        <v>328</v>
      </c>
      <c r="B206" s="631" t="s">
        <v>1593</v>
      </c>
      <c r="C206" s="632"/>
      <c r="D206" s="633"/>
      <c r="E206" s="501" t="s">
        <v>332</v>
      </c>
      <c r="F206" s="502" t="s">
        <v>333</v>
      </c>
    </row>
    <row r="207" spans="1:6" ht="15.75" thickBot="1">
      <c r="A207" s="504">
        <v>4</v>
      </c>
      <c r="B207" s="634" t="s">
        <v>1657</v>
      </c>
      <c r="C207" s="635"/>
      <c r="D207" s="636"/>
      <c r="E207" s="505" t="s">
        <v>1697</v>
      </c>
      <c r="F207" s="506">
        <v>45142</v>
      </c>
    </row>
    <row r="208" spans="1:16" ht="15">
      <c r="A208" s="13" t="s">
        <v>292</v>
      </c>
      <c r="B208" s="27" t="s">
        <v>21</v>
      </c>
      <c r="C208" s="13" t="s">
        <v>33</v>
      </c>
      <c r="D208" s="13">
        <v>219</v>
      </c>
      <c r="E208" s="13"/>
      <c r="F208" s="13" t="s">
        <v>12</v>
      </c>
      <c r="G208" s="436">
        <v>5.34</v>
      </c>
      <c r="H208" s="440">
        <v>10</v>
      </c>
      <c r="I208" s="28">
        <v>2</v>
      </c>
      <c r="J208" s="441">
        <f t="shared" si="42" ref="J208:J209">H208/G208*I208</f>
        <v>3.7453183520599254</v>
      </c>
      <c r="K208" s="28">
        <v>1</v>
      </c>
      <c r="L208" s="267">
        <f t="shared" si="43" ref="L208:L209">J208*K208</f>
        <v>3.7453183520599254</v>
      </c>
      <c r="M208" s="433">
        <f t="shared" si="44" ref="M208:M209">L208*N208</f>
        <v>621.72284644194758</v>
      </c>
      <c r="N208" s="434">
        <v>166</v>
      </c>
      <c r="O208" s="435">
        <f t="shared" si="45" ref="O208:O209">J208/I208*K208</f>
        <v>1.8726591760299627</v>
      </c>
      <c r="P208" s="22"/>
    </row>
    <row r="209" spans="1:16" ht="15">
      <c r="A209" s="13" t="s">
        <v>292</v>
      </c>
      <c r="B209" s="27" t="s">
        <v>21</v>
      </c>
      <c r="C209" s="13" t="s">
        <v>33</v>
      </c>
      <c r="D209" s="13">
        <v>219</v>
      </c>
      <c r="E209" s="13"/>
      <c r="F209" s="13" t="s">
        <v>12</v>
      </c>
      <c r="G209" s="569">
        <f t="shared" si="46" ref="G209">5.34*2</f>
        <v>10.68</v>
      </c>
      <c r="H209" s="440">
        <v>10</v>
      </c>
      <c r="I209" s="28">
        <v>2</v>
      </c>
      <c r="J209" s="441">
        <f t="shared" si="42"/>
        <v>1.8726591760299627</v>
      </c>
      <c r="K209" s="28">
        <v>1</v>
      </c>
      <c r="L209" s="267">
        <f t="shared" si="43"/>
        <v>1.8726591760299627</v>
      </c>
      <c r="M209" s="433">
        <f t="shared" si="44"/>
        <v>310.86142322097379</v>
      </c>
      <c r="N209" s="434">
        <v>166</v>
      </c>
      <c r="O209" s="435">
        <f t="shared" si="45"/>
        <v>0.93632958801498134</v>
      </c>
      <c r="P209" s="22"/>
    </row>
  </sheetData>
  <autoFilter ref="A4:P156"/>
  <mergeCells count="48">
    <mergeCell ref="B47:K47"/>
    <mergeCell ref="A50:A51"/>
    <mergeCell ref="B50:B51"/>
    <mergeCell ref="A33:A35"/>
    <mergeCell ref="B33:B35"/>
    <mergeCell ref="E33:E35"/>
    <mergeCell ref="A37:A38"/>
    <mergeCell ref="B37:B38"/>
    <mergeCell ref="E50:E51"/>
    <mergeCell ref="A22:A24"/>
    <mergeCell ref="B22:B24"/>
    <mergeCell ref="E22:E24"/>
    <mergeCell ref="A31:A32"/>
    <mergeCell ref="B31:B32"/>
    <mergeCell ref="E31:E32"/>
    <mergeCell ref="B5:K5"/>
    <mergeCell ref="B18:K18"/>
    <mergeCell ref="A20:A21"/>
    <mergeCell ref="B20:B21"/>
    <mergeCell ref="E20:E21"/>
    <mergeCell ref="A93:A94"/>
    <mergeCell ref="B93:B94"/>
    <mergeCell ref="A52:A54"/>
    <mergeCell ref="B52:B54"/>
    <mergeCell ref="E52:E54"/>
    <mergeCell ref="A57:A58"/>
    <mergeCell ref="B57:B58"/>
    <mergeCell ref="B61:K61"/>
    <mergeCell ref="A62:A64"/>
    <mergeCell ref="B62:B64"/>
    <mergeCell ref="B74:K74"/>
    <mergeCell ref="B81:K81"/>
    <mergeCell ref="B85:K85"/>
    <mergeCell ref="B132:K132"/>
    <mergeCell ref="B190:D190"/>
    <mergeCell ref="B191:D191"/>
    <mergeCell ref="A106:A107"/>
    <mergeCell ref="B106:B107"/>
    <mergeCell ref="A108:A109"/>
    <mergeCell ref="B108:B109"/>
    <mergeCell ref="A110:A111"/>
    <mergeCell ref="B110:B111"/>
    <mergeCell ref="B206:D206"/>
    <mergeCell ref="B207:D207"/>
    <mergeCell ref="B202:D202"/>
    <mergeCell ref="B203:D203"/>
    <mergeCell ref="B194:D194"/>
    <mergeCell ref="B195:D19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09"/>
  <sheetViews>
    <sheetView zoomScale="85" zoomScaleNormal="85" workbookViewId="0" topLeftCell="A1">
      <pane ySplit="4" topLeftCell="A193" activePane="bottomLeft" state="frozen"/>
      <selection pane="topLeft" activeCell="A1" sqref="A1"/>
      <selection pane="bottomLeft" activeCell="A206" sqref="A206:XFD207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2.571428571428573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44519</v>
      </c>
    </row>
    <row r="2" spans="2:9" ht="31.5">
      <c r="B2" s="492" t="s">
        <v>1158</v>
      </c>
      <c r="F2" s="429" t="s">
        <v>22</v>
      </c>
      <c r="G2" s="268">
        <f>1020/1000</f>
        <v>1.02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SUM(M6:M18)</f>
        <v>489.98400000000009</v>
      </c>
      <c r="N5" s="263"/>
      <c r="O5" s="264">
        <f>SUM(O6:O18)</f>
        <v>2.7839999999999998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8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14</v>
      </c>
      <c r="L6" s="465">
        <f t="shared" si="1" ref="L6:L18">J6*K6</f>
        <v>0.27300000000000002</v>
      </c>
      <c r="M6" s="466">
        <f t="shared" si="2" ref="M6:M18">L6*N6</f>
        <v>48.048000000000002</v>
      </c>
      <c r="N6" s="466">
        <v>176</v>
      </c>
      <c r="O6" s="456">
        <f t="shared" si="3" ref="O6:O18">J6/I6*K6</f>
        <v>0.27300000000000002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3</v>
      </c>
      <c r="L9" s="465">
        <f t="shared" si="1"/>
        <v>0.051500000000000004</v>
      </c>
      <c r="M9" s="466">
        <f t="shared" si="2"/>
        <v>9.0640000000000001</v>
      </c>
      <c r="N9" s="466">
        <v>176</v>
      </c>
      <c r="O9" s="456">
        <f t="shared" si="3"/>
        <v>0.051500000000000004</v>
      </c>
    </row>
    <row r="10" spans="1:15" s="457" customFormat="1" ht="15">
      <c r="A10" s="459" t="s">
        <v>839</v>
      </c>
      <c r="B10" s="494" t="s">
        <v>853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29.239766081871348</v>
      </c>
      <c r="H10" s="462">
        <v>10</v>
      </c>
      <c r="I10" s="463">
        <v>1</v>
      </c>
      <c r="J10" s="464">
        <f>20.52/60</f>
        <v>0.34199999999999997</v>
      </c>
      <c r="K10" s="461">
        <v>1</v>
      </c>
      <c r="L10" s="465">
        <f t="shared" si="1"/>
        <v>0.34199999999999997</v>
      </c>
      <c r="M10" s="466">
        <f t="shared" si="2"/>
        <v>60.191999999999993</v>
      </c>
      <c r="N10" s="466">
        <v>176</v>
      </c>
      <c r="O10" s="456">
        <f t="shared" si="3"/>
        <v>0.34199999999999997</v>
      </c>
    </row>
    <row r="11" spans="1:15" s="457" customFormat="1" ht="15">
      <c r="A11" s="459" t="s">
        <v>840</v>
      </c>
      <c r="B11" s="494" t="s">
        <v>1159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555.55555555555554</v>
      </c>
      <c r="H11" s="462">
        <v>10</v>
      </c>
      <c r="I11" s="463">
        <v>1</v>
      </c>
      <c r="J11" s="464">
        <f>1.08/60</f>
        <v>0.018000000000000002</v>
      </c>
      <c r="K11" s="461">
        <v>1</v>
      </c>
      <c r="L11" s="465">
        <f t="shared" si="1"/>
        <v>0.018000000000000002</v>
      </c>
      <c r="M11" s="466">
        <f t="shared" si="2"/>
        <v>3.1680000000000001</v>
      </c>
      <c r="N11" s="466">
        <v>176</v>
      </c>
      <c r="O11" s="456">
        <f t="shared" si="3"/>
        <v>0.018000000000000002</v>
      </c>
    </row>
    <row r="12" spans="1:15" s="457" customFormat="1" ht="15">
      <c r="A12" s="459" t="s">
        <v>841</v>
      </c>
      <c r="B12" s="494" t="s">
        <v>920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495.86776859504135</v>
      </c>
      <c r="H12" s="462">
        <v>10</v>
      </c>
      <c r="I12" s="463">
        <v>1</v>
      </c>
      <c r="J12" s="464">
        <f>1.21/60</f>
        <v>0.020166666666666666</v>
      </c>
      <c r="K12" s="461">
        <v>5</v>
      </c>
      <c r="L12" s="465">
        <f t="shared" si="1"/>
        <v>0.10083333333333333</v>
      </c>
      <c r="M12" s="466">
        <f t="shared" si="2"/>
        <v>17.746666666666666</v>
      </c>
      <c r="N12" s="466">
        <v>176</v>
      </c>
      <c r="O12" s="456">
        <f t="shared" si="3"/>
        <v>0.10083333333333333</v>
      </c>
    </row>
    <row r="13" spans="1:15" s="457" customFormat="1" ht="15">
      <c r="A13" s="459" t="s">
        <v>842</v>
      </c>
      <c r="B13" s="494" t="s">
        <v>857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322.58064516129036</v>
      </c>
      <c r="H13" s="462">
        <v>10</v>
      </c>
      <c r="I13" s="463">
        <v>1</v>
      </c>
      <c r="J13" s="464">
        <f>1.86/60</f>
        <v>0.030999999999999996</v>
      </c>
      <c r="K13" s="461">
        <v>1</v>
      </c>
      <c r="L13" s="465">
        <f t="shared" si="1"/>
        <v>0.030999999999999996</v>
      </c>
      <c r="M13" s="466">
        <f t="shared" si="2"/>
        <v>5.4559999999999995</v>
      </c>
      <c r="N13" s="466">
        <v>176</v>
      </c>
      <c r="O13" s="456">
        <f t="shared" si="3"/>
        <v>0.030999999999999996</v>
      </c>
    </row>
    <row r="14" spans="1:15" s="457" customFormat="1" ht="15">
      <c r="A14" s="459" t="s">
        <v>843</v>
      </c>
      <c r="B14" s="494" t="s">
        <v>856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257.51072961373387</v>
      </c>
      <c r="H14" s="462">
        <v>10</v>
      </c>
      <c r="I14" s="463">
        <v>1</v>
      </c>
      <c r="J14" s="464">
        <f>2.33/60</f>
        <v>0.038833333333333338</v>
      </c>
      <c r="K14" s="461">
        <v>34</v>
      </c>
      <c r="L14" s="465">
        <f t="shared" si="1"/>
        <v>1.3203333333333336</v>
      </c>
      <c r="M14" s="466">
        <f t="shared" si="2"/>
        <v>232.3786666666667</v>
      </c>
      <c r="N14" s="466">
        <v>176</v>
      </c>
      <c r="O14" s="456">
        <f t="shared" si="3"/>
        <v>1.3203333333333336</v>
      </c>
    </row>
    <row r="15" spans="1:15" s="457" customFormat="1" ht="15">
      <c r="A15" s="459" t="s">
        <v>844</v>
      </c>
      <c r="B15" s="494" t="s">
        <v>919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96.774193548387103</v>
      </c>
      <c r="H15" s="462">
        <v>10</v>
      </c>
      <c r="I15" s="463">
        <v>1</v>
      </c>
      <c r="J15" s="464">
        <f>6.2/60</f>
        <v>0.10333333333333333</v>
      </c>
      <c r="K15" s="461">
        <v>2</v>
      </c>
      <c r="L15" s="465">
        <f t="shared" si="1"/>
        <v>0.20666666666666667</v>
      </c>
      <c r="M15" s="466">
        <f t="shared" si="2"/>
        <v>36.373333333333335</v>
      </c>
      <c r="N15" s="466">
        <v>176</v>
      </c>
      <c r="O15" s="456">
        <f t="shared" si="3"/>
        <v>0.20666666666666667</v>
      </c>
    </row>
    <row r="16" spans="1:15" s="457" customFormat="1" ht="15">
      <c r="A16" s="459" t="s">
        <v>845</v>
      </c>
      <c r="B16" s="494" t="s">
        <v>854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631.57894736842115</v>
      </c>
      <c r="H16" s="462">
        <v>10</v>
      </c>
      <c r="I16" s="463">
        <v>1</v>
      </c>
      <c r="J16" s="464">
        <f>0.95/60</f>
        <v>0.015833333333333331</v>
      </c>
      <c r="K16" s="461">
        <v>8</v>
      </c>
      <c r="L16" s="465">
        <f t="shared" si="1"/>
        <v>0.12666666666666665</v>
      </c>
      <c r="M16" s="466">
        <f t="shared" si="2"/>
        <v>22.293333333333329</v>
      </c>
      <c r="N16" s="466">
        <v>176</v>
      </c>
      <c r="O16" s="456">
        <f t="shared" si="3"/>
        <v>0.12666666666666665</v>
      </c>
    </row>
    <row r="17" spans="1:15" s="457" customFormat="1" ht="15">
      <c r="A17" s="459" t="s">
        <v>846</v>
      </c>
      <c r="B17" s="494" t="s">
        <v>855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454.5454545454545</v>
      </c>
      <c r="H17" s="462">
        <v>10</v>
      </c>
      <c r="I17" s="463">
        <v>1</v>
      </c>
      <c r="J17" s="464">
        <f>1.32/60</f>
        <v>0.022000000000000002</v>
      </c>
      <c r="K17" s="461">
        <v>4</v>
      </c>
      <c r="L17" s="465">
        <f t="shared" si="1"/>
        <v>0.088000000000000009</v>
      </c>
      <c r="M17" s="466">
        <f t="shared" si="2"/>
        <v>15.488000000000001</v>
      </c>
      <c r="N17" s="466">
        <v>176</v>
      </c>
      <c r="O17" s="456">
        <f t="shared" si="3"/>
        <v>0.088000000000000009</v>
      </c>
    </row>
    <row r="18" spans="1:15" s="457" customFormat="1" ht="15">
      <c r="A18" s="459" t="s">
        <v>847</v>
      </c>
      <c r="B18" s="494" t="s">
        <v>861</v>
      </c>
      <c r="C18" s="460" t="s">
        <v>532</v>
      </c>
      <c r="D18" s="460" t="s">
        <v>1330</v>
      </c>
      <c r="E18" s="460"/>
      <c r="F18" s="460" t="s">
        <v>533</v>
      </c>
      <c r="G18" s="461">
        <f t="shared" si="0"/>
        <v>857.14285714285722</v>
      </c>
      <c r="H18" s="462">
        <v>10</v>
      </c>
      <c r="I18" s="463">
        <v>1</v>
      </c>
      <c r="J18" s="464">
        <f>0.7/60</f>
        <v>0.011666666666666665</v>
      </c>
      <c r="K18" s="461">
        <v>2</v>
      </c>
      <c r="L18" s="465">
        <f t="shared" si="1"/>
        <v>0.023333333333333331</v>
      </c>
      <c r="M18" s="466">
        <f t="shared" si="2"/>
        <v>4.1066666666666665</v>
      </c>
      <c r="N18" s="466">
        <v>176</v>
      </c>
      <c r="O18" s="456">
        <f t="shared" si="3"/>
        <v>0.023333333333333331</v>
      </c>
    </row>
    <row r="19" spans="1:15" ht="15">
      <c r="A19" s="39"/>
      <c r="B19" s="649" t="s">
        <v>130</v>
      </c>
      <c r="C19" s="649"/>
      <c r="D19" s="649"/>
      <c r="E19" s="649"/>
      <c r="F19" s="649"/>
      <c r="G19" s="649"/>
      <c r="H19" s="649"/>
      <c r="I19" s="649"/>
      <c r="J19" s="649"/>
      <c r="K19" s="649"/>
      <c r="L19" s="265"/>
      <c r="M19" s="262">
        <f>SUM(M20:M47)</f>
        <v>3183.7379261432043</v>
      </c>
      <c r="N19" s="430"/>
      <c r="O19" s="264">
        <f>SUM(O20:O47)</f>
        <v>13.781804147824273</v>
      </c>
    </row>
    <row r="20" spans="1:15" s="0" customFormat="1" ht="15">
      <c r="A20" s="57" t="s">
        <v>143</v>
      </c>
      <c r="B20" s="56" t="s">
        <v>144</v>
      </c>
      <c r="C20" s="13" t="s">
        <v>1160</v>
      </c>
      <c r="D20" s="13">
        <v>105</v>
      </c>
      <c r="E20" s="13"/>
      <c r="F20" s="17" t="s">
        <v>353</v>
      </c>
      <c r="G20" s="469">
        <v>20.70</v>
      </c>
      <c r="H20" s="252">
        <v>10</v>
      </c>
      <c r="I20" s="16">
        <v>1</v>
      </c>
      <c r="J20" s="253">
        <f>H20/G20*I20</f>
        <v>0.48309178743961356</v>
      </c>
      <c r="K20" s="52">
        <v>1</v>
      </c>
      <c r="L20" s="26">
        <f t="shared" si="4" ref="L20:L47">J20*K20</f>
        <v>0.48309178743961356</v>
      </c>
      <c r="M20" s="43">
        <f>L20*N20</f>
        <v>96.618357487922708</v>
      </c>
      <c r="N20" s="85">
        <v>200</v>
      </c>
      <c r="O20" s="8">
        <f>J20/I20*K20</f>
        <v>0.48309178743961356</v>
      </c>
    </row>
    <row r="21" spans="1:15" s="0" customFormat="1" ht="15">
      <c r="A21" s="650" t="s">
        <v>146</v>
      </c>
      <c r="B21" s="638" t="s">
        <v>411</v>
      </c>
      <c r="C21" s="13" t="s">
        <v>1161</v>
      </c>
      <c r="D21" s="13">
        <v>109</v>
      </c>
      <c r="E21" s="637" t="s">
        <v>911</v>
      </c>
      <c r="F21" s="17" t="s">
        <v>10</v>
      </c>
      <c r="G21" s="16">
        <v>40</v>
      </c>
      <c r="H21" s="252">
        <v>10</v>
      </c>
      <c r="I21" s="16">
        <v>1</v>
      </c>
      <c r="J21" s="253">
        <f t="shared" si="5" ref="J21:J47">H21/G21*I21</f>
        <v>0.25</v>
      </c>
      <c r="K21" s="260">
        <f>1070/1000+0.1</f>
        <v>1.1700000000000002</v>
      </c>
      <c r="L21" s="26">
        <f t="shared" si="4"/>
        <v>0.29250000000000004</v>
      </c>
      <c r="M21" s="43">
        <f t="shared" si="6" ref="M21:M47">L21*N21</f>
        <v>58.500000000000007</v>
      </c>
      <c r="N21" s="85">
        <v>200</v>
      </c>
      <c r="O21" s="8">
        <f t="shared" si="7" ref="O21:O47">J21/I21*K21</f>
        <v>0.29250000000000004</v>
      </c>
    </row>
    <row r="22" spans="1:15" s="0" customFormat="1" ht="15">
      <c r="A22" s="637"/>
      <c r="B22" s="638"/>
      <c r="C22" s="13" t="s">
        <v>1162</v>
      </c>
      <c r="D22" s="13">
        <v>109</v>
      </c>
      <c r="E22" s="637"/>
      <c r="F22" s="17" t="s">
        <v>10</v>
      </c>
      <c r="G22" s="16">
        <v>27</v>
      </c>
      <c r="H22" s="252">
        <v>10</v>
      </c>
      <c r="I22" s="16">
        <v>1</v>
      </c>
      <c r="J22" s="253">
        <f t="shared" si="5"/>
        <v>0.37037037037037035</v>
      </c>
      <c r="K22" s="260">
        <f>1070/1000+0.1</f>
        <v>1.1700000000000002</v>
      </c>
      <c r="L22" s="26">
        <f t="shared" si="4"/>
        <v>0.43333333333333335</v>
      </c>
      <c r="M22" s="43">
        <f t="shared" si="6"/>
        <v>86.666666666666671</v>
      </c>
      <c r="N22" s="85">
        <v>200</v>
      </c>
      <c r="O22" s="8">
        <f t="shared" si="7"/>
        <v>0.43333333333333335</v>
      </c>
    </row>
    <row r="23" spans="1:15" s="0" customFormat="1" ht="15">
      <c r="A23" s="650" t="s">
        <v>148</v>
      </c>
      <c r="B23" s="638" t="s">
        <v>412</v>
      </c>
      <c r="C23" s="13" t="s">
        <v>1163</v>
      </c>
      <c r="D23" s="13">
        <v>107</v>
      </c>
      <c r="E23" s="637" t="s">
        <v>43</v>
      </c>
      <c r="F23" s="17" t="s">
        <v>10</v>
      </c>
      <c r="G23" s="16">
        <v>40</v>
      </c>
      <c r="H23" s="252">
        <v>10</v>
      </c>
      <c r="I23" s="16">
        <v>1</v>
      </c>
      <c r="J23" s="253">
        <f t="shared" si="5"/>
        <v>0.25</v>
      </c>
      <c r="K23" s="30">
        <f>(1070)/1000+0.1</f>
        <v>1.1700000000000002</v>
      </c>
      <c r="L23" s="26">
        <f t="shared" si="4"/>
        <v>0.29250000000000004</v>
      </c>
      <c r="M23" s="43">
        <f t="shared" si="6"/>
        <v>58.500000000000007</v>
      </c>
      <c r="N23" s="85">
        <v>200</v>
      </c>
      <c r="O23" s="8">
        <f t="shared" si="7"/>
        <v>0.29250000000000004</v>
      </c>
    </row>
    <row r="24" spans="1:15" s="0" customFormat="1" ht="15">
      <c r="A24" s="650"/>
      <c r="B24" s="638"/>
      <c r="C24" s="13" t="s">
        <v>1164</v>
      </c>
      <c r="D24" s="13">
        <v>107</v>
      </c>
      <c r="E24" s="637"/>
      <c r="F24" s="17" t="s">
        <v>10</v>
      </c>
      <c r="G24" s="16">
        <v>25</v>
      </c>
      <c r="H24" s="252">
        <v>10</v>
      </c>
      <c r="I24" s="16">
        <v>1</v>
      </c>
      <c r="J24" s="253">
        <f t="shared" si="5"/>
        <v>0.40</v>
      </c>
      <c r="K24" s="30">
        <f>(1070)/1000</f>
        <v>1.0700000000000001</v>
      </c>
      <c r="L24" s="26">
        <f t="shared" si="4"/>
        <v>0.42800000000000005</v>
      </c>
      <c r="M24" s="43">
        <f t="shared" si="6"/>
        <v>75.328000000000003</v>
      </c>
      <c r="N24" s="85">
        <v>176</v>
      </c>
      <c r="O24" s="8">
        <f t="shared" si="7"/>
        <v>0.42800000000000005</v>
      </c>
    </row>
    <row r="25" spans="1:15" s="0" customFormat="1" ht="15">
      <c r="A25" s="650"/>
      <c r="B25" s="638"/>
      <c r="C25" s="13" t="s">
        <v>1165</v>
      </c>
      <c r="D25" s="13">
        <v>107</v>
      </c>
      <c r="E25" s="637"/>
      <c r="F25" s="17" t="s">
        <v>10</v>
      </c>
      <c r="G25" s="16">
        <v>28.50</v>
      </c>
      <c r="H25" s="252">
        <v>10</v>
      </c>
      <c r="I25" s="16">
        <v>1</v>
      </c>
      <c r="J25" s="253">
        <f t="shared" si="5"/>
        <v>0.35087719298245612</v>
      </c>
      <c r="K25" s="30">
        <f>(1070)/1000+0.1</f>
        <v>1.1700000000000002</v>
      </c>
      <c r="L25" s="26">
        <f t="shared" si="4"/>
        <v>0.41052631578947374</v>
      </c>
      <c r="M25" s="43">
        <f t="shared" si="6"/>
        <v>82.105263157894754</v>
      </c>
      <c r="N25" s="85">
        <v>200</v>
      </c>
      <c r="O25" s="8">
        <f t="shared" si="7"/>
        <v>0.41052631578947374</v>
      </c>
    </row>
    <row r="26" spans="1:15" s="0" customFormat="1" ht="30">
      <c r="A26" s="57" t="s">
        <v>421</v>
      </c>
      <c r="B26" s="56" t="s">
        <v>149</v>
      </c>
      <c r="C26" s="13" t="s">
        <v>1160</v>
      </c>
      <c r="D26" s="13">
        <v>105</v>
      </c>
      <c r="E26" s="13"/>
      <c r="F26" s="17" t="s">
        <v>353</v>
      </c>
      <c r="G26" s="469">
        <f>20.7/0.65</f>
        <v>31.846153846153843</v>
      </c>
      <c r="H26" s="252">
        <v>10</v>
      </c>
      <c r="I26" s="16">
        <v>1</v>
      </c>
      <c r="J26" s="253">
        <f t="shared" si="5"/>
        <v>0.3140096618357488</v>
      </c>
      <c r="K26" s="52">
        <v>1</v>
      </c>
      <c r="L26" s="26">
        <f t="shared" si="4"/>
        <v>0.3140096618357488</v>
      </c>
      <c r="M26" s="43">
        <f t="shared" si="6"/>
        <v>62.80193236714976</v>
      </c>
      <c r="N26" s="43">
        <v>200</v>
      </c>
      <c r="O26" s="8">
        <f t="shared" si="7"/>
        <v>0.3140096618357488</v>
      </c>
    </row>
    <row r="27" spans="1:15" s="0" customFormat="1" ht="30">
      <c r="A27" s="565" t="s">
        <v>1662</v>
      </c>
      <c r="B27" s="522" t="s">
        <v>1661</v>
      </c>
      <c r="C27" s="523" t="s">
        <v>9</v>
      </c>
      <c r="D27" s="523">
        <v>109</v>
      </c>
      <c r="E27" s="523"/>
      <c r="F27" s="524" t="s">
        <v>10</v>
      </c>
      <c r="G27" s="525">
        <v>33</v>
      </c>
      <c r="H27" s="526">
        <v>10</v>
      </c>
      <c r="I27" s="527">
        <v>1</v>
      </c>
      <c r="J27" s="528">
        <f t="shared" si="5"/>
        <v>0.30303030303030304</v>
      </c>
      <c r="K27" s="525">
        <f>(350*2)/1000</f>
        <v>0.70</v>
      </c>
      <c r="L27" s="267">
        <f t="shared" si="4"/>
        <v>0.21212121212121213</v>
      </c>
      <c r="M27" s="266">
        <f t="shared" si="6"/>
        <v>32.242424242424242</v>
      </c>
      <c r="N27" s="433">
        <v>152</v>
      </c>
      <c r="O27" s="267">
        <f t="shared" si="7"/>
        <v>0.21212121212121213</v>
      </c>
    </row>
    <row r="28" spans="1:15" ht="15">
      <c r="A28" s="57" t="s">
        <v>152</v>
      </c>
      <c r="B28" s="56" t="s">
        <v>153</v>
      </c>
      <c r="C28" s="13" t="s">
        <v>154</v>
      </c>
      <c r="D28" s="13">
        <v>124</v>
      </c>
      <c r="E28" s="13"/>
      <c r="F28" s="13" t="s">
        <v>354</v>
      </c>
      <c r="G28" s="442">
        <v>15.50</v>
      </c>
      <c r="H28" s="440">
        <v>10</v>
      </c>
      <c r="I28" s="28">
        <v>1</v>
      </c>
      <c r="J28" s="441">
        <f t="shared" si="5"/>
        <v>0.64516129032258063</v>
      </c>
      <c r="K28" s="432">
        <v>1</v>
      </c>
      <c r="L28" s="267">
        <f t="shared" si="4"/>
        <v>0.64516129032258063</v>
      </c>
      <c r="M28" s="433">
        <f t="shared" si="6"/>
        <v>129.03225806451613</v>
      </c>
      <c r="N28" s="434">
        <v>200</v>
      </c>
      <c r="O28" s="435">
        <f t="shared" si="7"/>
        <v>0.64516129032258063</v>
      </c>
    </row>
    <row r="29" spans="1:15" ht="30">
      <c r="A29" s="57" t="s">
        <v>155</v>
      </c>
      <c r="B29" s="56" t="s">
        <v>156</v>
      </c>
      <c r="C29" s="13" t="s">
        <v>157</v>
      </c>
      <c r="D29" s="13" t="s">
        <v>1329</v>
      </c>
      <c r="E29" s="13"/>
      <c r="F29" s="13" t="s">
        <v>354</v>
      </c>
      <c r="G29" s="442">
        <v>6.70</v>
      </c>
      <c r="H29" s="440">
        <v>10</v>
      </c>
      <c r="I29" s="28">
        <v>1</v>
      </c>
      <c r="J29" s="441">
        <f t="shared" si="5"/>
        <v>1.4925373134328357</v>
      </c>
      <c r="K29" s="432">
        <v>1</v>
      </c>
      <c r="L29" s="267">
        <f t="shared" si="4"/>
        <v>1.4925373134328357</v>
      </c>
      <c r="M29" s="433">
        <f t="shared" si="6"/>
        <v>298.50746268656712</v>
      </c>
      <c r="N29" s="434">
        <v>200</v>
      </c>
      <c r="O29" s="435">
        <f t="shared" si="7"/>
        <v>1.4925373134328357</v>
      </c>
    </row>
    <row r="30" spans="1:15" ht="30">
      <c r="A30" s="57" t="s">
        <v>158</v>
      </c>
      <c r="B30" s="56" t="s">
        <v>159</v>
      </c>
      <c r="C30" s="13" t="s">
        <v>160</v>
      </c>
      <c r="D30" s="13" t="s">
        <v>1331</v>
      </c>
      <c r="E30" s="13" t="s">
        <v>161</v>
      </c>
      <c r="F30" s="13" t="s">
        <v>10</v>
      </c>
      <c r="G30" s="439">
        <v>15.40</v>
      </c>
      <c r="H30" s="440">
        <v>10</v>
      </c>
      <c r="I30" s="28">
        <v>1</v>
      </c>
      <c r="J30" s="441">
        <f t="shared" si="5"/>
        <v>0.64935064935064934</v>
      </c>
      <c r="K30" s="436">
        <f>(61/1000)*3.1415*4</f>
        <v>0.76652600000000004</v>
      </c>
      <c r="L30" s="435">
        <f t="shared" si="4"/>
        <v>0.49774415584415588</v>
      </c>
      <c r="M30" s="266">
        <f t="shared" si="6"/>
        <v>99.548831168831171</v>
      </c>
      <c r="N30" s="433">
        <v>200</v>
      </c>
      <c r="O30" s="435">
        <f t="shared" si="7"/>
        <v>0.49774415584415588</v>
      </c>
    </row>
    <row r="31" spans="1:15" ht="15">
      <c r="A31" s="57" t="s">
        <v>427</v>
      </c>
      <c r="B31" s="56" t="s">
        <v>428</v>
      </c>
      <c r="C31" s="13" t="s">
        <v>24</v>
      </c>
      <c r="D31" s="13">
        <v>110</v>
      </c>
      <c r="E31" s="13"/>
      <c r="F31" s="4" t="s">
        <v>38</v>
      </c>
      <c r="G31" s="442">
        <v>15.50</v>
      </c>
      <c r="H31" s="440">
        <v>10</v>
      </c>
      <c r="I31" s="28">
        <v>2</v>
      </c>
      <c r="J31" s="441">
        <f t="shared" si="5"/>
        <v>1.2903225806451613</v>
      </c>
      <c r="K31" s="28">
        <v>1</v>
      </c>
      <c r="L31" s="267">
        <f t="shared" si="4"/>
        <v>1.2903225806451613</v>
      </c>
      <c r="M31" s="433">
        <f t="shared" si="6"/>
        <v>258.06451612903226</v>
      </c>
      <c r="N31" s="434">
        <v>200</v>
      </c>
      <c r="O31" s="435">
        <f t="shared" si="7"/>
        <v>0.64516129032258063</v>
      </c>
    </row>
    <row r="32" spans="1:15" ht="15">
      <c r="A32" s="637" t="s">
        <v>162</v>
      </c>
      <c r="B32" s="638" t="s">
        <v>429</v>
      </c>
      <c r="C32" s="13" t="s">
        <v>160</v>
      </c>
      <c r="D32" s="13">
        <v>109</v>
      </c>
      <c r="E32" s="637" t="s">
        <v>911</v>
      </c>
      <c r="F32" s="13" t="s">
        <v>10</v>
      </c>
      <c r="G32" s="28">
        <v>40</v>
      </c>
      <c r="H32" s="440">
        <v>10</v>
      </c>
      <c r="I32" s="28">
        <v>1</v>
      </c>
      <c r="J32" s="441">
        <f t="shared" si="5"/>
        <v>0.25</v>
      </c>
      <c r="K32" s="436">
        <f>530/1000*3.1415</f>
        <v>1.6649950000000002</v>
      </c>
      <c r="L32" s="267">
        <f t="shared" si="4"/>
        <v>0.41624875000000006</v>
      </c>
      <c r="M32" s="433">
        <f t="shared" si="6"/>
        <v>83.249750000000006</v>
      </c>
      <c r="N32" s="434">
        <v>200</v>
      </c>
      <c r="O32" s="435">
        <f t="shared" si="7"/>
        <v>0.41624875000000006</v>
      </c>
    </row>
    <row r="33" spans="1:15" ht="15">
      <c r="A33" s="637"/>
      <c r="B33" s="638"/>
      <c r="C33" s="13" t="s">
        <v>9</v>
      </c>
      <c r="D33" s="13">
        <v>109</v>
      </c>
      <c r="E33" s="637"/>
      <c r="F33" s="13" t="s">
        <v>10</v>
      </c>
      <c r="G33" s="28">
        <v>27</v>
      </c>
      <c r="H33" s="440">
        <v>10</v>
      </c>
      <c r="I33" s="28">
        <v>1</v>
      </c>
      <c r="J33" s="441">
        <f t="shared" si="5"/>
        <v>0.37037037037037035</v>
      </c>
      <c r="K33" s="436">
        <f>530/1000*3.1415</f>
        <v>1.6649950000000002</v>
      </c>
      <c r="L33" s="267">
        <f t="shared" si="4"/>
        <v>0.61666481481481483</v>
      </c>
      <c r="M33" s="433">
        <f t="shared" si="6"/>
        <v>123.33296296296297</v>
      </c>
      <c r="N33" s="434">
        <v>200</v>
      </c>
      <c r="O33" s="435">
        <f t="shared" si="7"/>
        <v>0.61666481481481483</v>
      </c>
    </row>
    <row r="34" spans="1:15" ht="15">
      <c r="A34" s="650" t="s">
        <v>430</v>
      </c>
      <c r="B34" s="638" t="s">
        <v>431</v>
      </c>
      <c r="C34" s="13" t="s">
        <v>160</v>
      </c>
      <c r="D34" s="13">
        <v>107</v>
      </c>
      <c r="E34" s="637" t="s">
        <v>43</v>
      </c>
      <c r="F34" s="13" t="s">
        <v>10</v>
      </c>
      <c r="G34" s="28">
        <v>40</v>
      </c>
      <c r="H34" s="440">
        <v>10</v>
      </c>
      <c r="I34" s="28">
        <v>1</v>
      </c>
      <c r="J34" s="441">
        <f t="shared" si="5"/>
        <v>0.25</v>
      </c>
      <c r="K34" s="436">
        <f>530/1000*3.1415</f>
        <v>1.6649950000000002</v>
      </c>
      <c r="L34" s="267">
        <f t="shared" si="4"/>
        <v>0.41624875000000006</v>
      </c>
      <c r="M34" s="433">
        <f t="shared" si="6"/>
        <v>83.249750000000006</v>
      </c>
      <c r="N34" s="434">
        <v>200</v>
      </c>
      <c r="O34" s="435">
        <f t="shared" si="7"/>
        <v>0.41624875000000006</v>
      </c>
    </row>
    <row r="35" spans="1:15" ht="15">
      <c r="A35" s="650"/>
      <c r="B35" s="638"/>
      <c r="C35" s="13" t="s">
        <v>511</v>
      </c>
      <c r="D35" s="13">
        <v>107</v>
      </c>
      <c r="E35" s="637"/>
      <c r="F35" s="13" t="s">
        <v>10</v>
      </c>
      <c r="G35" s="28">
        <v>25</v>
      </c>
      <c r="H35" s="440">
        <v>10</v>
      </c>
      <c r="I35" s="28">
        <v>1</v>
      </c>
      <c r="J35" s="453">
        <f t="shared" si="5"/>
        <v>0.40</v>
      </c>
      <c r="K35" s="436">
        <f>530*3.1415/1000</f>
        <v>1.6649950000000002</v>
      </c>
      <c r="L35" s="267">
        <f t="shared" si="4"/>
        <v>0.66599800000000009</v>
      </c>
      <c r="M35" s="433">
        <f t="shared" si="6"/>
        <v>117.21564800000002</v>
      </c>
      <c r="N35" s="434">
        <v>176</v>
      </c>
      <c r="O35" s="435">
        <f t="shared" si="7"/>
        <v>0.66599800000000009</v>
      </c>
    </row>
    <row r="36" spans="1:15" ht="15">
      <c r="A36" s="650"/>
      <c r="B36" s="638"/>
      <c r="C36" s="13" t="s">
        <v>313</v>
      </c>
      <c r="D36" s="13">
        <v>107</v>
      </c>
      <c r="E36" s="637"/>
      <c r="F36" s="13" t="s">
        <v>10</v>
      </c>
      <c r="G36" s="28">
        <v>28.50</v>
      </c>
      <c r="H36" s="440">
        <v>10</v>
      </c>
      <c r="I36" s="28">
        <v>1</v>
      </c>
      <c r="J36" s="453">
        <f t="shared" si="5"/>
        <v>0.35087719298245612</v>
      </c>
      <c r="K36" s="436">
        <f>530*3.1415/1000</f>
        <v>1.6649950000000002</v>
      </c>
      <c r="L36" s="267">
        <f t="shared" si="4"/>
        <v>0.58420877192982457</v>
      </c>
      <c r="M36" s="433">
        <f t="shared" si="6"/>
        <v>116.84175438596492</v>
      </c>
      <c r="N36" s="434">
        <v>200</v>
      </c>
      <c r="O36" s="435">
        <f t="shared" si="7"/>
        <v>0.58420877192982457</v>
      </c>
    </row>
    <row r="37" spans="1:15" ht="15">
      <c r="A37" s="57" t="s">
        <v>629</v>
      </c>
      <c r="B37" s="56" t="s">
        <v>1166</v>
      </c>
      <c r="C37" s="13" t="s">
        <v>862</v>
      </c>
      <c r="D37" s="13">
        <v>224</v>
      </c>
      <c r="E37" s="13"/>
      <c r="F37" s="17"/>
      <c r="G37" s="28">
        <f>(600-25)/10</f>
        <v>57.50</v>
      </c>
      <c r="H37" s="440">
        <v>10</v>
      </c>
      <c r="I37" s="28">
        <v>2</v>
      </c>
      <c r="J37" s="441">
        <f t="shared" si="5"/>
        <v>0.34782608695652173</v>
      </c>
      <c r="K37" s="28">
        <v>1</v>
      </c>
      <c r="L37" s="267">
        <f t="shared" si="4"/>
        <v>0.34782608695652173</v>
      </c>
      <c r="M37" s="433">
        <f t="shared" si="6"/>
        <v>69.565217391304344</v>
      </c>
      <c r="N37" s="434">
        <v>200</v>
      </c>
      <c r="O37" s="435">
        <f t="shared" si="7"/>
        <v>0.17391304347826086</v>
      </c>
    </row>
    <row r="38" spans="1:15" ht="15">
      <c r="A38" s="637" t="s">
        <v>314</v>
      </c>
      <c r="B38" s="638" t="s">
        <v>107</v>
      </c>
      <c r="C38" s="13" t="s">
        <v>24</v>
      </c>
      <c r="D38" s="13">
        <v>110</v>
      </c>
      <c r="E38" s="13"/>
      <c r="F38" s="4" t="s">
        <v>40</v>
      </c>
      <c r="G38" s="442">
        <v>20</v>
      </c>
      <c r="H38" s="440">
        <v>10</v>
      </c>
      <c r="I38" s="28">
        <v>2</v>
      </c>
      <c r="J38" s="441">
        <f t="shared" si="5"/>
        <v>1</v>
      </c>
      <c r="K38" s="28">
        <v>1</v>
      </c>
      <c r="L38" s="267">
        <f t="shared" si="4"/>
        <v>1</v>
      </c>
      <c r="M38" s="433">
        <f t="shared" si="6"/>
        <v>200</v>
      </c>
      <c r="N38" s="434">
        <v>200</v>
      </c>
      <c r="O38" s="435">
        <f t="shared" si="7"/>
        <v>0.50</v>
      </c>
    </row>
    <row r="39" spans="1:15" ht="15">
      <c r="A39" s="637"/>
      <c r="B39" s="638"/>
      <c r="C39" s="13" t="s">
        <v>25</v>
      </c>
      <c r="D39" s="13">
        <v>110</v>
      </c>
      <c r="E39" s="13" t="s">
        <v>41</v>
      </c>
      <c r="F39" s="13" t="s">
        <v>10</v>
      </c>
      <c r="G39" s="28">
        <v>40</v>
      </c>
      <c r="H39" s="440">
        <v>10</v>
      </c>
      <c r="I39" s="28">
        <v>1</v>
      </c>
      <c r="J39" s="441">
        <f t="shared" si="5"/>
        <v>0.25</v>
      </c>
      <c r="K39" s="436">
        <f>530/1000*3.1415*2</f>
        <v>3.3299900000000004</v>
      </c>
      <c r="L39" s="267">
        <f t="shared" si="4"/>
        <v>0.83249750000000011</v>
      </c>
      <c r="M39" s="433">
        <f t="shared" si="6"/>
        <v>166.49950000000001</v>
      </c>
      <c r="N39" s="434">
        <v>200</v>
      </c>
      <c r="O39" s="435">
        <f t="shared" si="7"/>
        <v>0.83249750000000011</v>
      </c>
    </row>
    <row r="40" spans="1:15" ht="15">
      <c r="A40" s="57" t="s">
        <v>1285</v>
      </c>
      <c r="B40" s="56" t="s">
        <v>1389</v>
      </c>
      <c r="C40" s="13" t="s">
        <v>1286</v>
      </c>
      <c r="D40" s="13">
        <v>105</v>
      </c>
      <c r="E40" s="13"/>
      <c r="F40" s="13" t="s">
        <v>353</v>
      </c>
      <c r="G40" s="436">
        <v>22</v>
      </c>
      <c r="H40" s="440">
        <v>10</v>
      </c>
      <c r="I40" s="28">
        <v>1</v>
      </c>
      <c r="J40" s="441">
        <f t="shared" si="5"/>
        <v>0.45454545454545453</v>
      </c>
      <c r="K40" s="432">
        <v>1</v>
      </c>
      <c r="L40" s="435">
        <f t="shared" si="4"/>
        <v>0.45454545454545453</v>
      </c>
      <c r="M40" s="266">
        <f t="shared" si="6"/>
        <v>90.909090909090907</v>
      </c>
      <c r="N40" s="433">
        <v>200</v>
      </c>
      <c r="O40" s="435">
        <f t="shared" si="7"/>
        <v>0.45454545454545453</v>
      </c>
    </row>
    <row r="41" spans="1:15" ht="15">
      <c r="A41" s="57" t="s">
        <v>648</v>
      </c>
      <c r="B41" s="499" t="s">
        <v>1390</v>
      </c>
      <c r="C41" s="13" t="s">
        <v>1287</v>
      </c>
      <c r="D41" s="13">
        <v>108</v>
      </c>
      <c r="E41" s="13"/>
      <c r="F41" s="13" t="s">
        <v>10</v>
      </c>
      <c r="G41" s="28">
        <v>40</v>
      </c>
      <c r="H41" s="440">
        <v>10</v>
      </c>
      <c r="I41" s="28">
        <v>1</v>
      </c>
      <c r="J41" s="453">
        <f t="shared" si="5"/>
        <v>0.25</v>
      </c>
      <c r="K41" s="436">
        <f>158*2/1000</f>
        <v>0.316</v>
      </c>
      <c r="L41" s="267">
        <f t="shared" si="4"/>
        <v>0.079000000000000001</v>
      </c>
      <c r="M41" s="433">
        <f t="shared" si="6"/>
        <v>15.80</v>
      </c>
      <c r="N41" s="434">
        <v>200</v>
      </c>
      <c r="O41" s="435">
        <f t="shared" si="7"/>
        <v>0.079000000000000001</v>
      </c>
    </row>
    <row r="42" spans="1:15" ht="15">
      <c r="A42" s="57" t="s">
        <v>1288</v>
      </c>
      <c r="B42" s="56" t="s">
        <v>1391</v>
      </c>
      <c r="C42" s="13" t="s">
        <v>1286</v>
      </c>
      <c r="D42" s="13">
        <v>105</v>
      </c>
      <c r="E42" s="13"/>
      <c r="F42" s="13" t="s">
        <v>353</v>
      </c>
      <c r="G42" s="436">
        <v>34</v>
      </c>
      <c r="H42" s="440">
        <v>10</v>
      </c>
      <c r="I42" s="28">
        <v>1</v>
      </c>
      <c r="J42" s="441">
        <f t="shared" si="5"/>
        <v>0.29411764705882354</v>
      </c>
      <c r="K42" s="432">
        <v>1</v>
      </c>
      <c r="L42" s="435">
        <f t="shared" si="4"/>
        <v>0.29411764705882354</v>
      </c>
      <c r="M42" s="266">
        <f t="shared" si="6"/>
        <v>58.82352941176471</v>
      </c>
      <c r="N42" s="433">
        <v>200</v>
      </c>
      <c r="O42" s="435">
        <f t="shared" si="7"/>
        <v>0.29411764705882354</v>
      </c>
    </row>
    <row r="43" spans="1:15" ht="15">
      <c r="A43" s="57" t="s">
        <v>176</v>
      </c>
      <c r="B43" s="56" t="s">
        <v>1497</v>
      </c>
      <c r="C43" s="13" t="s">
        <v>154</v>
      </c>
      <c r="D43" s="13">
        <v>124</v>
      </c>
      <c r="E43" s="13"/>
      <c r="F43" s="13" t="s">
        <v>354</v>
      </c>
      <c r="G43" s="442">
        <v>18</v>
      </c>
      <c r="H43" s="440">
        <v>10</v>
      </c>
      <c r="I43" s="28">
        <v>1</v>
      </c>
      <c r="J43" s="441">
        <f t="shared" si="5"/>
        <v>0.55555555555555558</v>
      </c>
      <c r="K43" s="432">
        <v>1</v>
      </c>
      <c r="L43" s="267">
        <f t="shared" si="4"/>
        <v>0.55555555555555558</v>
      </c>
      <c r="M43" s="433">
        <f t="shared" si="6"/>
        <v>111.11111111111111</v>
      </c>
      <c r="N43" s="434">
        <v>200</v>
      </c>
      <c r="O43" s="435">
        <f t="shared" si="7"/>
        <v>0.55555555555555558</v>
      </c>
    </row>
    <row r="44" spans="1:15" ht="30">
      <c r="A44" s="57" t="s">
        <v>1289</v>
      </c>
      <c r="B44" s="56" t="s">
        <v>1498</v>
      </c>
      <c r="C44" s="13" t="s">
        <v>24</v>
      </c>
      <c r="D44" s="13">
        <v>117</v>
      </c>
      <c r="E44" s="13"/>
      <c r="F44" s="4" t="s">
        <v>38</v>
      </c>
      <c r="G44" s="442">
        <v>20</v>
      </c>
      <c r="H44" s="440">
        <v>10</v>
      </c>
      <c r="I44" s="28">
        <v>2</v>
      </c>
      <c r="J44" s="441">
        <f t="shared" si="5"/>
        <v>1</v>
      </c>
      <c r="K44" s="28">
        <v>1</v>
      </c>
      <c r="L44" s="267">
        <f t="shared" si="4"/>
        <v>1</v>
      </c>
      <c r="M44" s="433">
        <f t="shared" si="6"/>
        <v>200</v>
      </c>
      <c r="N44" s="434">
        <v>200</v>
      </c>
      <c r="O44" s="435">
        <f t="shared" si="7"/>
        <v>0.50</v>
      </c>
    </row>
    <row r="45" spans="1:15" ht="30">
      <c r="A45" s="13" t="s">
        <v>1290</v>
      </c>
      <c r="B45" s="56" t="s">
        <v>1499</v>
      </c>
      <c r="C45" s="13" t="s">
        <v>160</v>
      </c>
      <c r="D45" s="13">
        <v>117</v>
      </c>
      <c r="E45" s="13" t="s">
        <v>869</v>
      </c>
      <c r="F45" s="13" t="s">
        <v>10</v>
      </c>
      <c r="G45" s="28">
        <v>40</v>
      </c>
      <c r="H45" s="440">
        <v>10</v>
      </c>
      <c r="I45" s="28">
        <v>1</v>
      </c>
      <c r="J45" s="441">
        <f t="shared" si="5"/>
        <v>0.25</v>
      </c>
      <c r="K45" s="436">
        <f>444*3.1415*2/1000</f>
        <v>2.7896520000000002</v>
      </c>
      <c r="L45" s="267">
        <f t="shared" si="4"/>
        <v>0.69741300000000006</v>
      </c>
      <c r="M45" s="433">
        <f t="shared" si="6"/>
        <v>139.48260000000002</v>
      </c>
      <c r="N45" s="434">
        <v>200</v>
      </c>
      <c r="O45" s="435">
        <f t="shared" si="7"/>
        <v>0.69741300000000006</v>
      </c>
    </row>
    <row r="46" spans="1:15" ht="30">
      <c r="A46" s="57" t="s">
        <v>1291</v>
      </c>
      <c r="B46" s="56" t="s">
        <v>1392</v>
      </c>
      <c r="C46" s="13" t="s">
        <v>24</v>
      </c>
      <c r="D46" s="13">
        <v>110</v>
      </c>
      <c r="E46" s="13"/>
      <c r="F46" s="4" t="s">
        <v>38</v>
      </c>
      <c r="G46" s="442">
        <v>20</v>
      </c>
      <c r="H46" s="440">
        <v>10</v>
      </c>
      <c r="I46" s="28">
        <v>2</v>
      </c>
      <c r="J46" s="441">
        <f t="shared" si="5"/>
        <v>1</v>
      </c>
      <c r="K46" s="28">
        <v>1</v>
      </c>
      <c r="L46" s="267">
        <f t="shared" si="4"/>
        <v>1</v>
      </c>
      <c r="M46" s="433">
        <f t="shared" si="6"/>
        <v>200</v>
      </c>
      <c r="N46" s="434">
        <v>200</v>
      </c>
      <c r="O46" s="435">
        <f t="shared" si="7"/>
        <v>0.50</v>
      </c>
    </row>
    <row r="47" spans="1:15" ht="30">
      <c r="A47" s="13" t="s">
        <v>177</v>
      </c>
      <c r="B47" s="56" t="s">
        <v>1393</v>
      </c>
      <c r="C47" s="13" t="s">
        <v>160</v>
      </c>
      <c r="D47" s="13">
        <v>110</v>
      </c>
      <c r="E47" s="13" t="s">
        <v>869</v>
      </c>
      <c r="F47" s="13" t="s">
        <v>10</v>
      </c>
      <c r="G47" s="28">
        <v>40</v>
      </c>
      <c r="H47" s="440">
        <v>10</v>
      </c>
      <c r="I47" s="28">
        <v>1</v>
      </c>
      <c r="J47" s="441">
        <f t="shared" si="5"/>
        <v>0.25</v>
      </c>
      <c r="K47" s="436">
        <f>444*3.1415/1000</f>
        <v>1.3948260000000001</v>
      </c>
      <c r="L47" s="267">
        <f t="shared" si="4"/>
        <v>0.34870650000000003</v>
      </c>
      <c r="M47" s="433">
        <f t="shared" si="6"/>
        <v>69.74130000000001</v>
      </c>
      <c r="N47" s="434">
        <v>200</v>
      </c>
      <c r="O47" s="435">
        <f t="shared" si="7"/>
        <v>0.34870650000000003</v>
      </c>
    </row>
    <row r="48" spans="1:15" ht="15">
      <c r="A48" s="39"/>
      <c r="B48" s="649" t="s">
        <v>131</v>
      </c>
      <c r="C48" s="649"/>
      <c r="D48" s="649"/>
      <c r="E48" s="649"/>
      <c r="F48" s="649"/>
      <c r="G48" s="649"/>
      <c r="H48" s="649"/>
      <c r="I48" s="649"/>
      <c r="J48" s="649"/>
      <c r="K48" s="649"/>
      <c r="L48" s="267"/>
      <c r="M48" s="262">
        <f>SUM(M49:M61)</f>
        <v>2130.203193492423</v>
      </c>
      <c r="N48" s="263"/>
      <c r="O48" s="264">
        <f>SUM(O49:O61)</f>
        <v>8.1031254880864196</v>
      </c>
    </row>
    <row r="49" spans="1:15" ht="15">
      <c r="A49" s="57" t="s">
        <v>182</v>
      </c>
      <c r="B49" s="56" t="s">
        <v>183</v>
      </c>
      <c r="C49" s="13" t="s">
        <v>1167</v>
      </c>
      <c r="D49" s="13">
        <v>105</v>
      </c>
      <c r="E49" s="13"/>
      <c r="F49" s="13" t="s">
        <v>353</v>
      </c>
      <c r="G49" s="436">
        <v>14.71</v>
      </c>
      <c r="H49" s="440">
        <v>10</v>
      </c>
      <c r="I49" s="28">
        <v>1</v>
      </c>
      <c r="J49" s="441">
        <f t="shared" si="8" ref="J49:J61">H49/G49*I49</f>
        <v>0.67980965329707677</v>
      </c>
      <c r="K49" s="432">
        <v>1</v>
      </c>
      <c r="L49" s="435">
        <f t="shared" si="9" ref="L49:L61">J49*K49</f>
        <v>0.67980965329707677</v>
      </c>
      <c r="M49" s="266">
        <f t="shared" si="10" ref="M49:M61">L49*N49</f>
        <v>135.96193065941534</v>
      </c>
      <c r="N49" s="433">
        <v>200</v>
      </c>
      <c r="O49" s="435">
        <f t="shared" si="11" ref="O49:O61">J49/I49*K49</f>
        <v>0.67980965329707677</v>
      </c>
    </row>
    <row r="50" spans="1:15" ht="30">
      <c r="A50" s="57" t="s">
        <v>185</v>
      </c>
      <c r="B50" s="56" t="s">
        <v>186</v>
      </c>
      <c r="C50" s="13" t="s">
        <v>187</v>
      </c>
      <c r="D50" s="13">
        <v>105</v>
      </c>
      <c r="E50" s="13"/>
      <c r="F50" s="13" t="s">
        <v>522</v>
      </c>
      <c r="G50" s="28">
        <v>55</v>
      </c>
      <c r="H50" s="440">
        <v>10</v>
      </c>
      <c r="I50" s="28">
        <v>1</v>
      </c>
      <c r="J50" s="441">
        <f t="shared" si="8"/>
        <v>0.18181818181818182</v>
      </c>
      <c r="K50" s="432">
        <v>4</v>
      </c>
      <c r="L50" s="435">
        <f t="shared" si="9"/>
        <v>0.72727272727272729</v>
      </c>
      <c r="M50" s="266">
        <f t="shared" si="10"/>
        <v>145.45454545454547</v>
      </c>
      <c r="N50" s="433">
        <v>200</v>
      </c>
      <c r="O50" s="435">
        <f t="shared" si="11"/>
        <v>0.72727272727272729</v>
      </c>
    </row>
    <row r="51" spans="1:15" ht="15">
      <c r="A51" s="650" t="s">
        <v>188</v>
      </c>
      <c r="B51" s="656" t="s">
        <v>438</v>
      </c>
      <c r="C51" s="13" t="s">
        <v>1168</v>
      </c>
      <c r="D51" s="13">
        <v>109</v>
      </c>
      <c r="E51" s="637" t="s">
        <v>36</v>
      </c>
      <c r="F51" s="13" t="s">
        <v>10</v>
      </c>
      <c r="G51" s="28">
        <v>40</v>
      </c>
      <c r="H51" s="440">
        <v>10</v>
      </c>
      <c r="I51" s="28">
        <v>1</v>
      </c>
      <c r="J51" s="453">
        <f t="shared" si="8"/>
        <v>0.25</v>
      </c>
      <c r="K51" s="436">
        <f>(1290)/1000+0.1</f>
        <v>1.39</v>
      </c>
      <c r="L51" s="267">
        <f t="shared" si="9"/>
        <v>0.3475</v>
      </c>
      <c r="M51" s="433">
        <f t="shared" si="10"/>
        <v>69.50</v>
      </c>
      <c r="N51" s="434">
        <v>200</v>
      </c>
      <c r="O51" s="435">
        <f t="shared" si="11"/>
        <v>0.3475</v>
      </c>
    </row>
    <row r="52" spans="1:15" ht="15">
      <c r="A52" s="652"/>
      <c r="B52" s="654"/>
      <c r="C52" s="13" t="s">
        <v>1169</v>
      </c>
      <c r="D52" s="13">
        <v>109</v>
      </c>
      <c r="E52" s="637"/>
      <c r="F52" s="13" t="s">
        <v>10</v>
      </c>
      <c r="G52" s="28">
        <v>27</v>
      </c>
      <c r="H52" s="440">
        <v>10</v>
      </c>
      <c r="I52" s="28">
        <v>1</v>
      </c>
      <c r="J52" s="441">
        <f t="shared" si="8"/>
        <v>0.37037037037037035</v>
      </c>
      <c r="K52" s="436">
        <f>(1290)/1000+0.1</f>
        <v>1.39</v>
      </c>
      <c r="L52" s="435">
        <f t="shared" si="9"/>
        <v>0.51481481481481484</v>
      </c>
      <c r="M52" s="266">
        <f t="shared" si="10"/>
        <v>102.96296296296296</v>
      </c>
      <c r="N52" s="433">
        <v>200</v>
      </c>
      <c r="O52" s="435">
        <f t="shared" si="11"/>
        <v>0.51481481481481484</v>
      </c>
    </row>
    <row r="53" spans="1:15" ht="15">
      <c r="A53" s="650" t="s">
        <v>437</v>
      </c>
      <c r="B53" s="638" t="s">
        <v>439</v>
      </c>
      <c r="C53" s="13" t="s">
        <v>1168</v>
      </c>
      <c r="D53" s="13">
        <v>107</v>
      </c>
      <c r="E53" s="637" t="s">
        <v>43</v>
      </c>
      <c r="F53" s="13" t="s">
        <v>10</v>
      </c>
      <c r="G53" s="28">
        <v>40</v>
      </c>
      <c r="H53" s="440">
        <v>10</v>
      </c>
      <c r="I53" s="28">
        <v>1</v>
      </c>
      <c r="J53" s="441">
        <f t="shared" si="8"/>
        <v>0.25</v>
      </c>
      <c r="K53" s="436">
        <f>1290/1000+0.1</f>
        <v>1.39</v>
      </c>
      <c r="L53" s="267">
        <f t="shared" si="9"/>
        <v>0.3475</v>
      </c>
      <c r="M53" s="433">
        <f t="shared" si="10"/>
        <v>69.50</v>
      </c>
      <c r="N53" s="434">
        <v>200</v>
      </c>
      <c r="O53" s="435">
        <f t="shared" si="11"/>
        <v>0.3475</v>
      </c>
    </row>
    <row r="54" spans="1:15" ht="15">
      <c r="A54" s="650"/>
      <c r="B54" s="638"/>
      <c r="C54" s="13" t="s">
        <v>1170</v>
      </c>
      <c r="D54" s="13">
        <v>107</v>
      </c>
      <c r="E54" s="637"/>
      <c r="F54" s="13" t="s">
        <v>10</v>
      </c>
      <c r="G54" s="28">
        <v>25</v>
      </c>
      <c r="H54" s="440">
        <v>10</v>
      </c>
      <c r="I54" s="28">
        <v>1</v>
      </c>
      <c r="J54" s="453">
        <f t="shared" si="8"/>
        <v>0.40</v>
      </c>
      <c r="K54" s="436">
        <f>(1290)/1000</f>
        <v>1.29</v>
      </c>
      <c r="L54" s="267">
        <f t="shared" si="9"/>
        <v>0.51600000000000001</v>
      </c>
      <c r="M54" s="433">
        <f t="shared" si="10"/>
        <v>90.816000000000003</v>
      </c>
      <c r="N54" s="434">
        <v>176</v>
      </c>
      <c r="O54" s="435">
        <f t="shared" si="11"/>
        <v>0.51600000000000001</v>
      </c>
    </row>
    <row r="55" spans="1:15" ht="15">
      <c r="A55" s="650"/>
      <c r="B55" s="638"/>
      <c r="C55" s="13" t="s">
        <v>1171</v>
      </c>
      <c r="D55" s="13">
        <v>107</v>
      </c>
      <c r="E55" s="637"/>
      <c r="F55" s="13" t="s">
        <v>10</v>
      </c>
      <c r="G55" s="442">
        <f>14.753/0.65</f>
        <v>22.696923076923078</v>
      </c>
      <c r="H55" s="440">
        <v>10</v>
      </c>
      <c r="I55" s="28">
        <v>1</v>
      </c>
      <c r="J55" s="453">
        <f t="shared" si="8"/>
        <v>0.44058835491086557</v>
      </c>
      <c r="K55" s="436">
        <f>(1290)/1000+0.1</f>
        <v>1.39</v>
      </c>
      <c r="L55" s="267">
        <f t="shared" si="9"/>
        <v>0.61241781332610323</v>
      </c>
      <c r="M55" s="433">
        <f t="shared" si="10"/>
        <v>122.48356266522065</v>
      </c>
      <c r="N55" s="434">
        <v>200</v>
      </c>
      <c r="O55" s="435">
        <f t="shared" si="11"/>
        <v>0.61241781332610323</v>
      </c>
    </row>
    <row r="56" spans="1:15" s="0" customFormat="1" ht="15">
      <c r="A56" s="57" t="s">
        <v>348</v>
      </c>
      <c r="B56" s="56" t="s">
        <v>1007</v>
      </c>
      <c r="C56" s="17" t="s">
        <v>523</v>
      </c>
      <c r="D56" s="17">
        <v>224</v>
      </c>
      <c r="E56" s="13"/>
      <c r="F56" s="17" t="s">
        <v>353</v>
      </c>
      <c r="G56" s="16">
        <v>60</v>
      </c>
      <c r="H56" s="252">
        <v>10</v>
      </c>
      <c r="I56" s="16">
        <v>1</v>
      </c>
      <c r="J56" s="253">
        <f t="shared" si="8"/>
        <v>0.16666666666666666</v>
      </c>
      <c r="K56" s="52">
        <v>3</v>
      </c>
      <c r="L56" s="8">
        <f t="shared" si="9"/>
        <v>0.50</v>
      </c>
      <c r="M56" s="42">
        <f t="shared" si="10"/>
        <v>100</v>
      </c>
      <c r="N56" s="43">
        <v>200</v>
      </c>
      <c r="O56" s="8">
        <f t="shared" si="11"/>
        <v>0.50</v>
      </c>
    </row>
    <row r="57" spans="1:15" ht="15">
      <c r="A57" s="57" t="s">
        <v>325</v>
      </c>
      <c r="B57" s="56" t="s">
        <v>327</v>
      </c>
      <c r="C57" s="13" t="s">
        <v>326</v>
      </c>
      <c r="D57" s="13">
        <v>112</v>
      </c>
      <c r="E57" s="13"/>
      <c r="F57" s="13" t="s">
        <v>513</v>
      </c>
      <c r="G57" s="28">
        <v>15</v>
      </c>
      <c r="H57" s="440">
        <v>10</v>
      </c>
      <c r="I57" s="28">
        <v>2</v>
      </c>
      <c r="J57" s="441">
        <f t="shared" si="8"/>
        <v>1.3333333333333333</v>
      </c>
      <c r="K57" s="432">
        <v>1</v>
      </c>
      <c r="L57" s="435">
        <f t="shared" si="9"/>
        <v>1.3333333333333333</v>
      </c>
      <c r="M57" s="266">
        <f t="shared" si="10"/>
        <v>266.66666666666663</v>
      </c>
      <c r="N57" s="433">
        <v>200</v>
      </c>
      <c r="O57" s="435">
        <f t="shared" si="11"/>
        <v>0.66666666666666663</v>
      </c>
    </row>
    <row r="58" spans="1:15" s="0" customFormat="1" ht="15">
      <c r="A58" s="637" t="s">
        <v>197</v>
      </c>
      <c r="B58" s="638" t="s">
        <v>110</v>
      </c>
      <c r="C58" s="13" t="s">
        <v>47</v>
      </c>
      <c r="D58" s="13">
        <v>112</v>
      </c>
      <c r="E58" s="13"/>
      <c r="F58" s="25" t="s">
        <v>111</v>
      </c>
      <c r="G58" s="16">
        <v>10</v>
      </c>
      <c r="H58" s="252">
        <v>10</v>
      </c>
      <c r="I58" s="16">
        <v>2</v>
      </c>
      <c r="J58" s="253">
        <f t="shared" si="8"/>
        <v>2</v>
      </c>
      <c r="K58" s="16">
        <v>1</v>
      </c>
      <c r="L58" s="26">
        <f t="shared" si="9"/>
        <v>2</v>
      </c>
      <c r="M58" s="43">
        <f t="shared" si="10"/>
        <v>400</v>
      </c>
      <c r="N58" s="46">
        <v>200</v>
      </c>
      <c r="O58" s="8">
        <f t="shared" si="11"/>
        <v>1</v>
      </c>
    </row>
    <row r="59" spans="1:15" s="0" customFormat="1" ht="30">
      <c r="A59" s="637"/>
      <c r="B59" s="638"/>
      <c r="C59" s="13" t="s">
        <v>48</v>
      </c>
      <c r="D59" s="13">
        <v>112</v>
      </c>
      <c r="E59" s="4" t="s">
        <v>520</v>
      </c>
      <c r="F59" s="17" t="s">
        <v>10</v>
      </c>
      <c r="G59" s="16">
        <v>40</v>
      </c>
      <c r="H59" s="252">
        <v>10</v>
      </c>
      <c r="I59" s="16">
        <v>1</v>
      </c>
      <c r="J59" s="253">
        <f t="shared" si="8"/>
        <v>0.25</v>
      </c>
      <c r="K59" s="30">
        <f>((1398*2+147*2)+(1268)+(634))/1000</f>
        <v>4.992</v>
      </c>
      <c r="L59" s="26">
        <f t="shared" si="9"/>
        <v>1.248</v>
      </c>
      <c r="M59" s="43">
        <f t="shared" si="10"/>
        <v>249.60</v>
      </c>
      <c r="N59" s="46">
        <v>200</v>
      </c>
      <c r="O59" s="8">
        <f t="shared" si="11"/>
        <v>1.248</v>
      </c>
    </row>
    <row r="60" spans="1:15" ht="15">
      <c r="A60" s="13" t="s">
        <v>888</v>
      </c>
      <c r="B60" s="56" t="s">
        <v>1172</v>
      </c>
      <c r="C60" s="13" t="s">
        <v>862</v>
      </c>
      <c r="D60" s="13">
        <v>224</v>
      </c>
      <c r="E60" s="13"/>
      <c r="F60" s="17"/>
      <c r="G60" s="28">
        <f>(600-25)/10</f>
        <v>57.50</v>
      </c>
      <c r="H60" s="440">
        <v>10</v>
      </c>
      <c r="I60" s="28">
        <v>2</v>
      </c>
      <c r="J60" s="441">
        <f t="shared" si="8"/>
        <v>0.34782608695652173</v>
      </c>
      <c r="K60" s="28">
        <v>1</v>
      </c>
      <c r="L60" s="267">
        <f t="shared" si="9"/>
        <v>0.34782608695652173</v>
      </c>
      <c r="M60" s="433">
        <f t="shared" si="10"/>
        <v>69.565217391304344</v>
      </c>
      <c r="N60" s="434">
        <v>200</v>
      </c>
      <c r="O60" s="435">
        <f t="shared" si="11"/>
        <v>0.17391304347826086</v>
      </c>
    </row>
    <row r="61" spans="1:15" ht="15">
      <c r="A61" s="13" t="s">
        <v>199</v>
      </c>
      <c r="B61" s="27" t="s">
        <v>890</v>
      </c>
      <c r="C61" s="13" t="s">
        <v>47</v>
      </c>
      <c r="D61" s="13">
        <v>112</v>
      </c>
      <c r="E61" s="13"/>
      <c r="F61" s="4" t="s">
        <v>870</v>
      </c>
      <c r="G61" s="28">
        <v>13</v>
      </c>
      <c r="H61" s="440">
        <v>10</v>
      </c>
      <c r="I61" s="28">
        <v>2</v>
      </c>
      <c r="J61" s="441">
        <f t="shared" si="8"/>
        <v>1.5384615384615385</v>
      </c>
      <c r="K61" s="28">
        <v>1</v>
      </c>
      <c r="L61" s="267">
        <f t="shared" si="9"/>
        <v>1.5384615384615385</v>
      </c>
      <c r="M61" s="433">
        <f t="shared" si="10"/>
        <v>307.69230769230774</v>
      </c>
      <c r="N61" s="434">
        <v>200</v>
      </c>
      <c r="O61" s="435">
        <f t="shared" si="11"/>
        <v>0.76923076923076927</v>
      </c>
    </row>
    <row r="62" spans="1:15" ht="15">
      <c r="A62" s="39"/>
      <c r="B62" s="649" t="s">
        <v>132</v>
      </c>
      <c r="C62" s="649"/>
      <c r="D62" s="649"/>
      <c r="E62" s="649"/>
      <c r="F62" s="649"/>
      <c r="G62" s="649"/>
      <c r="H62" s="649"/>
      <c r="I62" s="649"/>
      <c r="J62" s="649"/>
      <c r="K62" s="649"/>
      <c r="L62" s="267"/>
      <c r="M62" s="262">
        <f>SUM(M63:M74)</f>
        <v>5100.2931555863315</v>
      </c>
      <c r="N62" s="263"/>
      <c r="O62" s="264">
        <f>SUM(O63:O74)</f>
        <v>18.505509958878573</v>
      </c>
    </row>
    <row r="63" spans="1:15" ht="15">
      <c r="A63" s="650" t="s">
        <v>200</v>
      </c>
      <c r="B63" s="638" t="s">
        <v>871</v>
      </c>
      <c r="C63" s="13" t="s">
        <v>924</v>
      </c>
      <c r="D63" s="13">
        <v>224</v>
      </c>
      <c r="E63" s="13"/>
      <c r="F63" s="13" t="s">
        <v>353</v>
      </c>
      <c r="G63" s="442">
        <f>600/10</f>
        <v>60</v>
      </c>
      <c r="H63" s="440">
        <v>10</v>
      </c>
      <c r="I63" s="28">
        <v>1</v>
      </c>
      <c r="J63" s="441">
        <f t="shared" si="12" ref="J63:J74">H63/G63*I63</f>
        <v>0.16666666666666666</v>
      </c>
      <c r="K63" s="432">
        <v>2</v>
      </c>
      <c r="L63" s="435">
        <f t="shared" si="13" ref="L63:L66">J63*K63</f>
        <v>0.33333333333333331</v>
      </c>
      <c r="M63" s="266">
        <f t="shared" si="14" ref="M63:M74">L63*N63</f>
        <v>66.666666666666657</v>
      </c>
      <c r="N63" s="433">
        <v>200</v>
      </c>
      <c r="O63" s="435">
        <f t="shared" si="15" ref="O63:O74">J63/I63*K63</f>
        <v>0.33333333333333331</v>
      </c>
    </row>
    <row r="64" spans="1:15" ht="15">
      <c r="A64" s="650"/>
      <c r="B64" s="638"/>
      <c r="C64" s="13" t="s">
        <v>1173</v>
      </c>
      <c r="D64" s="13">
        <v>224</v>
      </c>
      <c r="E64" s="13"/>
      <c r="F64" s="13" t="s">
        <v>353</v>
      </c>
      <c r="G64" s="442">
        <v>120</v>
      </c>
      <c r="H64" s="440">
        <v>10</v>
      </c>
      <c r="I64" s="28">
        <v>1</v>
      </c>
      <c r="J64" s="441">
        <f t="shared" si="12"/>
        <v>0.083333333333333329</v>
      </c>
      <c r="K64" s="432">
        <v>2</v>
      </c>
      <c r="L64" s="435">
        <f t="shared" si="13"/>
        <v>0.16666666666666666</v>
      </c>
      <c r="M64" s="266">
        <f t="shared" si="14"/>
        <v>33.333333333333329</v>
      </c>
      <c r="N64" s="433">
        <v>200</v>
      </c>
      <c r="O64" s="435">
        <f t="shared" si="15"/>
        <v>0.16666666666666666</v>
      </c>
    </row>
    <row r="65" spans="1:15" ht="15">
      <c r="A65" s="650"/>
      <c r="B65" s="638"/>
      <c r="C65" s="13" t="s">
        <v>873</v>
      </c>
      <c r="D65" s="13">
        <v>224</v>
      </c>
      <c r="E65" s="13"/>
      <c r="F65" s="13" t="s">
        <v>353</v>
      </c>
      <c r="G65" s="442">
        <f>600/5</f>
        <v>120</v>
      </c>
      <c r="H65" s="440">
        <v>10</v>
      </c>
      <c r="I65" s="28">
        <v>1</v>
      </c>
      <c r="J65" s="441">
        <f t="shared" si="12"/>
        <v>0.083333333333333329</v>
      </c>
      <c r="K65" s="432">
        <v>2</v>
      </c>
      <c r="L65" s="435">
        <f t="shared" si="13"/>
        <v>0.16666666666666666</v>
      </c>
      <c r="M65" s="266">
        <f t="shared" si="14"/>
        <v>33.333333333333329</v>
      </c>
      <c r="N65" s="433">
        <v>200</v>
      </c>
      <c r="O65" s="435">
        <f t="shared" si="15"/>
        <v>0.16666666666666666</v>
      </c>
    </row>
    <row r="66" spans="1:15" ht="15">
      <c r="A66" s="57" t="s">
        <v>662</v>
      </c>
      <c r="B66" s="56" t="s">
        <v>1174</v>
      </c>
      <c r="C66" s="13" t="s">
        <v>862</v>
      </c>
      <c r="D66" s="13">
        <v>224</v>
      </c>
      <c r="E66" s="13"/>
      <c r="F66" s="17"/>
      <c r="G66" s="442">
        <f>(600-25)/10</f>
        <v>57.50</v>
      </c>
      <c r="H66" s="440">
        <v>10</v>
      </c>
      <c r="I66" s="28">
        <v>2</v>
      </c>
      <c r="J66" s="441">
        <f t="shared" si="12"/>
        <v>0.34782608695652173</v>
      </c>
      <c r="K66" s="28">
        <v>1</v>
      </c>
      <c r="L66" s="267">
        <f t="shared" si="13"/>
        <v>0.34782608695652173</v>
      </c>
      <c r="M66" s="433">
        <f t="shared" si="14"/>
        <v>69.565217391304344</v>
      </c>
      <c r="N66" s="434">
        <v>200</v>
      </c>
      <c r="O66" s="435">
        <f t="shared" si="15"/>
        <v>0.17391304347826086</v>
      </c>
    </row>
    <row r="67" spans="1:15" ht="15">
      <c r="A67" s="13" t="s">
        <v>205</v>
      </c>
      <c r="B67" s="27" t="s">
        <v>875</v>
      </c>
      <c r="C67" s="13" t="s">
        <v>138</v>
      </c>
      <c r="D67" s="13">
        <v>117</v>
      </c>
      <c r="E67" s="13"/>
      <c r="F67" s="4" t="s">
        <v>13</v>
      </c>
      <c r="G67" s="442">
        <f>1.667*1.4</f>
        <v>2.3338000000000001</v>
      </c>
      <c r="H67" s="440">
        <v>10</v>
      </c>
      <c r="I67" s="28">
        <v>2</v>
      </c>
      <c r="J67" s="441">
        <f t="shared" si="12"/>
        <v>8.5697146285028705</v>
      </c>
      <c r="K67" s="28">
        <v>1</v>
      </c>
      <c r="L67" s="267">
        <f>J67*K67</f>
        <v>8.5697146285028705</v>
      </c>
      <c r="M67" s="433">
        <f t="shared" si="14"/>
        <v>1713.9429257005741</v>
      </c>
      <c r="N67" s="434">
        <v>200</v>
      </c>
      <c r="O67" s="435">
        <f t="shared" si="15"/>
        <v>4.2848573142514352</v>
      </c>
    </row>
    <row r="68" spans="1:15" ht="15">
      <c r="A68" s="13" t="s">
        <v>877</v>
      </c>
      <c r="B68" s="27" t="s">
        <v>876</v>
      </c>
      <c r="C68" s="13" t="s">
        <v>160</v>
      </c>
      <c r="D68" s="13">
        <v>117</v>
      </c>
      <c r="E68" s="13"/>
      <c r="F68" s="4" t="s">
        <v>13</v>
      </c>
      <c r="G68" s="442">
        <v>40</v>
      </c>
      <c r="H68" s="440">
        <v>10</v>
      </c>
      <c r="I68" s="28">
        <v>1</v>
      </c>
      <c r="J68" s="441">
        <f t="shared" si="12"/>
        <v>0.25</v>
      </c>
      <c r="K68" s="442">
        <f>(2986+2653+2620+818+16*3.1415*14+219*3.1415+30*3)/1000</f>
        <v>10.5586845</v>
      </c>
      <c r="L68" s="267">
        <f>J68*K68</f>
        <v>2.639671125</v>
      </c>
      <c r="M68" s="433">
        <f t="shared" si="14"/>
        <v>527.93422499999997</v>
      </c>
      <c r="N68" s="434">
        <v>200</v>
      </c>
      <c r="O68" s="435">
        <f t="shared" si="15"/>
        <v>2.639671125</v>
      </c>
    </row>
    <row r="69" spans="1:15" ht="15">
      <c r="A69" s="13" t="s">
        <v>206</v>
      </c>
      <c r="B69" s="27" t="s">
        <v>94</v>
      </c>
      <c r="C69" s="13" t="s">
        <v>160</v>
      </c>
      <c r="D69" s="13">
        <v>114</v>
      </c>
      <c r="E69" s="13"/>
      <c r="F69" s="4" t="s">
        <v>13</v>
      </c>
      <c r="G69" s="442">
        <v>40</v>
      </c>
      <c r="H69" s="440">
        <v>10</v>
      </c>
      <c r="I69" s="28">
        <v>1</v>
      </c>
      <c r="J69" s="441">
        <f t="shared" si="12"/>
        <v>0.25</v>
      </c>
      <c r="K69" s="442">
        <f>(2986*2+120*3+16*3.1415*14+219*3.1415+2653+2820+19*3.1415*2+23*3.1415*2+2620)/1000</f>
        <v>16.0805705</v>
      </c>
      <c r="L69" s="267">
        <f>J69*K69</f>
        <v>4.0201426250000001</v>
      </c>
      <c r="M69" s="433">
        <f t="shared" si="14"/>
        <v>804.02852500000006</v>
      </c>
      <c r="N69" s="434">
        <v>200</v>
      </c>
      <c r="O69" s="435">
        <f t="shared" si="15"/>
        <v>4.0201426250000001</v>
      </c>
    </row>
    <row r="70" spans="1:15" ht="15">
      <c r="A70" s="13" t="s">
        <v>207</v>
      </c>
      <c r="B70" s="56" t="s">
        <v>55</v>
      </c>
      <c r="C70" s="13" t="s">
        <v>29</v>
      </c>
      <c r="D70" s="13">
        <v>120</v>
      </c>
      <c r="E70" s="13"/>
      <c r="F70" s="13" t="s">
        <v>13</v>
      </c>
      <c r="G70" s="31">
        <v>14.50</v>
      </c>
      <c r="H70" s="440">
        <v>10</v>
      </c>
      <c r="I70" s="28">
        <v>1</v>
      </c>
      <c r="J70" s="441">
        <f t="shared" si="12"/>
        <v>0.68965517241379315</v>
      </c>
      <c r="K70" s="28">
        <v>1</v>
      </c>
      <c r="L70" s="267">
        <f t="shared" si="16" ref="L70:L73">J70*K70</f>
        <v>0.68965517241379315</v>
      </c>
      <c r="M70" s="433">
        <f t="shared" si="14"/>
        <v>121.37931034482759</v>
      </c>
      <c r="N70" s="434">
        <v>176</v>
      </c>
      <c r="O70" s="435">
        <f t="shared" si="15"/>
        <v>0.68965517241379315</v>
      </c>
    </row>
    <row r="71" spans="1:15" ht="15">
      <c r="A71" s="13" t="s">
        <v>208</v>
      </c>
      <c r="B71" s="56" t="s">
        <v>56</v>
      </c>
      <c r="C71" s="13" t="s">
        <v>29</v>
      </c>
      <c r="D71" s="13">
        <v>120</v>
      </c>
      <c r="E71" s="13"/>
      <c r="F71" s="13" t="s">
        <v>13</v>
      </c>
      <c r="G71" s="31">
        <v>14.50</v>
      </c>
      <c r="H71" s="440">
        <v>10</v>
      </c>
      <c r="I71" s="28">
        <v>1</v>
      </c>
      <c r="J71" s="441">
        <f t="shared" si="12"/>
        <v>0.68965517241379315</v>
      </c>
      <c r="K71" s="28">
        <v>1</v>
      </c>
      <c r="L71" s="267">
        <f t="shared" si="16"/>
        <v>0.68965517241379315</v>
      </c>
      <c r="M71" s="433">
        <f t="shared" si="14"/>
        <v>121.37931034482759</v>
      </c>
      <c r="N71" s="434">
        <v>176</v>
      </c>
      <c r="O71" s="435">
        <f t="shared" si="15"/>
        <v>0.68965517241379315</v>
      </c>
    </row>
    <row r="72" spans="1:16" ht="30">
      <c r="A72" s="13" t="s">
        <v>209</v>
      </c>
      <c r="B72" s="27" t="s">
        <v>892</v>
      </c>
      <c r="C72" s="13" t="s">
        <v>14</v>
      </c>
      <c r="D72" s="13">
        <v>119</v>
      </c>
      <c r="E72" s="13"/>
      <c r="F72" s="13" t="s">
        <v>58</v>
      </c>
      <c r="G72" s="28">
        <v>61</v>
      </c>
      <c r="H72" s="440">
        <v>10</v>
      </c>
      <c r="I72" s="28">
        <v>1</v>
      </c>
      <c r="J72" s="441">
        <f t="shared" si="12"/>
        <v>0.16393442622950818</v>
      </c>
      <c r="K72" s="28">
        <v>1.50</v>
      </c>
      <c r="L72" s="267">
        <f t="shared" si="16"/>
        <v>0.24590163934426229</v>
      </c>
      <c r="M72" s="433">
        <f t="shared" si="14"/>
        <v>49.180327868852459</v>
      </c>
      <c r="N72" s="434">
        <v>200</v>
      </c>
      <c r="O72" s="435">
        <f t="shared" si="15"/>
        <v>0.24590163934426229</v>
      </c>
      <c r="P72" s="22"/>
    </row>
    <row r="73" spans="1:16" ht="30">
      <c r="A73" s="13" t="s">
        <v>210</v>
      </c>
      <c r="B73" s="27" t="s">
        <v>114</v>
      </c>
      <c r="C73" s="13" t="s">
        <v>54</v>
      </c>
      <c r="D73" s="13">
        <v>116</v>
      </c>
      <c r="E73" s="13"/>
      <c r="F73" s="13" t="s">
        <v>13</v>
      </c>
      <c r="G73" s="439">
        <v>3.70</v>
      </c>
      <c r="H73" s="440">
        <v>10</v>
      </c>
      <c r="I73" s="28">
        <v>2</v>
      </c>
      <c r="J73" s="441">
        <f t="shared" si="12"/>
        <v>5.4054054054054053</v>
      </c>
      <c r="K73" s="28">
        <v>1</v>
      </c>
      <c r="L73" s="267">
        <f t="shared" si="16"/>
        <v>5.4054054054054053</v>
      </c>
      <c r="M73" s="433">
        <f t="shared" si="14"/>
        <v>1081.081081081081</v>
      </c>
      <c r="N73" s="434">
        <v>200</v>
      </c>
      <c r="O73" s="435">
        <f t="shared" si="15"/>
        <v>2.7027027027027026</v>
      </c>
      <c r="P73" s="22"/>
    </row>
    <row r="74" spans="1:15" ht="30">
      <c r="A74" s="13" t="s">
        <v>211</v>
      </c>
      <c r="B74" s="56" t="s">
        <v>60</v>
      </c>
      <c r="C74" s="13" t="s">
        <v>14</v>
      </c>
      <c r="D74" s="13">
        <v>226</v>
      </c>
      <c r="E74" s="13"/>
      <c r="F74" s="4" t="s">
        <v>58</v>
      </c>
      <c r="G74" s="470">
        <v>4.18</v>
      </c>
      <c r="H74" s="440">
        <v>10</v>
      </c>
      <c r="I74" s="28">
        <v>1</v>
      </c>
      <c r="J74" s="441">
        <f t="shared" si="12"/>
        <v>2.3923444976076556</v>
      </c>
      <c r="K74" s="28">
        <v>1</v>
      </c>
      <c r="L74" s="267">
        <f>J74*K74</f>
        <v>2.3923444976076556</v>
      </c>
      <c r="M74" s="433">
        <f t="shared" si="14"/>
        <v>478.46889952153111</v>
      </c>
      <c r="N74" s="434">
        <v>200</v>
      </c>
      <c r="O74" s="435">
        <f t="shared" si="15"/>
        <v>2.3923444976076556</v>
      </c>
    </row>
    <row r="75" spans="1:15" ht="15">
      <c r="A75" s="39"/>
      <c r="B75" s="649" t="s">
        <v>140</v>
      </c>
      <c r="C75" s="649"/>
      <c r="D75" s="649"/>
      <c r="E75" s="649"/>
      <c r="F75" s="649"/>
      <c r="G75" s="649"/>
      <c r="H75" s="649"/>
      <c r="I75" s="649"/>
      <c r="J75" s="649"/>
      <c r="K75" s="649"/>
      <c r="L75" s="267"/>
      <c r="M75" s="262">
        <f>SUM(M76:M81)</f>
        <v>2114.3115540036101</v>
      </c>
      <c r="N75" s="263"/>
      <c r="O75" s="264">
        <f>SUM(O76:O81)</f>
        <v>6.8973446965367895</v>
      </c>
    </row>
    <row r="76" spans="1:15" ht="15">
      <c r="A76" s="57" t="s">
        <v>893</v>
      </c>
      <c r="B76" s="27" t="s">
        <v>881</v>
      </c>
      <c r="C76" s="13" t="s">
        <v>880</v>
      </c>
      <c r="D76" s="13">
        <v>224</v>
      </c>
      <c r="E76" s="13"/>
      <c r="F76" s="13" t="s">
        <v>353</v>
      </c>
      <c r="G76" s="436">
        <f>600/20</f>
        <v>30</v>
      </c>
      <c r="H76" s="440">
        <v>10</v>
      </c>
      <c r="I76" s="28">
        <v>1</v>
      </c>
      <c r="J76" s="441">
        <f t="shared" si="17" ref="J76:J81">H76/G76*I76</f>
        <v>0.33333333333333331</v>
      </c>
      <c r="K76" s="432">
        <v>1</v>
      </c>
      <c r="L76" s="435">
        <f t="shared" si="18" ref="L76:L81">J76*K76</f>
        <v>0.33333333333333331</v>
      </c>
      <c r="M76" s="266">
        <f t="shared" si="19" ref="M76:M81">L76*N76</f>
        <v>66.666666666666657</v>
      </c>
      <c r="N76" s="433">
        <v>200</v>
      </c>
      <c r="O76" s="435">
        <f t="shared" si="20" ref="O76:O81">J76/I76*K76</f>
        <v>0.33333333333333331</v>
      </c>
    </row>
    <row r="77" spans="1:15" ht="15">
      <c r="A77" s="57" t="s">
        <v>212</v>
      </c>
      <c r="B77" s="56" t="s">
        <v>1175</v>
      </c>
      <c r="C77" s="13" t="s">
        <v>862</v>
      </c>
      <c r="D77" s="13">
        <v>224</v>
      </c>
      <c r="E77" s="13"/>
      <c r="F77" s="17"/>
      <c r="G77" s="28">
        <f>(600-25)/10</f>
        <v>57.50</v>
      </c>
      <c r="H77" s="440">
        <v>10</v>
      </c>
      <c r="I77" s="28">
        <v>2</v>
      </c>
      <c r="J77" s="441">
        <f t="shared" si="17"/>
        <v>0.34782608695652173</v>
      </c>
      <c r="K77" s="28">
        <v>1</v>
      </c>
      <c r="L77" s="267">
        <f t="shared" si="18"/>
        <v>0.34782608695652173</v>
      </c>
      <c r="M77" s="433">
        <f t="shared" si="19"/>
        <v>69.565217391304344</v>
      </c>
      <c r="N77" s="434">
        <v>200</v>
      </c>
      <c r="O77" s="435">
        <f t="shared" si="20"/>
        <v>0.17391304347826086</v>
      </c>
    </row>
    <row r="78" spans="1:15" ht="15">
      <c r="A78" s="57" t="s">
        <v>878</v>
      </c>
      <c r="B78" s="27" t="s">
        <v>882</v>
      </c>
      <c r="C78" s="13" t="s">
        <v>917</v>
      </c>
      <c r="D78" s="13">
        <v>117</v>
      </c>
      <c r="E78" s="13"/>
      <c r="F78" s="13" t="s">
        <v>353</v>
      </c>
      <c r="G78" s="28">
        <v>55.40</v>
      </c>
      <c r="H78" s="440">
        <v>10</v>
      </c>
      <c r="I78" s="28">
        <v>1</v>
      </c>
      <c r="J78" s="441">
        <f t="shared" si="17"/>
        <v>0.18050541516245489</v>
      </c>
      <c r="K78" s="432">
        <v>1</v>
      </c>
      <c r="L78" s="435">
        <f t="shared" si="18"/>
        <v>0.18050541516245489</v>
      </c>
      <c r="M78" s="266">
        <f t="shared" si="19"/>
        <v>36.101083032490976</v>
      </c>
      <c r="N78" s="433">
        <v>200</v>
      </c>
      <c r="O78" s="435">
        <f t="shared" si="20"/>
        <v>0.18050541516245489</v>
      </c>
    </row>
    <row r="79" spans="1:15" ht="15">
      <c r="A79" s="57" t="s">
        <v>214</v>
      </c>
      <c r="B79" s="56" t="s">
        <v>883</v>
      </c>
      <c r="C79" s="13" t="s">
        <v>33</v>
      </c>
      <c r="D79" s="13">
        <v>118</v>
      </c>
      <c r="E79" s="13"/>
      <c r="F79" s="13" t="s">
        <v>510</v>
      </c>
      <c r="G79" s="28">
        <v>40</v>
      </c>
      <c r="H79" s="440">
        <v>10</v>
      </c>
      <c r="I79" s="28">
        <v>2</v>
      </c>
      <c r="J79" s="441">
        <f t="shared" si="17"/>
        <v>0.50</v>
      </c>
      <c r="K79" s="432">
        <v>2</v>
      </c>
      <c r="L79" s="267">
        <f t="shared" si="18"/>
        <v>1</v>
      </c>
      <c r="M79" s="433">
        <f t="shared" si="19"/>
        <v>200</v>
      </c>
      <c r="N79" s="434">
        <v>200</v>
      </c>
      <c r="O79" s="435">
        <f t="shared" si="20"/>
        <v>0.50</v>
      </c>
    </row>
    <row r="80" spans="1:15" ht="15">
      <c r="A80" s="13" t="s">
        <v>219</v>
      </c>
      <c r="B80" s="56" t="s">
        <v>91</v>
      </c>
      <c r="C80" s="13" t="s">
        <v>54</v>
      </c>
      <c r="D80" s="13">
        <v>118</v>
      </c>
      <c r="E80" s="13"/>
      <c r="F80" s="4" t="s">
        <v>59</v>
      </c>
      <c r="G80" s="28">
        <v>3.3330000000000002</v>
      </c>
      <c r="H80" s="440">
        <v>10</v>
      </c>
      <c r="I80" s="28">
        <v>2</v>
      </c>
      <c r="J80" s="441">
        <f t="shared" si="17"/>
        <v>6.0006000600060005</v>
      </c>
      <c r="K80" s="432">
        <v>1</v>
      </c>
      <c r="L80" s="267">
        <f t="shared" si="18"/>
        <v>6.0006000600060005</v>
      </c>
      <c r="M80" s="433">
        <f t="shared" si="19"/>
        <v>1200.1200120012002</v>
      </c>
      <c r="N80" s="434">
        <v>200</v>
      </c>
      <c r="O80" s="435">
        <f t="shared" si="20"/>
        <v>3.0003000300030003</v>
      </c>
    </row>
    <row r="81" spans="1:15" ht="15">
      <c r="A81" s="13" t="s">
        <v>220</v>
      </c>
      <c r="B81" s="56" t="s">
        <v>92</v>
      </c>
      <c r="C81" s="13" t="s">
        <v>54</v>
      </c>
      <c r="D81" s="13">
        <v>118</v>
      </c>
      <c r="E81" s="13"/>
      <c r="F81" s="4" t="s">
        <v>59</v>
      </c>
      <c r="G81" s="28">
        <v>3.6909999999999998</v>
      </c>
      <c r="H81" s="440">
        <v>10</v>
      </c>
      <c r="I81" s="28">
        <v>1</v>
      </c>
      <c r="J81" s="441">
        <f t="shared" si="17"/>
        <v>2.7092928745597402</v>
      </c>
      <c r="K81" s="432">
        <v>1</v>
      </c>
      <c r="L81" s="267">
        <f t="shared" si="18"/>
        <v>2.7092928745597402</v>
      </c>
      <c r="M81" s="433">
        <f t="shared" si="19"/>
        <v>541.85857491194804</v>
      </c>
      <c r="N81" s="434">
        <v>200</v>
      </c>
      <c r="O81" s="435">
        <f t="shared" si="20"/>
        <v>2.7092928745597402</v>
      </c>
    </row>
    <row r="82" spans="1:15" ht="15">
      <c r="A82" s="39"/>
      <c r="B82" s="649" t="s">
        <v>135</v>
      </c>
      <c r="C82" s="649"/>
      <c r="D82" s="649"/>
      <c r="E82" s="649"/>
      <c r="F82" s="649"/>
      <c r="G82" s="649"/>
      <c r="H82" s="649"/>
      <c r="I82" s="649"/>
      <c r="J82" s="649"/>
      <c r="K82" s="649"/>
      <c r="L82" s="435"/>
      <c r="M82" s="262">
        <f>SUM(M83:M85)</f>
        <v>542.1416234887738</v>
      </c>
      <c r="N82" s="263"/>
      <c r="O82" s="264">
        <f>SUM(O83:O85)</f>
        <v>1.4607081174438687</v>
      </c>
    </row>
    <row r="83" spans="1:15" ht="15">
      <c r="A83" s="13" t="s">
        <v>136</v>
      </c>
      <c r="B83" s="56" t="s">
        <v>137</v>
      </c>
      <c r="C83" s="13" t="s">
        <v>138</v>
      </c>
      <c r="D83" s="13">
        <v>117</v>
      </c>
      <c r="E83" s="13"/>
      <c r="F83" s="4" t="s">
        <v>139</v>
      </c>
      <c r="G83" s="28">
        <v>10</v>
      </c>
      <c r="H83" s="440">
        <v>10</v>
      </c>
      <c r="I83" s="28">
        <v>2</v>
      </c>
      <c r="J83" s="441">
        <f>H83/G83*I83</f>
        <v>2</v>
      </c>
      <c r="K83" s="28">
        <v>1</v>
      </c>
      <c r="L83" s="435">
        <f t="shared" si="21" ref="L83:L85">J83*K83</f>
        <v>2</v>
      </c>
      <c r="M83" s="266">
        <f>L83*N83</f>
        <v>400</v>
      </c>
      <c r="N83" s="433">
        <v>200</v>
      </c>
      <c r="O83" s="435">
        <f>J83/I83*K83</f>
        <v>1</v>
      </c>
    </row>
    <row r="84" spans="1:15" ht="15">
      <c r="A84" s="13" t="s">
        <v>346</v>
      </c>
      <c r="B84" s="56" t="s">
        <v>347</v>
      </c>
      <c r="C84" s="13" t="s">
        <v>14</v>
      </c>
      <c r="D84" s="13">
        <v>226</v>
      </c>
      <c r="E84" s="13"/>
      <c r="F84" s="13" t="s">
        <v>58</v>
      </c>
      <c r="G84" s="28">
        <v>23.16</v>
      </c>
      <c r="H84" s="440">
        <v>10</v>
      </c>
      <c r="I84" s="28">
        <v>1</v>
      </c>
      <c r="J84" s="441">
        <f>H84/G84*I84</f>
        <v>0.43177892918825561</v>
      </c>
      <c r="K84" s="28">
        <f>0.122*4</f>
        <v>0.48799999999999999</v>
      </c>
      <c r="L84" s="435">
        <f t="shared" si="21"/>
        <v>0.21070811744386872</v>
      </c>
      <c r="M84" s="266">
        <f>L84*N84</f>
        <v>42.141623488773746</v>
      </c>
      <c r="N84" s="433">
        <v>200</v>
      </c>
      <c r="O84" s="435">
        <f>J84/I84*K84</f>
        <v>0.21070811744386872</v>
      </c>
    </row>
    <row r="85" spans="1:15" ht="15">
      <c r="A85" s="13" t="s">
        <v>344</v>
      </c>
      <c r="B85" s="56" t="s">
        <v>345</v>
      </c>
      <c r="C85" s="13" t="s">
        <v>24</v>
      </c>
      <c r="D85" s="13">
        <v>219</v>
      </c>
      <c r="E85" s="13"/>
      <c r="F85" s="4" t="s">
        <v>139</v>
      </c>
      <c r="G85" s="28">
        <v>40</v>
      </c>
      <c r="H85" s="440">
        <v>10</v>
      </c>
      <c r="I85" s="28">
        <v>2</v>
      </c>
      <c r="J85" s="441">
        <f>H85/G85*I85</f>
        <v>0.50</v>
      </c>
      <c r="K85" s="28">
        <v>1</v>
      </c>
      <c r="L85" s="435">
        <f t="shared" si="21"/>
        <v>0.50</v>
      </c>
      <c r="M85" s="266">
        <f>L85*N85</f>
        <v>100</v>
      </c>
      <c r="N85" s="433">
        <v>200</v>
      </c>
      <c r="O85" s="435">
        <f>J85/I85*K85</f>
        <v>0.25</v>
      </c>
    </row>
    <row r="86" spans="1:15" ht="15">
      <c r="A86" s="39"/>
      <c r="B86" s="649" t="s">
        <v>133</v>
      </c>
      <c r="C86" s="649"/>
      <c r="D86" s="649"/>
      <c r="E86" s="649"/>
      <c r="F86" s="649"/>
      <c r="G86" s="649"/>
      <c r="H86" s="649"/>
      <c r="I86" s="649"/>
      <c r="J86" s="649"/>
      <c r="K86" s="649"/>
      <c r="L86" s="267"/>
      <c r="M86" s="262">
        <f>SUM(M87:M132)</f>
        <v>14354.395760510733</v>
      </c>
      <c r="N86" s="263"/>
      <c r="O86" s="264">
        <f>SUM(O87:O132)</f>
        <v>44.720944164141855</v>
      </c>
    </row>
    <row r="87" spans="1:15" ht="15">
      <c r="A87" s="13" t="s">
        <v>221</v>
      </c>
      <c r="B87" s="56" t="s">
        <v>715</v>
      </c>
      <c r="C87" s="13" t="s">
        <v>24</v>
      </c>
      <c r="D87" s="13">
        <v>112</v>
      </c>
      <c r="E87" s="13"/>
      <c r="F87" s="13" t="s">
        <v>11</v>
      </c>
      <c r="G87" s="432">
        <v>9</v>
      </c>
      <c r="H87" s="440">
        <v>10</v>
      </c>
      <c r="I87" s="28">
        <v>2</v>
      </c>
      <c r="J87" s="441">
        <f t="shared" si="22" ref="J87:J132">H87/G87*I87</f>
        <v>2.2222222222222223</v>
      </c>
      <c r="K87" s="28">
        <v>1</v>
      </c>
      <c r="L87" s="267">
        <f t="shared" si="23" ref="L87:L132">J87*K87</f>
        <v>2.2222222222222223</v>
      </c>
      <c r="M87" s="433">
        <f t="shared" si="24" ref="M87:M132">L87*N87</f>
        <v>444.44444444444446</v>
      </c>
      <c r="N87" s="434">
        <v>200</v>
      </c>
      <c r="O87" s="435">
        <f t="shared" si="25" ref="O87:O132">J87/I87*K87</f>
        <v>1.1111111111111112</v>
      </c>
    </row>
    <row r="88" spans="1:15" ht="15">
      <c r="A88" s="13" t="s">
        <v>1293</v>
      </c>
      <c r="B88" s="56" t="s">
        <v>1294</v>
      </c>
      <c r="C88" s="13" t="s">
        <v>160</v>
      </c>
      <c r="D88" s="13">
        <v>112</v>
      </c>
      <c r="E88" s="13" t="s">
        <v>53</v>
      </c>
      <c r="F88" s="13" t="s">
        <v>1295</v>
      </c>
      <c r="G88" s="28">
        <v>40</v>
      </c>
      <c r="H88" s="431">
        <v>10</v>
      </c>
      <c r="I88" s="28">
        <v>1</v>
      </c>
      <c r="J88" s="473">
        <f t="shared" si="22"/>
        <v>0.25</v>
      </c>
      <c r="K88" s="442">
        <f>460*3.1415*2/1000</f>
        <v>2.8901800000000004</v>
      </c>
      <c r="L88" s="267">
        <f t="shared" si="23"/>
        <v>0.7225450000000001</v>
      </c>
      <c r="M88" s="433">
        <f t="shared" si="24"/>
        <v>144.50900000000001</v>
      </c>
      <c r="N88" s="478">
        <v>200</v>
      </c>
      <c r="O88" s="435">
        <f t="shared" si="25"/>
        <v>0.7225450000000001</v>
      </c>
    </row>
    <row r="89" spans="1:15" ht="30">
      <c r="A89" s="13" t="s">
        <v>225</v>
      </c>
      <c r="B89" s="27" t="s">
        <v>230</v>
      </c>
      <c r="C89" s="13" t="s">
        <v>226</v>
      </c>
      <c r="D89" s="13">
        <v>302</v>
      </c>
      <c r="E89" s="13"/>
      <c r="F89" s="13" t="s">
        <v>227</v>
      </c>
      <c r="G89" s="28">
        <f>600/2.5</f>
        <v>240</v>
      </c>
      <c r="H89" s="440">
        <v>10</v>
      </c>
      <c r="I89" s="28">
        <v>2</v>
      </c>
      <c r="J89" s="441">
        <f t="shared" si="22"/>
        <v>0.083333333333333329</v>
      </c>
      <c r="K89" s="28">
        <v>34</v>
      </c>
      <c r="L89" s="435">
        <f t="shared" si="23"/>
        <v>2.833333333333333</v>
      </c>
      <c r="M89" s="433">
        <f t="shared" si="24"/>
        <v>566.66666666666663</v>
      </c>
      <c r="N89" s="433">
        <v>200</v>
      </c>
      <c r="O89" s="435">
        <f t="shared" si="25"/>
        <v>1.4166666666666665</v>
      </c>
    </row>
    <row r="90" spans="1:15" ht="30">
      <c r="A90" s="13" t="s">
        <v>228</v>
      </c>
      <c r="B90" s="27" t="s">
        <v>1282</v>
      </c>
      <c r="C90" s="13" t="s">
        <v>24</v>
      </c>
      <c r="D90" s="13">
        <v>110</v>
      </c>
      <c r="E90" s="13"/>
      <c r="F90" s="13" t="s">
        <v>63</v>
      </c>
      <c r="G90" s="28">
        <f>10*40</f>
        <v>400</v>
      </c>
      <c r="H90" s="440">
        <v>10</v>
      </c>
      <c r="I90" s="28">
        <v>2</v>
      </c>
      <c r="J90" s="441">
        <f t="shared" si="22"/>
        <v>0.05</v>
      </c>
      <c r="K90" s="28">
        <v>34</v>
      </c>
      <c r="L90" s="435">
        <f t="shared" si="23"/>
        <v>1.7000000000000002</v>
      </c>
      <c r="M90" s="433">
        <f t="shared" si="24"/>
        <v>258.40000000000003</v>
      </c>
      <c r="N90" s="433">
        <v>152</v>
      </c>
      <c r="O90" s="435">
        <f t="shared" si="25"/>
        <v>0.85000000000000009</v>
      </c>
    </row>
    <row r="91" spans="1:15" ht="15">
      <c r="A91" s="13" t="s">
        <v>232</v>
      </c>
      <c r="B91" s="27" t="s">
        <v>61</v>
      </c>
      <c r="C91" s="13" t="s">
        <v>62</v>
      </c>
      <c r="D91" s="13">
        <v>112</v>
      </c>
      <c r="E91" s="13"/>
      <c r="F91" s="13" t="s">
        <v>63</v>
      </c>
      <c r="G91" s="28">
        <v>200</v>
      </c>
      <c r="H91" s="440">
        <v>10</v>
      </c>
      <c r="I91" s="28">
        <v>2</v>
      </c>
      <c r="J91" s="441">
        <f t="shared" si="22"/>
        <v>0.10000000000000001</v>
      </c>
      <c r="K91" s="28">
        <v>34</v>
      </c>
      <c r="L91" s="267">
        <f t="shared" si="23"/>
        <v>3.4000000000000004</v>
      </c>
      <c r="M91" s="433">
        <f t="shared" si="24"/>
        <v>516.80000000000007</v>
      </c>
      <c r="N91" s="434">
        <v>152</v>
      </c>
      <c r="O91" s="435">
        <f t="shared" si="25"/>
        <v>1.7000000000000002</v>
      </c>
    </row>
    <row r="92" spans="1:15" ht="15">
      <c r="A92" s="13" t="s">
        <v>536</v>
      </c>
      <c r="B92" s="27" t="s">
        <v>537</v>
      </c>
      <c r="C92" s="13" t="s">
        <v>538</v>
      </c>
      <c r="D92" s="13">
        <v>115</v>
      </c>
      <c r="E92" s="13"/>
      <c r="F92" s="13" t="s">
        <v>63</v>
      </c>
      <c r="G92" s="28">
        <v>1200</v>
      </c>
      <c r="H92" s="440">
        <v>10</v>
      </c>
      <c r="I92" s="28">
        <v>1</v>
      </c>
      <c r="J92" s="441">
        <f t="shared" si="22"/>
        <v>0.0083333333333333332</v>
      </c>
      <c r="K92" s="28">
        <v>34</v>
      </c>
      <c r="L92" s="267">
        <f t="shared" si="23"/>
        <v>0.28333333333333333</v>
      </c>
      <c r="M92" s="433">
        <f t="shared" si="24"/>
        <v>56.666666666666664</v>
      </c>
      <c r="N92" s="434">
        <v>200</v>
      </c>
      <c r="O92" s="435">
        <f t="shared" si="25"/>
        <v>0.28333333333333333</v>
      </c>
    </row>
    <row r="93" spans="1:15" ht="30">
      <c r="A93" s="13" t="s">
        <v>233</v>
      </c>
      <c r="B93" s="27" t="s">
        <v>66</v>
      </c>
      <c r="C93" s="13" t="s">
        <v>48</v>
      </c>
      <c r="D93" s="13">
        <v>112</v>
      </c>
      <c r="E93" s="13"/>
      <c r="F93" s="13" t="s">
        <v>67</v>
      </c>
      <c r="G93" s="28">
        <v>80</v>
      </c>
      <c r="H93" s="440">
        <v>10</v>
      </c>
      <c r="I93" s="28">
        <v>2</v>
      </c>
      <c r="J93" s="441">
        <f t="shared" si="22"/>
        <v>0.25</v>
      </c>
      <c r="K93" s="28">
        <v>4</v>
      </c>
      <c r="L93" s="267">
        <f t="shared" si="23"/>
        <v>1</v>
      </c>
      <c r="M93" s="433">
        <f t="shared" si="24"/>
        <v>200</v>
      </c>
      <c r="N93" s="434">
        <v>200</v>
      </c>
      <c r="O93" s="435">
        <f t="shared" si="25"/>
        <v>0.50</v>
      </c>
    </row>
    <row r="94" spans="1:15" ht="15">
      <c r="A94" s="637" t="s">
        <v>234</v>
      </c>
      <c r="B94" s="648" t="s">
        <v>235</v>
      </c>
      <c r="C94" s="13" t="s">
        <v>72</v>
      </c>
      <c r="D94" s="13">
        <v>115</v>
      </c>
      <c r="E94" s="13"/>
      <c r="F94" s="13" t="s">
        <v>236</v>
      </c>
      <c r="G94" s="28">
        <v>30</v>
      </c>
      <c r="H94" s="440">
        <v>10</v>
      </c>
      <c r="I94" s="28">
        <v>2</v>
      </c>
      <c r="J94" s="441">
        <f t="shared" si="22"/>
        <v>0.66666666666666663</v>
      </c>
      <c r="K94" s="28">
        <v>2</v>
      </c>
      <c r="L94" s="267">
        <f t="shared" si="23"/>
        <v>1.3333333333333333</v>
      </c>
      <c r="M94" s="433">
        <f t="shared" si="24"/>
        <v>266.66666666666663</v>
      </c>
      <c r="N94" s="434">
        <v>200</v>
      </c>
      <c r="O94" s="435">
        <f t="shared" si="25"/>
        <v>0.66666666666666663</v>
      </c>
    </row>
    <row r="95" spans="1:15" ht="15">
      <c r="A95" s="637"/>
      <c r="B95" s="648"/>
      <c r="C95" s="13" t="s">
        <v>48</v>
      </c>
      <c r="D95" s="13">
        <v>115</v>
      </c>
      <c r="E95" s="13" t="s">
        <v>529</v>
      </c>
      <c r="F95" s="13" t="s">
        <v>10</v>
      </c>
      <c r="G95" s="28">
        <v>40</v>
      </c>
      <c r="H95" s="440">
        <v>10</v>
      </c>
      <c r="I95" s="28">
        <v>1</v>
      </c>
      <c r="J95" s="441">
        <f t="shared" si="22"/>
        <v>0.25</v>
      </c>
      <c r="K95" s="442">
        <f>(908+605+605+895)/1000</f>
        <v>3.0129999999999999</v>
      </c>
      <c r="L95" s="267">
        <f t="shared" si="23"/>
        <v>0.75324999999999998</v>
      </c>
      <c r="M95" s="433">
        <f t="shared" si="24"/>
        <v>150.65000000000001</v>
      </c>
      <c r="N95" s="434">
        <v>200</v>
      </c>
      <c r="O95" s="435">
        <f t="shared" si="25"/>
        <v>0.75324999999999998</v>
      </c>
    </row>
    <row r="96" spans="1:15" ht="15">
      <c r="A96" s="13" t="s">
        <v>237</v>
      </c>
      <c r="B96" s="56" t="s">
        <v>238</v>
      </c>
      <c r="C96" s="13" t="s">
        <v>69</v>
      </c>
      <c r="D96" s="13">
        <v>110</v>
      </c>
      <c r="E96" s="13"/>
      <c r="F96" s="13" t="s">
        <v>34</v>
      </c>
      <c r="G96" s="28">
        <v>10</v>
      </c>
      <c r="H96" s="440">
        <v>10</v>
      </c>
      <c r="I96" s="28">
        <v>2</v>
      </c>
      <c r="J96" s="441">
        <f t="shared" si="22"/>
        <v>2</v>
      </c>
      <c r="K96" s="28">
        <v>1</v>
      </c>
      <c r="L96" s="267">
        <f t="shared" si="23"/>
        <v>2</v>
      </c>
      <c r="M96" s="433">
        <f t="shared" si="24"/>
        <v>400</v>
      </c>
      <c r="N96" s="434">
        <v>200</v>
      </c>
      <c r="O96" s="435">
        <f t="shared" si="25"/>
        <v>1</v>
      </c>
    </row>
    <row r="97" spans="1:15" ht="30">
      <c r="A97" s="13" t="s">
        <v>896</v>
      </c>
      <c r="B97" s="56" t="s">
        <v>894</v>
      </c>
      <c r="C97" s="13" t="s">
        <v>138</v>
      </c>
      <c r="D97" s="13">
        <v>110</v>
      </c>
      <c r="E97" s="13"/>
      <c r="F97" s="13" t="s">
        <v>12</v>
      </c>
      <c r="G97" s="28">
        <v>20</v>
      </c>
      <c r="H97" s="440">
        <v>10</v>
      </c>
      <c r="I97" s="28">
        <v>2</v>
      </c>
      <c r="J97" s="441">
        <f t="shared" si="22"/>
        <v>1</v>
      </c>
      <c r="K97" s="28">
        <v>1</v>
      </c>
      <c r="L97" s="267">
        <f t="shared" si="23"/>
        <v>1</v>
      </c>
      <c r="M97" s="433">
        <f t="shared" si="24"/>
        <v>200</v>
      </c>
      <c r="N97" s="434">
        <v>200</v>
      </c>
      <c r="O97" s="435">
        <f t="shared" si="25"/>
        <v>0.50</v>
      </c>
    </row>
    <row r="98" spans="1:15" ht="30">
      <c r="A98" s="13" t="s">
        <v>243</v>
      </c>
      <c r="B98" s="56" t="s">
        <v>244</v>
      </c>
      <c r="C98" s="13" t="s">
        <v>25</v>
      </c>
      <c r="D98" s="13">
        <v>110</v>
      </c>
      <c r="E98" s="13" t="s">
        <v>53</v>
      </c>
      <c r="F98" s="13" t="s">
        <v>10</v>
      </c>
      <c r="G98" s="28">
        <v>40</v>
      </c>
      <c r="H98" s="440">
        <v>10</v>
      </c>
      <c r="I98" s="28">
        <v>1</v>
      </c>
      <c r="J98" s="441">
        <f t="shared" si="22"/>
        <v>0.25</v>
      </c>
      <c r="K98" s="28">
        <f>2.96*2</f>
        <v>5.92</v>
      </c>
      <c r="L98" s="267">
        <f t="shared" si="23"/>
        <v>1.48</v>
      </c>
      <c r="M98" s="433">
        <f t="shared" si="24"/>
        <v>296</v>
      </c>
      <c r="N98" s="434">
        <v>200</v>
      </c>
      <c r="O98" s="435">
        <f t="shared" si="25"/>
        <v>1.48</v>
      </c>
    </row>
    <row r="99" spans="1:15" ht="15">
      <c r="A99" s="13" t="s">
        <v>237</v>
      </c>
      <c r="B99" s="56" t="s">
        <v>71</v>
      </c>
      <c r="C99" s="13" t="s">
        <v>68</v>
      </c>
      <c r="D99" s="13">
        <v>110</v>
      </c>
      <c r="E99" s="13"/>
      <c r="F99" s="13" t="s">
        <v>34</v>
      </c>
      <c r="G99" s="28">
        <v>20</v>
      </c>
      <c r="H99" s="440">
        <v>10</v>
      </c>
      <c r="I99" s="28">
        <v>2</v>
      </c>
      <c r="J99" s="441">
        <f t="shared" si="22"/>
        <v>1</v>
      </c>
      <c r="K99" s="28">
        <v>1</v>
      </c>
      <c r="L99" s="267">
        <f t="shared" si="23"/>
        <v>1</v>
      </c>
      <c r="M99" s="433">
        <f t="shared" si="24"/>
        <v>200</v>
      </c>
      <c r="N99" s="434">
        <v>200</v>
      </c>
      <c r="O99" s="435">
        <f t="shared" si="25"/>
        <v>0.50</v>
      </c>
    </row>
    <row r="100" spans="1:15" ht="30">
      <c r="A100" s="13" t="s">
        <v>897</v>
      </c>
      <c r="B100" s="56" t="s">
        <v>895</v>
      </c>
      <c r="C100" s="13" t="s">
        <v>138</v>
      </c>
      <c r="D100" s="13">
        <v>110</v>
      </c>
      <c r="E100" s="13"/>
      <c r="F100" s="13" t="s">
        <v>12</v>
      </c>
      <c r="G100" s="28">
        <v>20</v>
      </c>
      <c r="H100" s="440">
        <v>10</v>
      </c>
      <c r="I100" s="28">
        <v>2</v>
      </c>
      <c r="J100" s="441">
        <f t="shared" si="22"/>
        <v>1</v>
      </c>
      <c r="K100" s="28">
        <v>1</v>
      </c>
      <c r="L100" s="267">
        <f t="shared" si="23"/>
        <v>1</v>
      </c>
      <c r="M100" s="433">
        <f t="shared" si="24"/>
        <v>200</v>
      </c>
      <c r="N100" s="434">
        <v>200</v>
      </c>
      <c r="O100" s="435">
        <f t="shared" si="25"/>
        <v>0.50</v>
      </c>
    </row>
    <row r="101" spans="1:15" ht="30">
      <c r="A101" s="13" t="s">
        <v>249</v>
      </c>
      <c r="B101" s="56" t="s">
        <v>248</v>
      </c>
      <c r="C101" s="13" t="s">
        <v>25</v>
      </c>
      <c r="D101" s="13">
        <v>110</v>
      </c>
      <c r="E101" s="13" t="s">
        <v>53</v>
      </c>
      <c r="F101" s="13" t="s">
        <v>10</v>
      </c>
      <c r="G101" s="28">
        <v>40</v>
      </c>
      <c r="H101" s="440">
        <v>10</v>
      </c>
      <c r="I101" s="28">
        <v>1</v>
      </c>
      <c r="J101" s="441">
        <f t="shared" si="22"/>
        <v>0.25</v>
      </c>
      <c r="K101" s="28">
        <f>2.96*2</f>
        <v>5.92</v>
      </c>
      <c r="L101" s="267">
        <f t="shared" si="23"/>
        <v>1.48</v>
      </c>
      <c r="M101" s="433">
        <f t="shared" si="24"/>
        <v>296</v>
      </c>
      <c r="N101" s="434">
        <v>200</v>
      </c>
      <c r="O101" s="435">
        <f t="shared" si="25"/>
        <v>1.48</v>
      </c>
    </row>
    <row r="102" spans="1:15" ht="15">
      <c r="A102" s="13" t="s">
        <v>237</v>
      </c>
      <c r="B102" s="56" t="s">
        <v>71</v>
      </c>
      <c r="C102" s="13" t="s">
        <v>68</v>
      </c>
      <c r="D102" s="13">
        <v>110</v>
      </c>
      <c r="E102" s="13"/>
      <c r="F102" s="13" t="s">
        <v>34</v>
      </c>
      <c r="G102" s="28">
        <v>20</v>
      </c>
      <c r="H102" s="440">
        <v>10</v>
      </c>
      <c r="I102" s="28">
        <v>2</v>
      </c>
      <c r="J102" s="441">
        <f t="shared" si="22"/>
        <v>1</v>
      </c>
      <c r="K102" s="28">
        <v>1</v>
      </c>
      <c r="L102" s="267">
        <f t="shared" si="23"/>
        <v>1</v>
      </c>
      <c r="M102" s="433">
        <f t="shared" si="24"/>
        <v>200</v>
      </c>
      <c r="N102" s="434">
        <v>200</v>
      </c>
      <c r="O102" s="435">
        <f t="shared" si="25"/>
        <v>0.50</v>
      </c>
    </row>
    <row r="103" spans="1:15" ht="30">
      <c r="A103" s="13" t="s">
        <v>239</v>
      </c>
      <c r="B103" s="56" t="s">
        <v>240</v>
      </c>
      <c r="C103" s="13" t="s">
        <v>25</v>
      </c>
      <c r="D103" s="13">
        <v>113</v>
      </c>
      <c r="E103" s="13"/>
      <c r="F103" s="13" t="s">
        <v>63</v>
      </c>
      <c r="G103" s="432">
        <v>112</v>
      </c>
      <c r="H103" s="440">
        <v>10</v>
      </c>
      <c r="I103" s="28">
        <v>1</v>
      </c>
      <c r="J103" s="441">
        <f t="shared" si="22"/>
        <v>0.089285714285714288</v>
      </c>
      <c r="K103" s="28">
        <v>34</v>
      </c>
      <c r="L103" s="267">
        <f t="shared" si="23"/>
        <v>3.0357142857142856</v>
      </c>
      <c r="M103" s="433">
        <f t="shared" si="24"/>
        <v>789.28571428571422</v>
      </c>
      <c r="N103" s="434">
        <v>260</v>
      </c>
      <c r="O103" s="435">
        <f t="shared" si="25"/>
        <v>3.0357142857142856</v>
      </c>
    </row>
    <row r="104" spans="1:15" ht="30">
      <c r="A104" s="13" t="s">
        <v>317</v>
      </c>
      <c r="B104" s="56" t="s">
        <v>316</v>
      </c>
      <c r="C104" s="13" t="s">
        <v>25</v>
      </c>
      <c r="D104" s="13">
        <v>113</v>
      </c>
      <c r="E104" s="13" t="s">
        <v>70</v>
      </c>
      <c r="F104" s="13" t="s">
        <v>10</v>
      </c>
      <c r="G104" s="28">
        <v>40</v>
      </c>
      <c r="H104" s="440">
        <v>10</v>
      </c>
      <c r="I104" s="28">
        <v>1</v>
      </c>
      <c r="J104" s="441">
        <f t="shared" si="22"/>
        <v>0.25</v>
      </c>
      <c r="K104" s="436">
        <f>530/1000*3.1415</f>
        <v>1.6649950000000002</v>
      </c>
      <c r="L104" s="267">
        <f t="shared" si="23"/>
        <v>0.41624875000000006</v>
      </c>
      <c r="M104" s="433">
        <f t="shared" si="24"/>
        <v>83.249750000000006</v>
      </c>
      <c r="N104" s="434">
        <v>200</v>
      </c>
      <c r="O104" s="435">
        <f t="shared" si="25"/>
        <v>0.41624875000000006</v>
      </c>
    </row>
    <row r="105" spans="1:15" ht="30">
      <c r="A105" s="13" t="s">
        <v>245</v>
      </c>
      <c r="B105" s="56" t="s">
        <v>246</v>
      </c>
      <c r="C105" s="13" t="s">
        <v>25</v>
      </c>
      <c r="D105" s="13">
        <v>113</v>
      </c>
      <c r="E105" s="13"/>
      <c r="F105" s="13" t="s">
        <v>63</v>
      </c>
      <c r="G105" s="432">
        <v>112</v>
      </c>
      <c r="H105" s="440">
        <v>10</v>
      </c>
      <c r="I105" s="28">
        <v>1</v>
      </c>
      <c r="J105" s="441">
        <f t="shared" si="22"/>
        <v>0.089285714285714288</v>
      </c>
      <c r="K105" s="28">
        <v>34</v>
      </c>
      <c r="L105" s="267">
        <f t="shared" si="23"/>
        <v>3.0357142857142856</v>
      </c>
      <c r="M105" s="433">
        <f t="shared" si="24"/>
        <v>789.28571428571422</v>
      </c>
      <c r="N105" s="434">
        <v>260</v>
      </c>
      <c r="O105" s="435">
        <f t="shared" si="25"/>
        <v>3.0357142857142856</v>
      </c>
    </row>
    <row r="106" spans="1:15" ht="15">
      <c r="A106" s="13" t="s">
        <v>741</v>
      </c>
      <c r="B106" s="56" t="s">
        <v>1311</v>
      </c>
      <c r="C106" s="13" t="s">
        <v>33</v>
      </c>
      <c r="D106" s="13">
        <v>115</v>
      </c>
      <c r="E106" s="13"/>
      <c r="F106" s="13"/>
      <c r="G106" s="28">
        <v>10</v>
      </c>
      <c r="H106" s="440">
        <v>10</v>
      </c>
      <c r="I106" s="28">
        <v>1</v>
      </c>
      <c r="J106" s="441">
        <f t="shared" si="22"/>
        <v>1</v>
      </c>
      <c r="K106" s="28">
        <v>1</v>
      </c>
      <c r="L106" s="267">
        <f t="shared" si="23"/>
        <v>1</v>
      </c>
      <c r="M106" s="433">
        <f t="shared" si="24"/>
        <v>200</v>
      </c>
      <c r="N106" s="434">
        <v>200</v>
      </c>
      <c r="O106" s="435">
        <f t="shared" si="25"/>
        <v>1</v>
      </c>
    </row>
    <row r="107" spans="1:15" ht="15">
      <c r="A107" s="637" t="s">
        <v>254</v>
      </c>
      <c r="B107" s="638" t="s">
        <v>884</v>
      </c>
      <c r="C107" s="13" t="s">
        <v>76</v>
      </c>
      <c r="D107" s="13">
        <v>115</v>
      </c>
      <c r="E107" s="13"/>
      <c r="F107" s="13" t="s">
        <v>78</v>
      </c>
      <c r="G107" s="28">
        <v>20</v>
      </c>
      <c r="H107" s="440">
        <v>10</v>
      </c>
      <c r="I107" s="28">
        <v>2</v>
      </c>
      <c r="J107" s="441">
        <f t="shared" si="22"/>
        <v>1</v>
      </c>
      <c r="K107" s="28">
        <v>2</v>
      </c>
      <c r="L107" s="267">
        <f t="shared" si="23"/>
        <v>2</v>
      </c>
      <c r="M107" s="433">
        <f t="shared" si="24"/>
        <v>400</v>
      </c>
      <c r="N107" s="434">
        <v>200</v>
      </c>
      <c r="O107" s="435">
        <f t="shared" si="25"/>
        <v>1</v>
      </c>
    </row>
    <row r="108" spans="1:15" ht="15">
      <c r="A108" s="637"/>
      <c r="B108" s="638"/>
      <c r="C108" s="13" t="s">
        <v>77</v>
      </c>
      <c r="D108" s="13">
        <v>115</v>
      </c>
      <c r="E108" s="13" t="s">
        <v>79</v>
      </c>
      <c r="F108" s="13" t="s">
        <v>10</v>
      </c>
      <c r="G108" s="28">
        <v>40</v>
      </c>
      <c r="H108" s="440">
        <v>10</v>
      </c>
      <c r="I108" s="28">
        <v>1</v>
      </c>
      <c r="J108" s="441">
        <f t="shared" si="22"/>
        <v>0.25</v>
      </c>
      <c r="K108" s="442">
        <f>(116*2*4+130*4)/1000</f>
        <v>1.448</v>
      </c>
      <c r="L108" s="267">
        <f t="shared" si="23"/>
        <v>0.36199999999999999</v>
      </c>
      <c r="M108" s="433">
        <f t="shared" si="24"/>
        <v>72.399999999999991</v>
      </c>
      <c r="N108" s="434">
        <v>200</v>
      </c>
      <c r="O108" s="435">
        <f t="shared" si="25"/>
        <v>0.36199999999999999</v>
      </c>
    </row>
    <row r="109" spans="1:15" ht="15">
      <c r="A109" s="637" t="s">
        <v>257</v>
      </c>
      <c r="B109" s="638" t="s">
        <v>258</v>
      </c>
      <c r="C109" s="13" t="s">
        <v>318</v>
      </c>
      <c r="D109" s="13">
        <v>107</v>
      </c>
      <c r="E109" s="13" t="s">
        <v>260</v>
      </c>
      <c r="F109" s="13" t="s">
        <v>261</v>
      </c>
      <c r="G109" s="442">
        <f>32*2</f>
        <v>64</v>
      </c>
      <c r="H109" s="468">
        <v>10</v>
      </c>
      <c r="I109" s="432">
        <v>2</v>
      </c>
      <c r="J109" s="468">
        <f t="shared" si="22"/>
        <v>0.3125</v>
      </c>
      <c r="K109" s="442">
        <v>2</v>
      </c>
      <c r="L109" s="267">
        <f t="shared" si="23"/>
        <v>0.625</v>
      </c>
      <c r="M109" s="266">
        <f t="shared" si="24"/>
        <v>125</v>
      </c>
      <c r="N109" s="433">
        <v>200</v>
      </c>
      <c r="O109" s="267">
        <f t="shared" si="25"/>
        <v>0.3125</v>
      </c>
    </row>
    <row r="110" spans="1:15" ht="15">
      <c r="A110" s="637"/>
      <c r="B110" s="638"/>
      <c r="C110" s="13" t="s">
        <v>319</v>
      </c>
      <c r="D110" s="13">
        <v>107</v>
      </c>
      <c r="E110" s="13" t="s">
        <v>260</v>
      </c>
      <c r="F110" s="17" t="s">
        <v>261</v>
      </c>
      <c r="G110" s="31">
        <v>110</v>
      </c>
      <c r="H110" s="252">
        <v>10</v>
      </c>
      <c r="I110" s="16">
        <v>2</v>
      </c>
      <c r="J110" s="253">
        <f t="shared" si="22"/>
        <v>0.18181818181818182</v>
      </c>
      <c r="K110" s="31">
        <v>4</v>
      </c>
      <c r="L110" s="8">
        <f t="shared" si="23"/>
        <v>0.72727272727272729</v>
      </c>
      <c r="M110" s="42">
        <f t="shared" si="24"/>
        <v>145.45454545454547</v>
      </c>
      <c r="N110" s="43">
        <v>200</v>
      </c>
      <c r="O110" s="8">
        <f t="shared" si="25"/>
        <v>0.36363636363636365</v>
      </c>
    </row>
    <row r="111" spans="1:15" ht="15">
      <c r="A111" s="637" t="s">
        <v>265</v>
      </c>
      <c r="B111" s="638" t="s">
        <v>266</v>
      </c>
      <c r="C111" s="13" t="s">
        <v>76</v>
      </c>
      <c r="D111" s="13">
        <v>116</v>
      </c>
      <c r="E111" s="13"/>
      <c r="F111" s="13" t="s">
        <v>82</v>
      </c>
      <c r="G111" s="28">
        <v>9</v>
      </c>
      <c r="H111" s="440">
        <v>10</v>
      </c>
      <c r="I111" s="28">
        <v>2</v>
      </c>
      <c r="J111" s="441">
        <f t="shared" si="22"/>
        <v>2.2222222222222223</v>
      </c>
      <c r="K111" s="28">
        <v>1</v>
      </c>
      <c r="L111" s="267">
        <f t="shared" si="23"/>
        <v>2.2222222222222223</v>
      </c>
      <c r="M111" s="433">
        <f t="shared" si="24"/>
        <v>444.44444444444446</v>
      </c>
      <c r="N111" s="434">
        <v>200</v>
      </c>
      <c r="O111" s="435">
        <f t="shared" si="25"/>
        <v>1.1111111111111112</v>
      </c>
    </row>
    <row r="112" spans="1:15" ht="15">
      <c r="A112" s="637"/>
      <c r="B112" s="638"/>
      <c r="C112" s="13" t="s">
        <v>77</v>
      </c>
      <c r="D112" s="13">
        <v>116</v>
      </c>
      <c r="E112" s="13" t="s">
        <v>264</v>
      </c>
      <c r="F112" s="13" t="s">
        <v>10</v>
      </c>
      <c r="G112" s="28">
        <v>40</v>
      </c>
      <c r="H112" s="440">
        <v>10</v>
      </c>
      <c r="I112" s="28">
        <v>1</v>
      </c>
      <c r="J112" s="441">
        <f t="shared" si="22"/>
        <v>0.25</v>
      </c>
      <c r="K112" s="442">
        <f>(76*3.1415*3)*2/1000</f>
        <v>1.4325240000000001</v>
      </c>
      <c r="L112" s="267">
        <f t="shared" si="23"/>
        <v>0.35813100000000003</v>
      </c>
      <c r="M112" s="433">
        <f t="shared" si="24"/>
        <v>71.626200000000011</v>
      </c>
      <c r="N112" s="434">
        <v>200</v>
      </c>
      <c r="O112" s="435">
        <f t="shared" si="25"/>
        <v>0.35813100000000003</v>
      </c>
    </row>
    <row r="113" spans="1:15" ht="30">
      <c r="A113" s="13" t="s">
        <v>267</v>
      </c>
      <c r="B113" s="27" t="s">
        <v>519</v>
      </c>
      <c r="C113" s="13" t="s">
        <v>77</v>
      </c>
      <c r="D113" s="13">
        <v>116</v>
      </c>
      <c r="E113" s="13"/>
      <c r="F113" s="13" t="s">
        <v>67</v>
      </c>
      <c r="G113" s="28">
        <v>10</v>
      </c>
      <c r="H113" s="440">
        <v>10</v>
      </c>
      <c r="I113" s="28">
        <v>2</v>
      </c>
      <c r="J113" s="441">
        <f t="shared" si="22"/>
        <v>2</v>
      </c>
      <c r="K113" s="28">
        <v>1</v>
      </c>
      <c r="L113" s="267">
        <f t="shared" si="23"/>
        <v>2</v>
      </c>
      <c r="M113" s="433">
        <f t="shared" si="24"/>
        <v>400</v>
      </c>
      <c r="N113" s="434">
        <v>200</v>
      </c>
      <c r="O113" s="435">
        <f t="shared" si="25"/>
        <v>1</v>
      </c>
    </row>
    <row r="114" spans="1:15" ht="15">
      <c r="A114" s="13" t="s">
        <v>268</v>
      </c>
      <c r="B114" s="27" t="s">
        <v>334</v>
      </c>
      <c r="C114" s="13" t="s">
        <v>83</v>
      </c>
      <c r="D114" s="13">
        <v>116</v>
      </c>
      <c r="E114" s="13"/>
      <c r="F114" s="4" t="s">
        <v>84</v>
      </c>
      <c r="G114" s="16">
        <v>11.34</v>
      </c>
      <c r="H114" s="440">
        <v>10</v>
      </c>
      <c r="I114" s="28">
        <v>2</v>
      </c>
      <c r="J114" s="441">
        <f t="shared" si="22"/>
        <v>1.7636684303350971</v>
      </c>
      <c r="K114" s="28">
        <v>1</v>
      </c>
      <c r="L114" s="267">
        <f t="shared" si="23"/>
        <v>1.7636684303350971</v>
      </c>
      <c r="M114" s="433">
        <f t="shared" si="24"/>
        <v>352.73368606701945</v>
      </c>
      <c r="N114" s="434">
        <v>200</v>
      </c>
      <c r="O114" s="435">
        <f t="shared" si="25"/>
        <v>0.88183421516754856</v>
      </c>
    </row>
    <row r="115" spans="1:15" ht="15">
      <c r="A115" s="13" t="s">
        <v>335</v>
      </c>
      <c r="B115" s="27" t="s">
        <v>336</v>
      </c>
      <c r="C115" s="13" t="s">
        <v>83</v>
      </c>
      <c r="D115" s="13">
        <v>116</v>
      </c>
      <c r="E115" s="13"/>
      <c r="F115" s="4" t="s">
        <v>84</v>
      </c>
      <c r="G115" s="16">
        <v>5</v>
      </c>
      <c r="H115" s="440">
        <v>10</v>
      </c>
      <c r="I115" s="28">
        <v>2</v>
      </c>
      <c r="J115" s="441">
        <f t="shared" si="22"/>
        <v>4</v>
      </c>
      <c r="K115" s="28">
        <v>1</v>
      </c>
      <c r="L115" s="267">
        <f t="shared" si="23"/>
        <v>4</v>
      </c>
      <c r="M115" s="433">
        <f t="shared" si="24"/>
        <v>800</v>
      </c>
      <c r="N115" s="434">
        <v>200</v>
      </c>
      <c r="O115" s="435">
        <f t="shared" si="25"/>
        <v>2</v>
      </c>
    </row>
    <row r="116" spans="1:15" ht="15">
      <c r="A116" s="13" t="s">
        <v>526</v>
      </c>
      <c r="B116" s="56" t="s">
        <v>524</v>
      </c>
      <c r="C116" s="13" t="s">
        <v>523</v>
      </c>
      <c r="D116" s="13">
        <v>224</v>
      </c>
      <c r="E116" s="13"/>
      <c r="F116" s="4" t="s">
        <v>525</v>
      </c>
      <c r="G116" s="28">
        <v>600</v>
      </c>
      <c r="H116" s="431">
        <v>10</v>
      </c>
      <c r="I116" s="28">
        <v>1</v>
      </c>
      <c r="J116" s="441">
        <f t="shared" si="22"/>
        <v>0.016666666666666666</v>
      </c>
      <c r="K116" s="28">
        <v>4</v>
      </c>
      <c r="L116" s="267">
        <f t="shared" si="23"/>
        <v>0.066666666666666666</v>
      </c>
      <c r="M116" s="433">
        <f t="shared" si="24"/>
        <v>11.733333333333333</v>
      </c>
      <c r="N116" s="434">
        <v>176</v>
      </c>
      <c r="O116" s="435">
        <f t="shared" si="25"/>
        <v>0.066666666666666666</v>
      </c>
    </row>
    <row r="117" spans="1:15" ht="15">
      <c r="A117" s="13" t="s">
        <v>269</v>
      </c>
      <c r="B117" s="56" t="s">
        <v>270</v>
      </c>
      <c r="C117" s="13" t="s">
        <v>523</v>
      </c>
      <c r="D117" s="13">
        <v>224</v>
      </c>
      <c r="E117" s="13"/>
      <c r="F117" s="4" t="s">
        <v>88</v>
      </c>
      <c r="G117" s="28">
        <v>300</v>
      </c>
      <c r="H117" s="431">
        <v>10</v>
      </c>
      <c r="I117" s="28">
        <v>1</v>
      </c>
      <c r="J117" s="441">
        <f t="shared" si="22"/>
        <v>0.033333333333333333</v>
      </c>
      <c r="K117" s="28">
        <v>2</v>
      </c>
      <c r="L117" s="267">
        <f t="shared" si="23"/>
        <v>0.066666666666666666</v>
      </c>
      <c r="M117" s="433">
        <f t="shared" si="24"/>
        <v>11.733333333333333</v>
      </c>
      <c r="N117" s="434">
        <v>176</v>
      </c>
      <c r="O117" s="435">
        <f t="shared" si="25"/>
        <v>0.066666666666666666</v>
      </c>
    </row>
    <row r="118" spans="1:15" ht="15">
      <c r="A118" s="13" t="s">
        <v>918</v>
      </c>
      <c r="B118" s="56" t="s">
        <v>898</v>
      </c>
      <c r="C118" s="13" t="s">
        <v>523</v>
      </c>
      <c r="D118" s="13">
        <v>224</v>
      </c>
      <c r="E118" s="13"/>
      <c r="F118" s="4" t="s">
        <v>88</v>
      </c>
      <c r="G118" s="28">
        <v>600</v>
      </c>
      <c r="H118" s="431">
        <v>10</v>
      </c>
      <c r="I118" s="28">
        <v>1</v>
      </c>
      <c r="J118" s="441">
        <f t="shared" si="22"/>
        <v>0.016666666666666666</v>
      </c>
      <c r="K118" s="28">
        <v>1</v>
      </c>
      <c r="L118" s="267">
        <f t="shared" si="23"/>
        <v>0.016666666666666666</v>
      </c>
      <c r="M118" s="433">
        <f t="shared" si="24"/>
        <v>2.9333333333333331</v>
      </c>
      <c r="N118" s="434">
        <v>176</v>
      </c>
      <c r="O118" s="435">
        <f t="shared" si="25"/>
        <v>0.016666666666666666</v>
      </c>
    </row>
    <row r="119" spans="1:15" ht="30">
      <c r="A119" s="13" t="s">
        <v>271</v>
      </c>
      <c r="B119" s="56" t="s">
        <v>85</v>
      </c>
      <c r="C119" s="13" t="s">
        <v>83</v>
      </c>
      <c r="D119" s="13">
        <v>116</v>
      </c>
      <c r="E119" s="13"/>
      <c r="F119" s="13" t="s">
        <v>12</v>
      </c>
      <c r="G119" s="28">
        <v>2.60</v>
      </c>
      <c r="H119" s="440">
        <v>10</v>
      </c>
      <c r="I119" s="28">
        <v>2</v>
      </c>
      <c r="J119" s="441">
        <f t="shared" si="22"/>
        <v>7.6923076923076916</v>
      </c>
      <c r="K119" s="28">
        <v>1</v>
      </c>
      <c r="L119" s="267">
        <f t="shared" si="23"/>
        <v>7.6923076923076916</v>
      </c>
      <c r="M119" s="433">
        <f t="shared" si="24"/>
        <v>1538.4615384615383</v>
      </c>
      <c r="N119" s="434">
        <v>200</v>
      </c>
      <c r="O119" s="435">
        <f t="shared" si="25"/>
        <v>3.8461538461538458</v>
      </c>
    </row>
    <row r="120" spans="1:15" ht="15">
      <c r="A120" s="13" t="s">
        <v>272</v>
      </c>
      <c r="B120" s="27" t="s">
        <v>337</v>
      </c>
      <c r="C120" s="13" t="s">
        <v>83</v>
      </c>
      <c r="D120" s="13">
        <v>116</v>
      </c>
      <c r="E120" s="13"/>
      <c r="F120" s="4" t="s">
        <v>89</v>
      </c>
      <c r="G120" s="28">
        <v>11.34</v>
      </c>
      <c r="H120" s="440">
        <v>10</v>
      </c>
      <c r="I120" s="28">
        <v>2</v>
      </c>
      <c r="J120" s="441">
        <f t="shared" si="22"/>
        <v>1.7636684303350971</v>
      </c>
      <c r="K120" s="28">
        <v>1</v>
      </c>
      <c r="L120" s="267">
        <f t="shared" si="23"/>
        <v>1.7636684303350971</v>
      </c>
      <c r="M120" s="433">
        <f t="shared" si="24"/>
        <v>352.73368606701945</v>
      </c>
      <c r="N120" s="434">
        <v>200</v>
      </c>
      <c r="O120" s="435">
        <f t="shared" si="25"/>
        <v>0.88183421516754856</v>
      </c>
    </row>
    <row r="121" spans="1:15" ht="30">
      <c r="A121" s="13" t="s">
        <v>339</v>
      </c>
      <c r="B121" s="27" t="s">
        <v>338</v>
      </c>
      <c r="C121" s="13" t="s">
        <v>83</v>
      </c>
      <c r="D121" s="13">
        <v>116</v>
      </c>
      <c r="E121" s="13"/>
      <c r="F121" s="4" t="s">
        <v>89</v>
      </c>
      <c r="G121" s="28">
        <v>6.5970000000000004</v>
      </c>
      <c r="H121" s="440">
        <v>10</v>
      </c>
      <c r="I121" s="28">
        <v>2</v>
      </c>
      <c r="J121" s="441">
        <f t="shared" si="22"/>
        <v>3.0316810671517356</v>
      </c>
      <c r="K121" s="28">
        <v>1</v>
      </c>
      <c r="L121" s="267">
        <f t="shared" si="23"/>
        <v>3.0316810671517356</v>
      </c>
      <c r="M121" s="433">
        <f t="shared" si="24"/>
        <v>606.33621343034713</v>
      </c>
      <c r="N121" s="434">
        <v>200</v>
      </c>
      <c r="O121" s="435">
        <f t="shared" si="25"/>
        <v>1.5158405335758678</v>
      </c>
    </row>
    <row r="122" spans="1:15" ht="30">
      <c r="A122" s="13" t="s">
        <v>273</v>
      </c>
      <c r="B122" s="27" t="s">
        <v>125</v>
      </c>
      <c r="C122" s="13" t="s">
        <v>54</v>
      </c>
      <c r="D122" s="13">
        <v>116</v>
      </c>
      <c r="E122" s="13"/>
      <c r="F122" s="4" t="s">
        <v>88</v>
      </c>
      <c r="G122" s="28">
        <v>10</v>
      </c>
      <c r="H122" s="440">
        <v>10</v>
      </c>
      <c r="I122" s="28">
        <v>2</v>
      </c>
      <c r="J122" s="441">
        <f t="shared" si="22"/>
        <v>2</v>
      </c>
      <c r="K122" s="28">
        <v>2</v>
      </c>
      <c r="L122" s="267">
        <f t="shared" si="23"/>
        <v>4</v>
      </c>
      <c r="M122" s="433">
        <f t="shared" si="24"/>
        <v>800</v>
      </c>
      <c r="N122" s="434">
        <v>200</v>
      </c>
      <c r="O122" s="435">
        <f t="shared" si="25"/>
        <v>2</v>
      </c>
    </row>
    <row r="123" spans="1:15" ht="30">
      <c r="A123" s="523" t="s">
        <v>1668</v>
      </c>
      <c r="B123" s="522" t="s">
        <v>1670</v>
      </c>
      <c r="C123" s="523" t="s">
        <v>33</v>
      </c>
      <c r="D123" s="523">
        <v>116</v>
      </c>
      <c r="E123" s="523"/>
      <c r="F123" s="523" t="s">
        <v>1666</v>
      </c>
      <c r="G123" s="527">
        <v>15.32</v>
      </c>
      <c r="H123" s="530">
        <v>10</v>
      </c>
      <c r="I123" s="527">
        <v>2</v>
      </c>
      <c r="J123" s="531">
        <f t="shared" si="22"/>
        <v>1.3054830287206267</v>
      </c>
      <c r="K123" s="527">
        <v>1</v>
      </c>
      <c r="L123" s="267">
        <f t="shared" si="23"/>
        <v>1.3054830287206267</v>
      </c>
      <c r="M123" s="433">
        <f t="shared" si="24"/>
        <v>261.09660574412533</v>
      </c>
      <c r="N123" s="434">
        <v>200</v>
      </c>
      <c r="O123" s="435">
        <f t="shared" si="25"/>
        <v>0.65274151436031336</v>
      </c>
    </row>
    <row r="124" spans="1:15" ht="30">
      <c r="A124" s="523" t="s">
        <v>1669</v>
      </c>
      <c r="B124" s="522" t="s">
        <v>1671</v>
      </c>
      <c r="C124" s="523" t="s">
        <v>33</v>
      </c>
      <c r="D124" s="523">
        <v>116</v>
      </c>
      <c r="E124" s="523"/>
      <c r="F124" s="523" t="s">
        <v>10</v>
      </c>
      <c r="G124" s="527">
        <v>40</v>
      </c>
      <c r="H124" s="530">
        <v>10</v>
      </c>
      <c r="I124" s="527">
        <v>1</v>
      </c>
      <c r="J124" s="531">
        <f t="shared" si="22"/>
        <v>0.25</v>
      </c>
      <c r="K124" s="525">
        <f>2898/1000</f>
        <v>2.8980000000000001</v>
      </c>
      <c r="L124" s="267">
        <f t="shared" si="23"/>
        <v>0.72450000000000003</v>
      </c>
      <c r="M124" s="433">
        <f t="shared" si="24"/>
        <v>144.90000000000001</v>
      </c>
      <c r="N124" s="434">
        <v>200</v>
      </c>
      <c r="O124" s="435">
        <f t="shared" si="25"/>
        <v>0.72450000000000003</v>
      </c>
    </row>
    <row r="125" spans="1:15" ht="15">
      <c r="A125" s="13" t="s">
        <v>274</v>
      </c>
      <c r="B125" s="27" t="s">
        <v>275</v>
      </c>
      <c r="C125" s="13" t="s">
        <v>83</v>
      </c>
      <c r="D125" s="13">
        <v>116</v>
      </c>
      <c r="E125" s="13"/>
      <c r="F125" s="4" t="s">
        <v>276</v>
      </c>
      <c r="G125" s="28">
        <v>20</v>
      </c>
      <c r="H125" s="440">
        <v>10</v>
      </c>
      <c r="I125" s="28">
        <v>2</v>
      </c>
      <c r="J125" s="441">
        <f t="shared" si="22"/>
        <v>1</v>
      </c>
      <c r="K125" s="28">
        <v>1</v>
      </c>
      <c r="L125" s="267">
        <f t="shared" si="23"/>
        <v>1</v>
      </c>
      <c r="M125" s="433">
        <f t="shared" si="24"/>
        <v>200</v>
      </c>
      <c r="N125" s="434">
        <v>200</v>
      </c>
      <c r="O125" s="435">
        <f t="shared" si="25"/>
        <v>0.50</v>
      </c>
    </row>
    <row r="126" spans="1:15" ht="15">
      <c r="A126" s="13" t="s">
        <v>277</v>
      </c>
      <c r="B126" s="27" t="s">
        <v>278</v>
      </c>
      <c r="C126" s="13" t="s">
        <v>83</v>
      </c>
      <c r="D126" s="13">
        <v>116</v>
      </c>
      <c r="E126" s="13"/>
      <c r="F126" s="4" t="s">
        <v>90</v>
      </c>
      <c r="G126" s="28">
        <v>14</v>
      </c>
      <c r="H126" s="440">
        <v>10</v>
      </c>
      <c r="I126" s="28">
        <v>2</v>
      </c>
      <c r="J126" s="441">
        <f t="shared" si="22"/>
        <v>1.4285714285714286</v>
      </c>
      <c r="K126" s="28">
        <v>1</v>
      </c>
      <c r="L126" s="267">
        <f t="shared" si="23"/>
        <v>1.4285714285714286</v>
      </c>
      <c r="M126" s="433">
        <f t="shared" si="24"/>
        <v>285.71428571428572</v>
      </c>
      <c r="N126" s="434">
        <v>200</v>
      </c>
      <c r="O126" s="435">
        <f t="shared" si="25"/>
        <v>0.7142857142857143</v>
      </c>
    </row>
    <row r="127" spans="1:15" ht="15">
      <c r="A127" s="13" t="s">
        <v>279</v>
      </c>
      <c r="B127" s="27" t="s">
        <v>280</v>
      </c>
      <c r="C127" s="13" t="s">
        <v>29</v>
      </c>
      <c r="D127" s="13">
        <v>120</v>
      </c>
      <c r="E127" s="13"/>
      <c r="F127" s="13" t="s">
        <v>12</v>
      </c>
      <c r="G127" s="28">
        <v>13</v>
      </c>
      <c r="H127" s="440">
        <v>10</v>
      </c>
      <c r="I127" s="28">
        <v>1</v>
      </c>
      <c r="J127" s="441">
        <f t="shared" si="22"/>
        <v>0.76923076923076927</v>
      </c>
      <c r="K127" s="28">
        <v>1</v>
      </c>
      <c r="L127" s="435">
        <f t="shared" si="23"/>
        <v>0.76923076923076927</v>
      </c>
      <c r="M127" s="266">
        <f t="shared" si="24"/>
        <v>135.38461538461539</v>
      </c>
      <c r="N127" s="433">
        <v>176</v>
      </c>
      <c r="O127" s="435">
        <f t="shared" si="25"/>
        <v>0.76923076923076927</v>
      </c>
    </row>
    <row r="128" spans="1:15" ht="15">
      <c r="A128" s="13" t="s">
        <v>281</v>
      </c>
      <c r="B128" s="56" t="s">
        <v>30</v>
      </c>
      <c r="C128" s="13" t="s">
        <v>29</v>
      </c>
      <c r="D128" s="13">
        <v>120</v>
      </c>
      <c r="E128" s="13"/>
      <c r="F128" s="13" t="s">
        <v>12</v>
      </c>
      <c r="G128" s="436">
        <v>8.43</v>
      </c>
      <c r="H128" s="440">
        <v>10</v>
      </c>
      <c r="I128" s="28">
        <v>1</v>
      </c>
      <c r="J128" s="441">
        <f t="shared" si="22"/>
        <v>1.1862396204033214</v>
      </c>
      <c r="K128" s="28">
        <v>1</v>
      </c>
      <c r="L128" s="267">
        <f t="shared" si="23"/>
        <v>1.1862396204033214</v>
      </c>
      <c r="M128" s="433">
        <f t="shared" si="24"/>
        <v>208.77817319098457</v>
      </c>
      <c r="N128" s="434">
        <v>176</v>
      </c>
      <c r="O128" s="435">
        <f t="shared" si="25"/>
        <v>1.1862396204033214</v>
      </c>
    </row>
    <row r="129" spans="1:15" ht="30">
      <c r="A129" s="13" t="s">
        <v>282</v>
      </c>
      <c r="B129" s="56" t="s">
        <v>283</v>
      </c>
      <c r="C129" s="13" t="s">
        <v>29</v>
      </c>
      <c r="D129" s="13">
        <v>120</v>
      </c>
      <c r="E129" s="13"/>
      <c r="F129" s="13" t="s">
        <v>12</v>
      </c>
      <c r="G129" s="436">
        <v>11.21</v>
      </c>
      <c r="H129" s="440">
        <v>10</v>
      </c>
      <c r="I129" s="28">
        <v>1</v>
      </c>
      <c r="J129" s="441">
        <f t="shared" si="22"/>
        <v>0.89206066012488838</v>
      </c>
      <c r="K129" s="28">
        <v>1</v>
      </c>
      <c r="L129" s="267">
        <f t="shared" si="23"/>
        <v>0.89206066012488838</v>
      </c>
      <c r="M129" s="433">
        <f t="shared" si="24"/>
        <v>157.00267618198035</v>
      </c>
      <c r="N129" s="434">
        <v>176</v>
      </c>
      <c r="O129" s="435">
        <f t="shared" si="25"/>
        <v>0.89206066012488838</v>
      </c>
    </row>
    <row r="130" spans="1:15" ht="15">
      <c r="A130" s="13" t="s">
        <v>902</v>
      </c>
      <c r="B130" s="56" t="s">
        <v>1176</v>
      </c>
      <c r="C130" s="13" t="s">
        <v>523</v>
      </c>
      <c r="D130" s="13">
        <v>224</v>
      </c>
      <c r="E130" s="13"/>
      <c r="F130" s="4" t="s">
        <v>900</v>
      </c>
      <c r="G130" s="28">
        <v>600</v>
      </c>
      <c r="H130" s="431">
        <v>10</v>
      </c>
      <c r="I130" s="28">
        <v>1</v>
      </c>
      <c r="J130" s="441">
        <f t="shared" si="22"/>
        <v>0.016666666666666666</v>
      </c>
      <c r="K130" s="28">
        <v>1</v>
      </c>
      <c r="L130" s="267">
        <f t="shared" si="23"/>
        <v>0.016666666666666666</v>
      </c>
      <c r="M130" s="433">
        <f t="shared" si="24"/>
        <v>2.9333333333333331</v>
      </c>
      <c r="N130" s="434">
        <v>176</v>
      </c>
      <c r="O130" s="435">
        <f t="shared" si="25"/>
        <v>0.016666666666666666</v>
      </c>
    </row>
    <row r="131" spans="1:15" ht="15">
      <c r="A131" s="13" t="s">
        <v>285</v>
      </c>
      <c r="B131" s="56" t="s">
        <v>901</v>
      </c>
      <c r="C131" s="13" t="s">
        <v>83</v>
      </c>
      <c r="D131" s="13">
        <v>116</v>
      </c>
      <c r="E131" s="13"/>
      <c r="F131" s="13" t="s">
        <v>12</v>
      </c>
      <c r="G131" s="28">
        <v>9.6999999999999993</v>
      </c>
      <c r="H131" s="440">
        <v>10</v>
      </c>
      <c r="I131" s="28">
        <v>2</v>
      </c>
      <c r="J131" s="441">
        <f t="shared" si="22"/>
        <v>2.061855670103093</v>
      </c>
      <c r="K131" s="28">
        <v>1</v>
      </c>
      <c r="L131" s="267">
        <f t="shared" si="23"/>
        <v>2.061855670103093</v>
      </c>
      <c r="M131" s="433">
        <f t="shared" si="24"/>
        <v>412.37113402061863</v>
      </c>
      <c r="N131" s="434">
        <v>200</v>
      </c>
      <c r="O131" s="435">
        <f t="shared" si="25"/>
        <v>1.0309278350515465</v>
      </c>
    </row>
    <row r="132" spans="1:15" ht="15">
      <c r="A132" s="13" t="s">
        <v>286</v>
      </c>
      <c r="B132" s="27" t="s">
        <v>288</v>
      </c>
      <c r="C132" s="13" t="s">
        <v>287</v>
      </c>
      <c r="D132" s="13">
        <v>116</v>
      </c>
      <c r="E132" s="13"/>
      <c r="F132" s="13" t="s">
        <v>67</v>
      </c>
      <c r="G132" s="28">
        <v>40</v>
      </c>
      <c r="H132" s="440">
        <v>10</v>
      </c>
      <c r="I132" s="28">
        <v>1</v>
      </c>
      <c r="J132" s="441">
        <f t="shared" si="22"/>
        <v>0.25</v>
      </c>
      <c r="K132" s="28">
        <v>4</v>
      </c>
      <c r="L132" s="267">
        <f t="shared" si="23"/>
        <v>1</v>
      </c>
      <c r="M132" s="433">
        <f t="shared" si="24"/>
        <v>152</v>
      </c>
      <c r="N132" s="434">
        <v>152</v>
      </c>
      <c r="O132" s="435">
        <f t="shared" si="25"/>
        <v>1</v>
      </c>
    </row>
    <row r="133" spans="1:15" ht="15">
      <c r="A133" s="39"/>
      <c r="B133" s="649" t="s">
        <v>134</v>
      </c>
      <c r="C133" s="649"/>
      <c r="D133" s="649"/>
      <c r="E133" s="649"/>
      <c r="F133" s="649"/>
      <c r="G133" s="649"/>
      <c r="H133" s="649"/>
      <c r="I133" s="649"/>
      <c r="J133" s="649"/>
      <c r="K133" s="649"/>
      <c r="L133" s="267"/>
      <c r="M133" s="262">
        <f>SUM(M134:M154)</f>
        <v>5346.3478021208994</v>
      </c>
      <c r="N133" s="263"/>
      <c r="O133" s="264">
        <f>SUM(O134:O154)</f>
        <v>19.312013206571137</v>
      </c>
    </row>
    <row r="134" spans="1:16" ht="30">
      <c r="A134" s="13" t="s">
        <v>297</v>
      </c>
      <c r="B134" s="56" t="s">
        <v>298</v>
      </c>
      <c r="C134" s="13" t="s">
        <v>33</v>
      </c>
      <c r="D134" s="13">
        <v>116</v>
      </c>
      <c r="E134" s="13"/>
      <c r="F134" s="13" t="s">
        <v>96</v>
      </c>
      <c r="G134" s="432">
        <v>10</v>
      </c>
      <c r="H134" s="440">
        <v>10</v>
      </c>
      <c r="I134" s="28">
        <v>2</v>
      </c>
      <c r="J134" s="441">
        <f t="shared" si="26" ref="J134:J154">H134/G134*I134</f>
        <v>2</v>
      </c>
      <c r="K134" s="28">
        <v>1</v>
      </c>
      <c r="L134" s="267">
        <f t="shared" si="27" ref="L134:L154">J134*K134</f>
        <v>2</v>
      </c>
      <c r="M134" s="433">
        <f t="shared" si="28" ref="M134:M154">L134*N134</f>
        <v>400</v>
      </c>
      <c r="N134" s="434">
        <v>200</v>
      </c>
      <c r="O134" s="435">
        <f t="shared" si="29" ref="O134:O154">J134/I134*K134</f>
        <v>1</v>
      </c>
      <c r="P134" s="22"/>
    </row>
    <row r="135" spans="1:16" ht="30">
      <c r="A135" s="523" t="s">
        <v>1663</v>
      </c>
      <c r="B135" s="522" t="s">
        <v>1665</v>
      </c>
      <c r="C135" s="523" t="s">
        <v>33</v>
      </c>
      <c r="D135" s="523">
        <v>116</v>
      </c>
      <c r="E135" s="523"/>
      <c r="F135" s="523" t="s">
        <v>1666</v>
      </c>
      <c r="G135" s="527">
        <v>14.53</v>
      </c>
      <c r="H135" s="530">
        <v>10</v>
      </c>
      <c r="I135" s="527">
        <v>2</v>
      </c>
      <c r="J135" s="531">
        <f t="shared" si="26"/>
        <v>1.3764624913971095</v>
      </c>
      <c r="K135" s="527">
        <v>1</v>
      </c>
      <c r="L135" s="267">
        <f t="shared" si="27"/>
        <v>1.3764624913971095</v>
      </c>
      <c r="M135" s="433">
        <f t="shared" si="28"/>
        <v>275.29249827942192</v>
      </c>
      <c r="N135" s="434">
        <v>200</v>
      </c>
      <c r="O135" s="435">
        <f t="shared" si="29"/>
        <v>0.68823124569855476</v>
      </c>
      <c r="P135" s="22"/>
    </row>
    <row r="136" spans="1:16" ht="30">
      <c r="A136" s="523" t="s">
        <v>1664</v>
      </c>
      <c r="B136" s="522" t="s">
        <v>1667</v>
      </c>
      <c r="C136" s="523" t="s">
        <v>33</v>
      </c>
      <c r="D136" s="523">
        <v>116</v>
      </c>
      <c r="E136" s="523"/>
      <c r="F136" s="523" t="s">
        <v>10</v>
      </c>
      <c r="G136" s="527">
        <v>40</v>
      </c>
      <c r="H136" s="530">
        <v>10</v>
      </c>
      <c r="I136" s="527">
        <v>1</v>
      </c>
      <c r="J136" s="531">
        <f t="shared" si="26"/>
        <v>0.25</v>
      </c>
      <c r="K136" s="525">
        <f>2957/1000</f>
        <v>2.9569999999999999</v>
      </c>
      <c r="L136" s="267">
        <f t="shared" si="27"/>
        <v>0.73924999999999996</v>
      </c>
      <c r="M136" s="433">
        <f t="shared" si="28"/>
        <v>147.84999999999999</v>
      </c>
      <c r="N136" s="434">
        <v>200</v>
      </c>
      <c r="O136" s="435">
        <f t="shared" si="29"/>
        <v>0.73924999999999996</v>
      </c>
      <c r="P136" s="22"/>
    </row>
    <row r="137" spans="1:16" ht="30">
      <c r="A137" s="13" t="s">
        <v>299</v>
      </c>
      <c r="B137" s="56" t="s">
        <v>300</v>
      </c>
      <c r="C137" s="13" t="s">
        <v>33</v>
      </c>
      <c r="D137" s="13">
        <v>119</v>
      </c>
      <c r="E137" s="13"/>
      <c r="F137" s="13" t="s">
        <v>96</v>
      </c>
      <c r="G137" s="442">
        <v>22.79</v>
      </c>
      <c r="H137" s="440">
        <v>10</v>
      </c>
      <c r="I137" s="28">
        <v>2</v>
      </c>
      <c r="J137" s="441">
        <f t="shared" si="26"/>
        <v>0.87757788503729706</v>
      </c>
      <c r="K137" s="28">
        <v>1</v>
      </c>
      <c r="L137" s="267">
        <f t="shared" si="27"/>
        <v>0.87757788503729706</v>
      </c>
      <c r="M137" s="433">
        <f t="shared" si="28"/>
        <v>175.5155770074594</v>
      </c>
      <c r="N137" s="434">
        <v>200</v>
      </c>
      <c r="O137" s="435">
        <f t="shared" si="29"/>
        <v>0.43878894251864853</v>
      </c>
      <c r="P137" s="22"/>
    </row>
    <row r="138" spans="1:16" ht="30">
      <c r="A138" s="13" t="s">
        <v>301</v>
      </c>
      <c r="B138" s="27" t="s">
        <v>97</v>
      </c>
      <c r="C138" s="13" t="s">
        <v>83</v>
      </c>
      <c r="D138" s="13">
        <v>119</v>
      </c>
      <c r="E138" s="13"/>
      <c r="F138" s="13" t="s">
        <v>12</v>
      </c>
      <c r="G138" s="442">
        <v>4.37</v>
      </c>
      <c r="H138" s="440">
        <v>10</v>
      </c>
      <c r="I138" s="28">
        <v>2</v>
      </c>
      <c r="J138" s="441">
        <f t="shared" si="26"/>
        <v>4.5766590389016013</v>
      </c>
      <c r="K138" s="28">
        <v>1</v>
      </c>
      <c r="L138" s="267">
        <f t="shared" si="27"/>
        <v>4.5766590389016013</v>
      </c>
      <c r="M138" s="433">
        <f t="shared" si="28"/>
        <v>915.33180778032022</v>
      </c>
      <c r="N138" s="434">
        <v>200</v>
      </c>
      <c r="O138" s="435">
        <f t="shared" si="29"/>
        <v>2.2883295194508007</v>
      </c>
      <c r="P138" s="22"/>
    </row>
    <row r="139" spans="1:15" ht="15">
      <c r="A139" s="57" t="s">
        <v>530</v>
      </c>
      <c r="B139" s="269" t="s">
        <v>531</v>
      </c>
      <c r="C139" s="13" t="s">
        <v>33</v>
      </c>
      <c r="D139" s="13">
        <v>226</v>
      </c>
      <c r="E139" s="13"/>
      <c r="F139" s="13" t="s">
        <v>12</v>
      </c>
      <c r="G139" s="28">
        <v>10</v>
      </c>
      <c r="H139" s="440">
        <v>10</v>
      </c>
      <c r="I139" s="28">
        <v>1</v>
      </c>
      <c r="J139" s="441">
        <f t="shared" si="26"/>
        <v>1</v>
      </c>
      <c r="K139" s="442">
        <v>1</v>
      </c>
      <c r="L139" s="267">
        <f t="shared" si="27"/>
        <v>1</v>
      </c>
      <c r="M139" s="266">
        <f t="shared" si="28"/>
        <v>200</v>
      </c>
      <c r="N139" s="433">
        <v>200</v>
      </c>
      <c r="O139" s="435">
        <f t="shared" si="29"/>
        <v>1</v>
      </c>
    </row>
    <row r="140" spans="1:16" ht="15">
      <c r="A140" s="13" t="s">
        <v>290</v>
      </c>
      <c r="B140" s="27" t="s">
        <v>31</v>
      </c>
      <c r="C140" s="13" t="s">
        <v>14</v>
      </c>
      <c r="D140" s="13">
        <v>226</v>
      </c>
      <c r="E140" s="13"/>
      <c r="F140" s="13" t="s">
        <v>58</v>
      </c>
      <c r="G140" s="28">
        <v>61</v>
      </c>
      <c r="H140" s="440">
        <v>10</v>
      </c>
      <c r="I140" s="28">
        <v>1</v>
      </c>
      <c r="J140" s="441">
        <f t="shared" si="26"/>
        <v>0.16393442622950818</v>
      </c>
      <c r="K140" s="28">
        <v>7.25</v>
      </c>
      <c r="L140" s="267">
        <f t="shared" si="27"/>
        <v>1.1885245901639343</v>
      </c>
      <c r="M140" s="433">
        <f t="shared" si="28"/>
        <v>237.70491803278685</v>
      </c>
      <c r="N140" s="434">
        <v>200</v>
      </c>
      <c r="O140" s="435">
        <f t="shared" si="29"/>
        <v>1.1885245901639343</v>
      </c>
      <c r="P140" s="22"/>
    </row>
    <row r="141" spans="1:16" ht="15">
      <c r="A141" s="13" t="s">
        <v>302</v>
      </c>
      <c r="B141" s="27" t="s">
        <v>903</v>
      </c>
      <c r="C141" s="13" t="s">
        <v>523</v>
      </c>
      <c r="D141" s="13">
        <v>224</v>
      </c>
      <c r="E141" s="13"/>
      <c r="F141" s="13" t="s">
        <v>400</v>
      </c>
      <c r="G141" s="442">
        <v>50</v>
      </c>
      <c r="H141" s="440">
        <v>10</v>
      </c>
      <c r="I141" s="28">
        <v>2</v>
      </c>
      <c r="J141" s="441">
        <f t="shared" si="26"/>
        <v>0.40</v>
      </c>
      <c r="K141" s="28">
        <v>2</v>
      </c>
      <c r="L141" s="267">
        <f t="shared" si="27"/>
        <v>0.80</v>
      </c>
      <c r="M141" s="433">
        <f t="shared" si="28"/>
        <v>140.80000000000001</v>
      </c>
      <c r="N141" s="434">
        <v>176</v>
      </c>
      <c r="O141" s="435">
        <f t="shared" si="29"/>
        <v>0.40</v>
      </c>
      <c r="P141" s="22"/>
    </row>
    <row r="142" spans="1:16" ht="15">
      <c r="A142" s="13" t="s">
        <v>292</v>
      </c>
      <c r="B142" s="27" t="s">
        <v>21</v>
      </c>
      <c r="C142" s="13" t="s">
        <v>33</v>
      </c>
      <c r="D142" s="13">
        <v>219</v>
      </c>
      <c r="E142" s="13"/>
      <c r="F142" s="13" t="s">
        <v>12</v>
      </c>
      <c r="G142" s="569">
        <f>4.583*2</f>
        <v>9.1660000000000004</v>
      </c>
      <c r="H142" s="440">
        <v>10</v>
      </c>
      <c r="I142" s="28">
        <v>2</v>
      </c>
      <c r="J142" s="441">
        <f t="shared" si="26"/>
        <v>2.1819768710451668</v>
      </c>
      <c r="K142" s="28">
        <v>1</v>
      </c>
      <c r="L142" s="267">
        <f t="shared" si="27"/>
        <v>2.1819768710451668</v>
      </c>
      <c r="M142" s="433">
        <f t="shared" si="28"/>
        <v>362.20816059349767</v>
      </c>
      <c r="N142" s="434">
        <v>166</v>
      </c>
      <c r="O142" s="435">
        <f t="shared" si="29"/>
        <v>1.0909884355225834</v>
      </c>
      <c r="P142" s="22"/>
    </row>
    <row r="143" spans="1:16" ht="30">
      <c r="A143" s="13" t="s">
        <v>406</v>
      </c>
      <c r="B143" s="27" t="s">
        <v>407</v>
      </c>
      <c r="C143" s="13" t="s">
        <v>14</v>
      </c>
      <c r="D143" s="13">
        <v>226</v>
      </c>
      <c r="E143" s="13"/>
      <c r="F143" s="13" t="s">
        <v>12</v>
      </c>
      <c r="G143" s="442">
        <v>61</v>
      </c>
      <c r="H143" s="440">
        <v>10</v>
      </c>
      <c r="I143" s="28">
        <v>1</v>
      </c>
      <c r="J143" s="441">
        <f t="shared" si="26"/>
        <v>0.16393442622950818</v>
      </c>
      <c r="K143" s="28">
        <v>1.08</v>
      </c>
      <c r="L143" s="435">
        <f t="shared" si="27"/>
        <v>0.17704918032786884</v>
      </c>
      <c r="M143" s="266">
        <f t="shared" si="28"/>
        <v>35.409836065573771</v>
      </c>
      <c r="N143" s="433">
        <v>200</v>
      </c>
      <c r="O143" s="435">
        <f t="shared" si="29"/>
        <v>0.17704918032786884</v>
      </c>
      <c r="P143" s="22"/>
    </row>
    <row r="144" spans="1:16" ht="15">
      <c r="A144" s="13" t="s">
        <v>291</v>
      </c>
      <c r="B144" s="27" t="s">
        <v>101</v>
      </c>
      <c r="C144" s="13" t="s">
        <v>33</v>
      </c>
      <c r="D144" s="13">
        <v>219</v>
      </c>
      <c r="E144" s="13"/>
      <c r="F144" s="13" t="s">
        <v>12</v>
      </c>
      <c r="G144" s="442">
        <v>9.10</v>
      </c>
      <c r="H144" s="440">
        <v>10</v>
      </c>
      <c r="I144" s="28">
        <v>2</v>
      </c>
      <c r="J144" s="441">
        <f t="shared" si="26"/>
        <v>2.197802197802198</v>
      </c>
      <c r="K144" s="28">
        <v>1</v>
      </c>
      <c r="L144" s="267">
        <f t="shared" si="27"/>
        <v>2.197802197802198</v>
      </c>
      <c r="M144" s="433">
        <f t="shared" si="28"/>
        <v>439.56043956043959</v>
      </c>
      <c r="N144" s="434">
        <v>200</v>
      </c>
      <c r="O144" s="435">
        <f t="shared" si="29"/>
        <v>1.098901098901099</v>
      </c>
      <c r="P144" s="22"/>
    </row>
    <row r="145" spans="1:16" ht="15">
      <c r="A145" s="13" t="s">
        <v>303</v>
      </c>
      <c r="B145" s="27" t="s">
        <v>304</v>
      </c>
      <c r="C145" s="13" t="s">
        <v>226</v>
      </c>
      <c r="D145" s="13">
        <v>302</v>
      </c>
      <c r="E145" s="13"/>
      <c r="F145" s="13" t="s">
        <v>103</v>
      </c>
      <c r="G145" s="432">
        <v>151</v>
      </c>
      <c r="H145" s="440">
        <v>10</v>
      </c>
      <c r="I145" s="28">
        <v>1</v>
      </c>
      <c r="J145" s="441">
        <f t="shared" si="26"/>
        <v>0.066225165562913912</v>
      </c>
      <c r="K145" s="28">
        <v>34</v>
      </c>
      <c r="L145" s="267">
        <f t="shared" si="27"/>
        <v>2.2516556291390728</v>
      </c>
      <c r="M145" s="433">
        <f t="shared" si="28"/>
        <v>396.29139072847681</v>
      </c>
      <c r="N145" s="434">
        <v>176</v>
      </c>
      <c r="O145" s="435">
        <f t="shared" si="29"/>
        <v>2.2516556291390728</v>
      </c>
      <c r="P145" s="22"/>
    </row>
    <row r="146" spans="1:16" ht="15">
      <c r="A146" s="13" t="s">
        <v>293</v>
      </c>
      <c r="B146" s="27" t="s">
        <v>102</v>
      </c>
      <c r="C146" s="13" t="s">
        <v>33</v>
      </c>
      <c r="D146" s="13">
        <v>219</v>
      </c>
      <c r="E146" s="13"/>
      <c r="F146" s="13" t="s">
        <v>103</v>
      </c>
      <c r="G146" s="28">
        <f>10*60/1</f>
        <v>600</v>
      </c>
      <c r="H146" s="440">
        <v>10</v>
      </c>
      <c r="I146" s="28">
        <v>1</v>
      </c>
      <c r="J146" s="441">
        <f t="shared" si="26"/>
        <v>0.016666666666666666</v>
      </c>
      <c r="K146" s="28">
        <v>34</v>
      </c>
      <c r="L146" s="267">
        <f t="shared" si="27"/>
        <v>0.56666666666666665</v>
      </c>
      <c r="M146" s="433">
        <f t="shared" si="28"/>
        <v>86.133333333333326</v>
      </c>
      <c r="N146" s="434">
        <v>152</v>
      </c>
      <c r="O146" s="435">
        <f t="shared" si="29"/>
        <v>0.56666666666666665</v>
      </c>
      <c r="P146" s="22"/>
    </row>
    <row r="147" spans="1:16" ht="15">
      <c r="A147" s="13" t="s">
        <v>305</v>
      </c>
      <c r="B147" s="27" t="s">
        <v>343</v>
      </c>
      <c r="C147" s="13" t="s">
        <v>14</v>
      </c>
      <c r="D147" s="13">
        <v>226</v>
      </c>
      <c r="E147" s="13"/>
      <c r="F147" s="13" t="s">
        <v>58</v>
      </c>
      <c r="G147" s="28">
        <v>55.20</v>
      </c>
      <c r="H147" s="440">
        <v>10</v>
      </c>
      <c r="I147" s="28">
        <v>1</v>
      </c>
      <c r="J147" s="441">
        <f t="shared" si="26"/>
        <v>0.18115942028985507</v>
      </c>
      <c r="K147" s="28">
        <v>1.20</v>
      </c>
      <c r="L147" s="435">
        <f t="shared" si="27"/>
        <v>0.21739130434782608</v>
      </c>
      <c r="M147" s="266">
        <f t="shared" si="28"/>
        <v>43.478260869565219</v>
      </c>
      <c r="N147" s="433">
        <v>200</v>
      </c>
      <c r="O147" s="435">
        <f t="shared" si="29"/>
        <v>0.21739130434782608</v>
      </c>
      <c r="P147" s="22"/>
    </row>
    <row r="148" spans="1:16" ht="30">
      <c r="A148" s="13" t="s">
        <v>306</v>
      </c>
      <c r="B148" s="27" t="s">
        <v>307</v>
      </c>
      <c r="C148" s="13" t="s">
        <v>14</v>
      </c>
      <c r="D148" s="13">
        <v>226</v>
      </c>
      <c r="E148" s="13"/>
      <c r="F148" s="13" t="s">
        <v>12</v>
      </c>
      <c r="G148" s="28">
        <v>10</v>
      </c>
      <c r="H148" s="440">
        <v>10</v>
      </c>
      <c r="I148" s="28">
        <v>1</v>
      </c>
      <c r="J148" s="441">
        <f t="shared" si="26"/>
        <v>1</v>
      </c>
      <c r="K148" s="28">
        <v>1</v>
      </c>
      <c r="L148" s="435">
        <f t="shared" si="27"/>
        <v>1</v>
      </c>
      <c r="M148" s="266">
        <f t="shared" si="28"/>
        <v>200</v>
      </c>
      <c r="N148" s="433">
        <v>200</v>
      </c>
      <c r="O148" s="435">
        <f t="shared" si="29"/>
        <v>1</v>
      </c>
      <c r="P148" s="22"/>
    </row>
    <row r="149" spans="1:16" ht="15">
      <c r="A149" s="13" t="s">
        <v>296</v>
      </c>
      <c r="B149" s="56" t="s">
        <v>105</v>
      </c>
      <c r="C149" s="13" t="s">
        <v>33</v>
      </c>
      <c r="D149" s="13">
        <v>219</v>
      </c>
      <c r="E149" s="13"/>
      <c r="F149" s="13" t="s">
        <v>96</v>
      </c>
      <c r="G149" s="28">
        <v>12</v>
      </c>
      <c r="H149" s="440">
        <v>10</v>
      </c>
      <c r="I149" s="28">
        <v>2</v>
      </c>
      <c r="J149" s="441">
        <f t="shared" si="26"/>
        <v>1.6666666666666667</v>
      </c>
      <c r="K149" s="28">
        <v>1</v>
      </c>
      <c r="L149" s="267">
        <f t="shared" si="27"/>
        <v>1.6666666666666667</v>
      </c>
      <c r="M149" s="433">
        <f t="shared" si="28"/>
        <v>333.33333333333337</v>
      </c>
      <c r="N149" s="434">
        <v>200</v>
      </c>
      <c r="O149" s="435">
        <f t="shared" si="29"/>
        <v>0.83333333333333337</v>
      </c>
      <c r="P149" s="22"/>
    </row>
    <row r="150" spans="1:16" ht="15">
      <c r="A150" s="523" t="s">
        <v>1695</v>
      </c>
      <c r="B150" s="522" t="s">
        <v>1696</v>
      </c>
      <c r="C150" s="523" t="s">
        <v>33</v>
      </c>
      <c r="D150" s="523">
        <v>226</v>
      </c>
      <c r="E150" s="523"/>
      <c r="F150" s="523" t="s">
        <v>12</v>
      </c>
      <c r="G150" s="527">
        <v>20</v>
      </c>
      <c r="H150" s="530">
        <v>10</v>
      </c>
      <c r="I150" s="527">
        <v>1</v>
      </c>
      <c r="J150" s="531">
        <f t="shared" si="26"/>
        <v>0.50</v>
      </c>
      <c r="K150" s="527">
        <v>1</v>
      </c>
      <c r="L150" s="267">
        <f t="shared" si="27"/>
        <v>0.50</v>
      </c>
      <c r="M150" s="433">
        <f t="shared" si="28"/>
        <v>100</v>
      </c>
      <c r="N150" s="434">
        <v>200</v>
      </c>
      <c r="O150" s="435">
        <f t="shared" si="29"/>
        <v>0.50</v>
      </c>
      <c r="P150" s="22"/>
    </row>
    <row r="151" spans="1:16" ht="15">
      <c r="A151" s="13" t="s">
        <v>308</v>
      </c>
      <c r="B151" s="27" t="s">
        <v>309</v>
      </c>
      <c r="C151" s="13" t="s">
        <v>14</v>
      </c>
      <c r="D151" s="13">
        <v>226</v>
      </c>
      <c r="E151" s="13"/>
      <c r="F151" s="13" t="s">
        <v>58</v>
      </c>
      <c r="G151" s="442">
        <v>27</v>
      </c>
      <c r="H151" s="440">
        <v>10</v>
      </c>
      <c r="I151" s="28">
        <v>1</v>
      </c>
      <c r="J151" s="441">
        <f t="shared" si="26"/>
        <v>0.37037037037037035</v>
      </c>
      <c r="K151" s="28">
        <v>1</v>
      </c>
      <c r="L151" s="435">
        <f t="shared" si="27"/>
        <v>0.37037037037037035</v>
      </c>
      <c r="M151" s="266">
        <f t="shared" si="28"/>
        <v>56.296296296296291</v>
      </c>
      <c r="N151" s="433">
        <v>152</v>
      </c>
      <c r="O151" s="435">
        <f t="shared" si="29"/>
        <v>0.37037037037037035</v>
      </c>
      <c r="P151" s="22"/>
    </row>
    <row r="152" spans="1:16" ht="15">
      <c r="A152" s="13" t="s">
        <v>294</v>
      </c>
      <c r="B152" s="27" t="s">
        <v>521</v>
      </c>
      <c r="C152" s="13" t="s">
        <v>14</v>
      </c>
      <c r="D152" s="13">
        <v>226</v>
      </c>
      <c r="E152" s="13"/>
      <c r="F152" s="13" t="s">
        <v>58</v>
      </c>
      <c r="G152" s="28">
        <v>23.16</v>
      </c>
      <c r="H152" s="440">
        <v>10</v>
      </c>
      <c r="I152" s="28">
        <v>1</v>
      </c>
      <c r="J152" s="441">
        <f t="shared" si="26"/>
        <v>0.43177892918825561</v>
      </c>
      <c r="K152" s="28">
        <v>5.60</v>
      </c>
      <c r="L152" s="267">
        <f t="shared" si="27"/>
        <v>2.4179620034542313</v>
      </c>
      <c r="M152" s="433">
        <f t="shared" si="28"/>
        <v>483.59240069084626</v>
      </c>
      <c r="N152" s="434">
        <v>200</v>
      </c>
      <c r="O152" s="435">
        <f t="shared" si="29"/>
        <v>2.4179620034542313</v>
      </c>
      <c r="P152" s="22"/>
    </row>
    <row r="153" spans="1:16" ht="15">
      <c r="A153" s="13" t="s">
        <v>1639</v>
      </c>
      <c r="B153" s="27" t="s">
        <v>1640</v>
      </c>
      <c r="C153" s="13" t="s">
        <v>33</v>
      </c>
      <c r="D153" s="13" t="s">
        <v>1333</v>
      </c>
      <c r="E153" s="13"/>
      <c r="F153" s="13" t="s">
        <v>12</v>
      </c>
      <c r="G153" s="442">
        <v>30</v>
      </c>
      <c r="H153" s="440">
        <v>10</v>
      </c>
      <c r="I153" s="28">
        <v>2</v>
      </c>
      <c r="J153" s="441">
        <f t="shared" si="26"/>
        <v>0.66666666666666663</v>
      </c>
      <c r="K153" s="28">
        <v>1</v>
      </c>
      <c r="L153" s="267">
        <f t="shared" si="27"/>
        <v>0.66666666666666663</v>
      </c>
      <c r="M153" s="433">
        <f t="shared" si="28"/>
        <v>101.33333333333333</v>
      </c>
      <c r="N153" s="434">
        <v>152</v>
      </c>
      <c r="O153" s="435">
        <f t="shared" si="29"/>
        <v>0.33333333333333331</v>
      </c>
      <c r="P153" s="21"/>
    </row>
    <row r="154" spans="1:16" ht="15">
      <c r="A154" s="13" t="s">
        <v>295</v>
      </c>
      <c r="B154" s="27" t="s">
        <v>104</v>
      </c>
      <c r="C154" s="13" t="s">
        <v>33</v>
      </c>
      <c r="D154" s="13" t="s">
        <v>1333</v>
      </c>
      <c r="E154" s="13"/>
      <c r="F154" s="13" t="s">
        <v>12</v>
      </c>
      <c r="G154" s="28">
        <v>14.06</v>
      </c>
      <c r="H154" s="440">
        <v>10</v>
      </c>
      <c r="I154" s="28">
        <v>2</v>
      </c>
      <c r="J154" s="441">
        <f t="shared" si="26"/>
        <v>1.4224751066856329</v>
      </c>
      <c r="K154" s="28">
        <v>1</v>
      </c>
      <c r="L154" s="267">
        <f t="shared" si="27"/>
        <v>1.4224751066856329</v>
      </c>
      <c r="M154" s="433">
        <f t="shared" si="28"/>
        <v>216.2162162162162</v>
      </c>
      <c r="N154" s="434">
        <v>152</v>
      </c>
      <c r="O154" s="435">
        <f t="shared" si="29"/>
        <v>0.71123755334281646</v>
      </c>
      <c r="P154" s="21"/>
    </row>
    <row r="155" spans="1:15" s="22" customFormat="1" ht="15">
      <c r="A155" s="443"/>
      <c r="B155" s="495" t="s">
        <v>15</v>
      </c>
      <c r="C155" s="443"/>
      <c r="D155" s="443"/>
      <c r="E155" s="443"/>
      <c r="F155" s="444"/>
      <c r="G155" s="443"/>
      <c r="H155" s="445"/>
      <c r="I155" s="443"/>
      <c r="J155" s="446"/>
      <c r="K155" s="443"/>
      <c r="L155" s="447">
        <f>SUM(L6:L154)</f>
        <v>168.51847398162855</v>
      </c>
      <c r="M155" s="455">
        <f>M19+M48+M62+M75+M86+M133+M82+M5</f>
        <v>33261.41501534597</v>
      </c>
      <c r="N155" s="110"/>
      <c r="O155" s="454">
        <f>O19+O48+O62+O75+O86+O133+O82+O5</f>
        <v>115.56544977948293</v>
      </c>
    </row>
    <row r="156" spans="12:15" ht="15">
      <c r="L156" s="448" t="s">
        <v>16</v>
      </c>
      <c r="O156" s="448" t="s">
        <v>17</v>
      </c>
    </row>
    <row r="157" spans="6:15" ht="15">
      <c r="F157" s="107"/>
      <c r="J157" s="450"/>
      <c r="K157" s="451" t="s">
        <v>18</v>
      </c>
      <c r="L157" s="452">
        <f>L155/G2</f>
        <v>165.21419017806721</v>
      </c>
      <c r="M157" s="450" t="s">
        <v>19</v>
      </c>
      <c r="N157" s="450"/>
      <c r="O157" s="450"/>
    </row>
    <row r="158" spans="6:6" ht="15">
      <c r="F158" s="107"/>
    </row>
    <row r="159" spans="2:8" ht="15">
      <c r="B159" s="493" t="s">
        <v>858</v>
      </c>
      <c r="C159" s="449"/>
      <c r="F159" s="107"/>
      <c r="H159" s="268"/>
    </row>
    <row r="160" spans="6:6" ht="15">
      <c r="F160" s="107"/>
    </row>
    <row r="161" spans="2:3" ht="15">
      <c r="B161" s="493" t="s">
        <v>848</v>
      </c>
      <c r="C161" s="449"/>
    </row>
    <row r="163" spans="2:3" ht="15">
      <c r="B163" s="493" t="s">
        <v>849</v>
      </c>
      <c r="C163" s="449"/>
    </row>
    <row r="166" ht="15.75"/>
    <row r="167" spans="1:8" ht="15" hidden="1">
      <c r="A167" s="481" t="s">
        <v>328</v>
      </c>
      <c r="B167" s="496" t="s">
        <v>329</v>
      </c>
      <c r="C167" s="481" t="s">
        <v>330</v>
      </c>
      <c r="D167" s="481" t="s">
        <v>331</v>
      </c>
      <c r="E167" s="481" t="s">
        <v>332</v>
      </c>
      <c r="F167" s="481" t="s">
        <v>333</v>
      </c>
      <c r="G167" s="427"/>
      <c r="H167" s="268"/>
    </row>
    <row r="168" spans="1:8" ht="75" hidden="1">
      <c r="A168" s="482">
        <v>1</v>
      </c>
      <c r="B168" s="483" t="s">
        <v>1283</v>
      </c>
      <c r="C168" s="482">
        <v>600</v>
      </c>
      <c r="D168" s="482">
        <v>400</v>
      </c>
      <c r="E168" s="482" t="s">
        <v>954</v>
      </c>
      <c r="F168" s="484">
        <v>44602</v>
      </c>
      <c r="G168" s="427"/>
      <c r="H168" s="268"/>
    </row>
    <row r="169" spans="1:8" ht="30" hidden="1">
      <c r="A169" s="482">
        <v>2</v>
      </c>
      <c r="B169" s="483" t="s">
        <v>1284</v>
      </c>
      <c r="C169" s="485"/>
      <c r="D169" s="485"/>
      <c r="E169" s="482" t="s">
        <v>954</v>
      </c>
      <c r="F169" s="484">
        <v>44602</v>
      </c>
      <c r="G169" s="427"/>
      <c r="H169" s="268"/>
    </row>
    <row r="170" spans="1:8" ht="30" hidden="1">
      <c r="A170" s="482">
        <v>3</v>
      </c>
      <c r="B170" s="483" t="s">
        <v>1296</v>
      </c>
      <c r="C170" s="485"/>
      <c r="D170" s="485"/>
      <c r="E170" s="482" t="s">
        <v>954</v>
      </c>
      <c r="F170" s="484">
        <v>44616</v>
      </c>
      <c r="G170" s="427"/>
      <c r="H170" s="268"/>
    </row>
    <row r="171" spans="1:8" ht="30" hidden="1">
      <c r="A171" s="482">
        <v>4</v>
      </c>
      <c r="B171" s="483" t="s">
        <v>1312</v>
      </c>
      <c r="C171" s="485"/>
      <c r="D171" s="485"/>
      <c r="E171" s="482" t="s">
        <v>954</v>
      </c>
      <c r="F171" s="484">
        <v>44616</v>
      </c>
      <c r="G171" s="427"/>
      <c r="H171" s="268"/>
    </row>
    <row r="172" spans="1:8" ht="30" hidden="1">
      <c r="A172" s="482">
        <v>5</v>
      </c>
      <c r="B172" s="483" t="s">
        <v>1298</v>
      </c>
      <c r="C172" s="485"/>
      <c r="D172" s="485"/>
      <c r="E172" s="482" t="s">
        <v>954</v>
      </c>
      <c r="F172" s="484">
        <v>44616</v>
      </c>
      <c r="G172" s="427"/>
      <c r="H172" s="268"/>
    </row>
    <row r="173" spans="1:8" ht="30" hidden="1">
      <c r="A173" s="482">
        <v>6</v>
      </c>
      <c r="B173" s="483" t="s">
        <v>1299</v>
      </c>
      <c r="C173" s="485"/>
      <c r="D173" s="485"/>
      <c r="E173" s="482" t="s">
        <v>954</v>
      </c>
      <c r="F173" s="484">
        <v>44616</v>
      </c>
      <c r="G173" s="427"/>
      <c r="H173" s="268"/>
    </row>
    <row r="174" spans="1:8" ht="30" hidden="1">
      <c r="A174" s="482">
        <v>7</v>
      </c>
      <c r="B174" s="483" t="s">
        <v>1300</v>
      </c>
      <c r="C174" s="485"/>
      <c r="D174" s="485"/>
      <c r="E174" s="482" t="s">
        <v>954</v>
      </c>
      <c r="F174" s="484">
        <v>44616</v>
      </c>
      <c r="G174" s="427"/>
      <c r="H174" s="268"/>
    </row>
    <row r="175" spans="1:8" ht="30" hidden="1">
      <c r="A175" s="482">
        <v>8</v>
      </c>
      <c r="B175" s="483" t="s">
        <v>1301</v>
      </c>
      <c r="C175" s="485"/>
      <c r="D175" s="485"/>
      <c r="E175" s="482" t="s">
        <v>954</v>
      </c>
      <c r="F175" s="484">
        <v>44616</v>
      </c>
      <c r="G175" s="427"/>
      <c r="H175" s="268"/>
    </row>
    <row r="176" spans="1:8" ht="30" hidden="1">
      <c r="A176" s="482">
        <v>9</v>
      </c>
      <c r="B176" s="483" t="s">
        <v>1302</v>
      </c>
      <c r="C176" s="485"/>
      <c r="D176" s="485"/>
      <c r="E176" s="482" t="s">
        <v>954</v>
      </c>
      <c r="F176" s="484">
        <v>44616</v>
      </c>
      <c r="G176" s="427"/>
      <c r="H176" s="268"/>
    </row>
    <row r="177" spans="1:8" ht="30" hidden="1">
      <c r="A177" s="482">
        <v>10</v>
      </c>
      <c r="B177" s="483" t="s">
        <v>1303</v>
      </c>
      <c r="C177" s="485"/>
      <c r="D177" s="485"/>
      <c r="E177" s="482" t="s">
        <v>954</v>
      </c>
      <c r="F177" s="484">
        <v>44616</v>
      </c>
      <c r="G177" s="427"/>
      <c r="H177" s="268"/>
    </row>
    <row r="178" spans="1:8" ht="30" hidden="1">
      <c r="A178" s="482">
        <v>11</v>
      </c>
      <c r="B178" s="483" t="s">
        <v>1304</v>
      </c>
      <c r="C178" s="485"/>
      <c r="D178" s="485"/>
      <c r="E178" s="482" t="s">
        <v>954</v>
      </c>
      <c r="F178" s="484">
        <v>44616</v>
      </c>
      <c r="G178" s="427"/>
      <c r="H178" s="268"/>
    </row>
    <row r="179" spans="1:8" ht="30" hidden="1">
      <c r="A179" s="482">
        <v>12</v>
      </c>
      <c r="B179" s="483" t="s">
        <v>1305</v>
      </c>
      <c r="C179" s="485"/>
      <c r="D179" s="485"/>
      <c r="E179" s="482" t="s">
        <v>954</v>
      </c>
      <c r="F179" s="484">
        <v>44616</v>
      </c>
      <c r="G179" s="427"/>
      <c r="H179" s="268"/>
    </row>
    <row r="180" spans="1:8" ht="30" hidden="1">
      <c r="A180" s="482">
        <v>13</v>
      </c>
      <c r="B180" s="483" t="s">
        <v>1306</v>
      </c>
      <c r="C180" s="485"/>
      <c r="D180" s="485"/>
      <c r="E180" s="482" t="s">
        <v>954</v>
      </c>
      <c r="F180" s="484">
        <v>44616</v>
      </c>
      <c r="G180" s="427"/>
      <c r="H180" s="268"/>
    </row>
    <row r="181" spans="1:8" ht="30" hidden="1">
      <c r="A181" s="482">
        <v>14</v>
      </c>
      <c r="B181" s="483" t="s">
        <v>1307</v>
      </c>
      <c r="C181" s="485"/>
      <c r="D181" s="485"/>
      <c r="E181" s="482" t="s">
        <v>954</v>
      </c>
      <c r="F181" s="484">
        <v>44616</v>
      </c>
      <c r="G181" s="427"/>
      <c r="H181" s="268"/>
    </row>
    <row r="182" spans="1:6" ht="45" hidden="1">
      <c r="A182" s="482">
        <v>15</v>
      </c>
      <c r="B182" s="483" t="s">
        <v>1394</v>
      </c>
      <c r="C182" s="485"/>
      <c r="D182" s="485"/>
      <c r="E182" s="482" t="s">
        <v>954</v>
      </c>
      <c r="F182" s="484">
        <v>44634</v>
      </c>
    </row>
    <row r="183" spans="1:6" ht="45" hidden="1">
      <c r="A183" s="482">
        <v>16</v>
      </c>
      <c r="B183" s="483" t="s">
        <v>1395</v>
      </c>
      <c r="C183" s="485"/>
      <c r="D183" s="485"/>
      <c r="E183" s="482" t="s">
        <v>954</v>
      </c>
      <c r="F183" s="484">
        <v>44634</v>
      </c>
    </row>
    <row r="184" spans="1:6" ht="45" hidden="1">
      <c r="A184" s="482">
        <v>17</v>
      </c>
      <c r="B184" s="483" t="s">
        <v>1396</v>
      </c>
      <c r="C184" s="485"/>
      <c r="D184" s="485"/>
      <c r="E184" s="482" t="s">
        <v>954</v>
      </c>
      <c r="F184" s="484">
        <v>44634</v>
      </c>
    </row>
    <row r="185" spans="1:6" ht="45" hidden="1">
      <c r="A185" s="482">
        <v>18</v>
      </c>
      <c r="B185" s="483" t="s">
        <v>1500</v>
      </c>
      <c r="C185" s="485"/>
      <c r="D185" s="485"/>
      <c r="E185" s="482" t="s">
        <v>954</v>
      </c>
      <c r="F185" s="484">
        <v>44634</v>
      </c>
    </row>
    <row r="186" spans="1:6" ht="60" hidden="1">
      <c r="A186" s="482">
        <v>19</v>
      </c>
      <c r="B186" s="483" t="s">
        <v>1501</v>
      </c>
      <c r="C186" s="485"/>
      <c r="D186" s="485"/>
      <c r="E186" s="482" t="s">
        <v>954</v>
      </c>
      <c r="F186" s="484">
        <v>44634</v>
      </c>
    </row>
    <row r="187" spans="1:6" ht="60" hidden="1">
      <c r="A187" s="482">
        <v>20</v>
      </c>
      <c r="B187" s="483" t="s">
        <v>1502</v>
      </c>
      <c r="C187" s="485"/>
      <c r="D187" s="485"/>
      <c r="E187" s="482" t="s">
        <v>954</v>
      </c>
      <c r="F187" s="484">
        <v>44634</v>
      </c>
    </row>
    <row r="188" spans="1:6" ht="60" hidden="1">
      <c r="A188" s="482">
        <v>21</v>
      </c>
      <c r="B188" s="483" t="s">
        <v>1397</v>
      </c>
      <c r="C188" s="485"/>
      <c r="D188" s="485"/>
      <c r="E188" s="482" t="s">
        <v>954</v>
      </c>
      <c r="F188" s="484">
        <v>44634</v>
      </c>
    </row>
    <row r="189" spans="1:6" ht="60.75" hidden="1" thickBot="1">
      <c r="A189" s="482">
        <v>22</v>
      </c>
      <c r="B189" s="483" t="s">
        <v>1398</v>
      </c>
      <c r="C189" s="485"/>
      <c r="D189" s="485"/>
      <c r="E189" s="482" t="s">
        <v>954</v>
      </c>
      <c r="F189" s="484">
        <v>44634</v>
      </c>
    </row>
    <row r="190" spans="1:15" ht="15">
      <c r="A190" s="500" t="s">
        <v>328</v>
      </c>
      <c r="B190" s="631" t="s">
        <v>1593</v>
      </c>
      <c r="C190" s="632"/>
      <c r="D190" s="633"/>
      <c r="E190" s="501" t="s">
        <v>332</v>
      </c>
      <c r="F190" s="502" t="s">
        <v>333</v>
      </c>
      <c r="G190" s="427"/>
      <c r="H190" s="268"/>
      <c r="O190" s="503"/>
    </row>
    <row r="191" spans="1:15" ht="15.75" thickBot="1">
      <c r="A191" s="504">
        <v>1</v>
      </c>
      <c r="B191" s="634" t="s">
        <v>1605</v>
      </c>
      <c r="C191" s="635"/>
      <c r="D191" s="636"/>
      <c r="E191" s="505" t="s">
        <v>1334</v>
      </c>
      <c r="F191" s="506">
        <v>44677</v>
      </c>
      <c r="G191" s="427"/>
      <c r="H191" s="268"/>
      <c r="O191" s="503"/>
    </row>
    <row r="192" spans="1:16" ht="15">
      <c r="A192" s="13" t="s">
        <v>1639</v>
      </c>
      <c r="B192" s="27" t="s">
        <v>1640</v>
      </c>
      <c r="C192" s="13" t="s">
        <v>33</v>
      </c>
      <c r="D192" s="13" t="s">
        <v>1333</v>
      </c>
      <c r="E192" s="13"/>
      <c r="F192" s="13" t="s">
        <v>12</v>
      </c>
      <c r="G192" s="442">
        <v>30</v>
      </c>
      <c r="H192" s="440">
        <v>10</v>
      </c>
      <c r="I192" s="28">
        <v>2</v>
      </c>
      <c r="J192" s="441">
        <f t="shared" si="30" ref="J192">H192/G192*I192</f>
        <v>0.66666666666666663</v>
      </c>
      <c r="K192" s="28">
        <v>1</v>
      </c>
      <c r="L192" s="267">
        <f t="shared" si="31" ref="L192">J192*K192</f>
        <v>0.66666666666666663</v>
      </c>
      <c r="M192" s="433">
        <f t="shared" si="32" ref="M192">L192*N192</f>
        <v>101.33333333333333</v>
      </c>
      <c r="N192" s="434">
        <v>152</v>
      </c>
      <c r="O192" s="435">
        <f t="shared" si="33" ref="O192">J192/I192*K192</f>
        <v>0.33333333333333331</v>
      </c>
      <c r="P192" s="21"/>
    </row>
    <row r="193" ht="15.75" thickBot="1"/>
    <row r="194" spans="1:7" ht="15">
      <c r="A194" s="500" t="s">
        <v>328</v>
      </c>
      <c r="B194" s="631" t="s">
        <v>1593</v>
      </c>
      <c r="C194" s="632"/>
      <c r="D194" s="633"/>
      <c r="E194" s="501" t="s">
        <v>332</v>
      </c>
      <c r="F194" s="502" t="s">
        <v>333</v>
      </c>
      <c r="G194" s="68"/>
    </row>
    <row r="195" spans="1:7" ht="15.75" thickBot="1">
      <c r="A195" s="504">
        <v>2</v>
      </c>
      <c r="B195" s="634" t="s">
        <v>1605</v>
      </c>
      <c r="C195" s="635"/>
      <c r="D195" s="636"/>
      <c r="E195" s="505" t="s">
        <v>1682</v>
      </c>
      <c r="F195" s="506">
        <v>44987</v>
      </c>
      <c r="G195" s="68"/>
    </row>
    <row r="196" spans="1:15" ht="30">
      <c r="A196" s="529" t="s">
        <v>1662</v>
      </c>
      <c r="B196" s="522" t="s">
        <v>1661</v>
      </c>
      <c r="C196" s="523" t="s">
        <v>9</v>
      </c>
      <c r="D196" s="523">
        <v>109</v>
      </c>
      <c r="E196" s="523"/>
      <c r="F196" s="524" t="s">
        <v>10</v>
      </c>
      <c r="G196" s="525">
        <v>33</v>
      </c>
      <c r="H196" s="526">
        <v>10</v>
      </c>
      <c r="I196" s="527">
        <v>1</v>
      </c>
      <c r="J196" s="528">
        <f t="shared" si="34" ref="J196:J200">H196/G196*I196</f>
        <v>0.30303030303030304</v>
      </c>
      <c r="K196" s="525">
        <f>(350*2)/1000</f>
        <v>0.70</v>
      </c>
      <c r="L196" s="267">
        <f t="shared" si="35" ref="L196:L200">J196*K196</f>
        <v>0.21212121212121213</v>
      </c>
      <c r="M196" s="266">
        <f t="shared" si="36" ref="M196:M200">L196*N196</f>
        <v>32.242424242424242</v>
      </c>
      <c r="N196" s="433">
        <v>152</v>
      </c>
      <c r="O196" s="267">
        <f t="shared" si="37" ref="O196:O200">J196/I196*K196</f>
        <v>0.21212121212121213</v>
      </c>
    </row>
    <row r="197" spans="1:15" ht="30">
      <c r="A197" s="523" t="s">
        <v>1668</v>
      </c>
      <c r="B197" s="522" t="s">
        <v>1670</v>
      </c>
      <c r="C197" s="523" t="s">
        <v>33</v>
      </c>
      <c r="D197" s="523">
        <v>116</v>
      </c>
      <c r="E197" s="523"/>
      <c r="F197" s="523" t="s">
        <v>1666</v>
      </c>
      <c r="G197" s="527">
        <v>15.32</v>
      </c>
      <c r="H197" s="530">
        <v>10</v>
      </c>
      <c r="I197" s="527">
        <v>2</v>
      </c>
      <c r="J197" s="531">
        <f t="shared" si="34"/>
        <v>1.3054830287206267</v>
      </c>
      <c r="K197" s="527">
        <v>1</v>
      </c>
      <c r="L197" s="267">
        <f t="shared" si="35"/>
        <v>1.3054830287206267</v>
      </c>
      <c r="M197" s="433">
        <f t="shared" si="36"/>
        <v>261.09660574412533</v>
      </c>
      <c r="N197" s="434">
        <v>200</v>
      </c>
      <c r="O197" s="435">
        <f t="shared" si="37"/>
        <v>0.65274151436031336</v>
      </c>
    </row>
    <row r="198" spans="1:15" ht="30">
      <c r="A198" s="523" t="s">
        <v>1669</v>
      </c>
      <c r="B198" s="522" t="s">
        <v>1671</v>
      </c>
      <c r="C198" s="523" t="s">
        <v>33</v>
      </c>
      <c r="D198" s="523">
        <v>116</v>
      </c>
      <c r="E198" s="523"/>
      <c r="F198" s="523" t="s">
        <v>10</v>
      </c>
      <c r="G198" s="527">
        <v>40</v>
      </c>
      <c r="H198" s="530">
        <v>10</v>
      </c>
      <c r="I198" s="527">
        <v>1</v>
      </c>
      <c r="J198" s="531">
        <f t="shared" si="34"/>
        <v>0.25</v>
      </c>
      <c r="K198" s="525">
        <f>2898/1000</f>
        <v>2.8980000000000001</v>
      </c>
      <c r="L198" s="267">
        <f t="shared" si="35"/>
        <v>0.72450000000000003</v>
      </c>
      <c r="M198" s="433">
        <f t="shared" si="36"/>
        <v>144.90000000000001</v>
      </c>
      <c r="N198" s="434">
        <v>200</v>
      </c>
      <c r="O198" s="435">
        <f t="shared" si="37"/>
        <v>0.72450000000000003</v>
      </c>
    </row>
    <row r="199" spans="1:15" ht="30">
      <c r="A199" s="523" t="s">
        <v>1663</v>
      </c>
      <c r="B199" s="522" t="s">
        <v>1665</v>
      </c>
      <c r="C199" s="523" t="s">
        <v>33</v>
      </c>
      <c r="D199" s="523">
        <v>116</v>
      </c>
      <c r="E199" s="523"/>
      <c r="F199" s="523" t="s">
        <v>1666</v>
      </c>
      <c r="G199" s="527">
        <v>14.53</v>
      </c>
      <c r="H199" s="530">
        <v>10</v>
      </c>
      <c r="I199" s="527">
        <v>2</v>
      </c>
      <c r="J199" s="531">
        <f t="shared" si="34"/>
        <v>1.3764624913971095</v>
      </c>
      <c r="K199" s="527">
        <v>1</v>
      </c>
      <c r="L199" s="267">
        <f t="shared" si="35"/>
        <v>1.3764624913971095</v>
      </c>
      <c r="M199" s="433">
        <f t="shared" si="36"/>
        <v>275.29249827942192</v>
      </c>
      <c r="N199" s="434">
        <v>200</v>
      </c>
      <c r="O199" s="435">
        <f t="shared" si="37"/>
        <v>0.68823124569855476</v>
      </c>
    </row>
    <row r="200" spans="1:15" ht="30">
      <c r="A200" s="523" t="s">
        <v>1664</v>
      </c>
      <c r="B200" s="522" t="s">
        <v>1667</v>
      </c>
      <c r="C200" s="523" t="s">
        <v>33</v>
      </c>
      <c r="D200" s="523">
        <v>116</v>
      </c>
      <c r="E200" s="523"/>
      <c r="F200" s="523" t="s">
        <v>10</v>
      </c>
      <c r="G200" s="527">
        <v>40</v>
      </c>
      <c r="H200" s="530">
        <v>10</v>
      </c>
      <c r="I200" s="527">
        <v>1</v>
      </c>
      <c r="J200" s="531">
        <f t="shared" si="34"/>
        <v>0.25</v>
      </c>
      <c r="K200" s="525">
        <f>2957/1000</f>
        <v>2.9569999999999999</v>
      </c>
      <c r="L200" s="267">
        <f t="shared" si="35"/>
        <v>0.73924999999999996</v>
      </c>
      <c r="M200" s="433">
        <f t="shared" si="36"/>
        <v>147.84999999999999</v>
      </c>
      <c r="N200" s="434">
        <v>200</v>
      </c>
      <c r="O200" s="435">
        <f t="shared" si="37"/>
        <v>0.73924999999999996</v>
      </c>
    </row>
    <row r="201" ht="15.75" thickBot="1"/>
    <row r="202" spans="1:6" ht="15">
      <c r="A202" s="500" t="s">
        <v>328</v>
      </c>
      <c r="B202" s="631" t="s">
        <v>1593</v>
      </c>
      <c r="C202" s="632"/>
      <c r="D202" s="633"/>
      <c r="E202" s="501" t="s">
        <v>332</v>
      </c>
      <c r="F202" s="502" t="s">
        <v>333</v>
      </c>
    </row>
    <row r="203" spans="1:6" ht="15.75" thickBot="1">
      <c r="A203" s="504">
        <v>3</v>
      </c>
      <c r="B203" s="634" t="s">
        <v>1605</v>
      </c>
      <c r="C203" s="635"/>
      <c r="D203" s="636"/>
      <c r="E203" s="505" t="s">
        <v>1682</v>
      </c>
      <c r="F203" s="506">
        <v>45055</v>
      </c>
    </row>
    <row r="204" spans="1:15" ht="15">
      <c r="A204" s="523" t="s">
        <v>1695</v>
      </c>
      <c r="B204" s="522" t="s">
        <v>1696</v>
      </c>
      <c r="C204" s="523" t="s">
        <v>33</v>
      </c>
      <c r="D204" s="523">
        <v>226</v>
      </c>
      <c r="E204" s="523"/>
      <c r="F204" s="523" t="s">
        <v>12</v>
      </c>
      <c r="G204" s="527">
        <v>20</v>
      </c>
      <c r="H204" s="530">
        <v>10</v>
      </c>
      <c r="I204" s="527">
        <v>1</v>
      </c>
      <c r="J204" s="531">
        <f t="shared" si="38" ref="J204">H204/G204*I204</f>
        <v>0.50</v>
      </c>
      <c r="K204" s="527">
        <v>1</v>
      </c>
      <c r="L204" s="267">
        <f t="shared" si="39" ref="L204">J204*K204</f>
        <v>0.50</v>
      </c>
      <c r="M204" s="433">
        <f t="shared" si="40" ref="M204">L204*N204</f>
        <v>100</v>
      </c>
      <c r="N204" s="434">
        <v>200</v>
      </c>
      <c r="O204" s="435">
        <f t="shared" si="41" ref="O204">J204/I204*K204</f>
        <v>0.50</v>
      </c>
    </row>
    <row r="205" ht="15.75" thickBot="1"/>
    <row r="206" spans="1:6" ht="15">
      <c r="A206" s="500" t="s">
        <v>328</v>
      </c>
      <c r="B206" s="631" t="s">
        <v>1593</v>
      </c>
      <c r="C206" s="632"/>
      <c r="D206" s="633"/>
      <c r="E206" s="501" t="s">
        <v>332</v>
      </c>
      <c r="F206" s="502" t="s">
        <v>333</v>
      </c>
    </row>
    <row r="207" spans="1:6" ht="15.75" thickBot="1">
      <c r="A207" s="504">
        <v>4</v>
      </c>
      <c r="B207" s="634" t="s">
        <v>1657</v>
      </c>
      <c r="C207" s="635"/>
      <c r="D207" s="636"/>
      <c r="E207" s="505" t="s">
        <v>1697</v>
      </c>
      <c r="F207" s="506">
        <v>45142</v>
      </c>
    </row>
    <row r="208" spans="1:16" ht="15">
      <c r="A208" s="13" t="s">
        <v>292</v>
      </c>
      <c r="B208" s="27" t="s">
        <v>21</v>
      </c>
      <c r="C208" s="13" t="s">
        <v>33</v>
      </c>
      <c r="D208" s="13">
        <v>219</v>
      </c>
      <c r="E208" s="13"/>
      <c r="F208" s="13" t="s">
        <v>12</v>
      </c>
      <c r="G208" s="436">
        <v>4.5830000000000002</v>
      </c>
      <c r="H208" s="440">
        <v>10</v>
      </c>
      <c r="I208" s="28">
        <v>2</v>
      </c>
      <c r="J208" s="441">
        <f t="shared" si="42" ref="J208:J209">H208/G208*I208</f>
        <v>4.3639537420903336</v>
      </c>
      <c r="K208" s="28">
        <v>1</v>
      </c>
      <c r="L208" s="267">
        <f t="shared" si="43" ref="L208:L209">J208*K208</f>
        <v>4.3639537420903336</v>
      </c>
      <c r="M208" s="433">
        <f t="shared" si="44" ref="M208:M209">L208*N208</f>
        <v>724.41632118699533</v>
      </c>
      <c r="N208" s="434">
        <v>166</v>
      </c>
      <c r="O208" s="435">
        <f t="shared" si="45" ref="O208:O209">J208/I208*K208</f>
        <v>2.1819768710451668</v>
      </c>
      <c r="P208" s="22"/>
    </row>
    <row r="209" spans="1:16" ht="15">
      <c r="A209" s="13" t="s">
        <v>292</v>
      </c>
      <c r="B209" s="27" t="s">
        <v>21</v>
      </c>
      <c r="C209" s="13" t="s">
        <v>33</v>
      </c>
      <c r="D209" s="13">
        <v>219</v>
      </c>
      <c r="E209" s="13"/>
      <c r="F209" s="13" t="s">
        <v>12</v>
      </c>
      <c r="G209" s="569">
        <f t="shared" si="46" ref="G209">4.583*2</f>
        <v>9.1660000000000004</v>
      </c>
      <c r="H209" s="440">
        <v>10</v>
      </c>
      <c r="I209" s="28">
        <v>2</v>
      </c>
      <c r="J209" s="441">
        <f t="shared" si="42"/>
        <v>2.1819768710451668</v>
      </c>
      <c r="K209" s="28">
        <v>1</v>
      </c>
      <c r="L209" s="267">
        <f t="shared" si="43"/>
        <v>2.1819768710451668</v>
      </c>
      <c r="M209" s="433">
        <f t="shared" si="44"/>
        <v>362.20816059349767</v>
      </c>
      <c r="N209" s="434">
        <v>166</v>
      </c>
      <c r="O209" s="435">
        <f t="shared" si="45"/>
        <v>1.0909884355225834</v>
      </c>
      <c r="P209" s="22"/>
    </row>
  </sheetData>
  <autoFilter ref="A4:P157"/>
  <mergeCells count="48">
    <mergeCell ref="B48:K48"/>
    <mergeCell ref="A51:A52"/>
    <mergeCell ref="B51:B52"/>
    <mergeCell ref="A34:A36"/>
    <mergeCell ref="B34:B36"/>
    <mergeCell ref="E34:E36"/>
    <mergeCell ref="A38:A39"/>
    <mergeCell ref="B38:B39"/>
    <mergeCell ref="E51:E52"/>
    <mergeCell ref="A23:A25"/>
    <mergeCell ref="B23:B25"/>
    <mergeCell ref="E23:E25"/>
    <mergeCell ref="A32:A33"/>
    <mergeCell ref="B32:B33"/>
    <mergeCell ref="E32:E33"/>
    <mergeCell ref="B5:K5"/>
    <mergeCell ref="B19:K19"/>
    <mergeCell ref="A21:A22"/>
    <mergeCell ref="B21:B22"/>
    <mergeCell ref="E21:E22"/>
    <mergeCell ref="A94:A95"/>
    <mergeCell ref="B94:B95"/>
    <mergeCell ref="A53:A55"/>
    <mergeCell ref="B53:B55"/>
    <mergeCell ref="E53:E55"/>
    <mergeCell ref="A58:A59"/>
    <mergeCell ref="B58:B59"/>
    <mergeCell ref="B62:K62"/>
    <mergeCell ref="A63:A65"/>
    <mergeCell ref="B63:B65"/>
    <mergeCell ref="B75:K75"/>
    <mergeCell ref="B82:K82"/>
    <mergeCell ref="B86:K86"/>
    <mergeCell ref="B133:K133"/>
    <mergeCell ref="B190:D190"/>
    <mergeCell ref="B191:D191"/>
    <mergeCell ref="A107:A108"/>
    <mergeCell ref="B107:B108"/>
    <mergeCell ref="A109:A110"/>
    <mergeCell ref="B109:B110"/>
    <mergeCell ref="A111:A112"/>
    <mergeCell ref="B111:B112"/>
    <mergeCell ref="B206:D206"/>
    <mergeCell ref="B207:D207"/>
    <mergeCell ref="B202:D202"/>
    <mergeCell ref="B203:D203"/>
    <mergeCell ref="B194:D194"/>
    <mergeCell ref="B195:D19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08"/>
  <sheetViews>
    <sheetView zoomScale="80" zoomScaleNormal="80" workbookViewId="0" topLeftCell="A1">
      <pane ySplit="4" topLeftCell="A198" activePane="bottomLeft" state="frozen"/>
      <selection pane="topLeft" activeCell="A1" sqref="A1"/>
      <selection pane="bottomLeft" activeCell="A205" sqref="A205:XFD206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5.285714285714285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44508</v>
      </c>
    </row>
    <row r="2" spans="2:9" ht="31.5">
      <c r="B2" s="492" t="s">
        <v>1083</v>
      </c>
      <c r="F2" s="429" t="s">
        <v>22</v>
      </c>
      <c r="G2" s="268">
        <f>1211/1000</f>
        <v>1.2110000000000001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SUM(M6:M18)</f>
        <v>519.69866666666678</v>
      </c>
      <c r="N5" s="263"/>
      <c r="O5" s="264">
        <f>SUM(O6:O18)</f>
        <v>2.9528333333333334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8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16</v>
      </c>
      <c r="L6" s="465">
        <f t="shared" si="1" ref="L6:L18">J6*K6</f>
        <v>0.312</v>
      </c>
      <c r="M6" s="466">
        <f t="shared" si="2" ref="M6:M18">L6*N6</f>
        <v>54.911999999999999</v>
      </c>
      <c r="N6" s="466">
        <v>176</v>
      </c>
      <c r="O6" s="456">
        <f t="shared" si="3" ref="O6:O18">J6/I6*K6</f>
        <v>0.312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2</v>
      </c>
      <c r="L9" s="465">
        <f t="shared" si="1"/>
        <v>0.034333333333333334</v>
      </c>
      <c r="M9" s="466">
        <f t="shared" si="2"/>
        <v>6.0426666666666664</v>
      </c>
      <c r="N9" s="466">
        <v>176</v>
      </c>
      <c r="O9" s="456">
        <f t="shared" si="3"/>
        <v>0.034333333333333334</v>
      </c>
    </row>
    <row r="10" spans="1:15" s="457" customFormat="1" ht="15">
      <c r="A10" s="459" t="s">
        <v>839</v>
      </c>
      <c r="B10" s="494" t="s">
        <v>929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44.477390659747961</v>
      </c>
      <c r="H10" s="462">
        <v>10</v>
      </c>
      <c r="I10" s="463">
        <v>1</v>
      </c>
      <c r="J10" s="464">
        <f>13.49/60</f>
        <v>0.22483333333333333</v>
      </c>
      <c r="K10" s="461">
        <v>1</v>
      </c>
      <c r="L10" s="465">
        <f t="shared" si="1"/>
        <v>0.22483333333333333</v>
      </c>
      <c r="M10" s="466">
        <f t="shared" si="2"/>
        <v>39.570666666666668</v>
      </c>
      <c r="N10" s="466">
        <v>176</v>
      </c>
      <c r="O10" s="456">
        <f t="shared" si="3"/>
        <v>0.22483333333333333</v>
      </c>
    </row>
    <row r="11" spans="1:15" s="457" customFormat="1" ht="15">
      <c r="A11" s="459" t="s">
        <v>840</v>
      </c>
      <c r="B11" s="494" t="s">
        <v>1084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550.45871559633019</v>
      </c>
      <c r="H11" s="462">
        <v>10</v>
      </c>
      <c r="I11" s="463">
        <v>1</v>
      </c>
      <c r="J11" s="464">
        <f>1.09/60</f>
        <v>0.018166666666666668</v>
      </c>
      <c r="K11" s="461">
        <v>1</v>
      </c>
      <c r="L11" s="465">
        <f t="shared" si="1"/>
        <v>0.018166666666666668</v>
      </c>
      <c r="M11" s="466">
        <f t="shared" si="2"/>
        <v>3.1973333333333334</v>
      </c>
      <c r="N11" s="466">
        <v>176</v>
      </c>
      <c r="O11" s="456">
        <f t="shared" si="3"/>
        <v>0.018166666666666668</v>
      </c>
    </row>
    <row r="12" spans="1:15" s="457" customFormat="1" ht="15">
      <c r="A12" s="459" t="s">
        <v>841</v>
      </c>
      <c r="B12" s="494" t="s">
        <v>931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419.58041958041963</v>
      </c>
      <c r="H12" s="462">
        <v>10</v>
      </c>
      <c r="I12" s="463">
        <v>1</v>
      </c>
      <c r="J12" s="464">
        <f>1.43/60</f>
        <v>0.023833333333333331</v>
      </c>
      <c r="K12" s="461">
        <v>6</v>
      </c>
      <c r="L12" s="465">
        <f t="shared" si="1"/>
        <v>0.14299999999999999</v>
      </c>
      <c r="M12" s="466">
        <f t="shared" si="2"/>
        <v>25.167999999999999</v>
      </c>
      <c r="N12" s="466">
        <v>176</v>
      </c>
      <c r="O12" s="456">
        <f t="shared" si="3"/>
        <v>0.14299999999999999</v>
      </c>
    </row>
    <row r="13" spans="1:15" s="457" customFormat="1" ht="15">
      <c r="A13" s="459" t="s">
        <v>842</v>
      </c>
      <c r="B13" s="494" t="s">
        <v>857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322.58064516129036</v>
      </c>
      <c r="H13" s="462">
        <v>10</v>
      </c>
      <c r="I13" s="463">
        <v>1</v>
      </c>
      <c r="J13" s="464">
        <f>1.86/60</f>
        <v>0.030999999999999996</v>
      </c>
      <c r="K13" s="461">
        <v>1</v>
      </c>
      <c r="L13" s="465">
        <f t="shared" si="1"/>
        <v>0.030999999999999996</v>
      </c>
      <c r="M13" s="466">
        <f t="shared" si="2"/>
        <v>5.4559999999999995</v>
      </c>
      <c r="N13" s="466">
        <v>176</v>
      </c>
      <c r="O13" s="456">
        <f t="shared" si="3"/>
        <v>0.030999999999999996</v>
      </c>
    </row>
    <row r="14" spans="1:15" s="457" customFormat="1" ht="15">
      <c r="A14" s="459" t="s">
        <v>843</v>
      </c>
      <c r="B14" s="494" t="s">
        <v>856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257.51072961373387</v>
      </c>
      <c r="H14" s="462">
        <v>10</v>
      </c>
      <c r="I14" s="463">
        <v>1</v>
      </c>
      <c r="J14" s="464">
        <f>2.33/60</f>
        <v>0.038833333333333338</v>
      </c>
      <c r="K14" s="461">
        <v>44</v>
      </c>
      <c r="L14" s="465">
        <f t="shared" si="1"/>
        <v>1.7086666666666668</v>
      </c>
      <c r="M14" s="466">
        <f t="shared" si="2"/>
        <v>300.72533333333337</v>
      </c>
      <c r="N14" s="466">
        <v>176</v>
      </c>
      <c r="O14" s="456">
        <f t="shared" si="3"/>
        <v>1.7086666666666668</v>
      </c>
    </row>
    <row r="15" spans="1:15" s="457" customFormat="1" ht="15">
      <c r="A15" s="459" t="s">
        <v>844</v>
      </c>
      <c r="B15" s="494" t="s">
        <v>932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132.45033112582783</v>
      </c>
      <c r="H15" s="462">
        <v>10</v>
      </c>
      <c r="I15" s="463">
        <v>1</v>
      </c>
      <c r="J15" s="464">
        <f>4.53/60</f>
        <v>0.075499999999999998</v>
      </c>
      <c r="K15" s="461">
        <v>2</v>
      </c>
      <c r="L15" s="465">
        <f t="shared" si="1"/>
        <v>0.151</v>
      </c>
      <c r="M15" s="466">
        <f t="shared" si="2"/>
        <v>26.576000000000001</v>
      </c>
      <c r="N15" s="466">
        <v>176</v>
      </c>
      <c r="O15" s="456">
        <f t="shared" si="3"/>
        <v>0.151</v>
      </c>
    </row>
    <row r="16" spans="1:15" s="457" customFormat="1" ht="15">
      <c r="A16" s="459" t="s">
        <v>845</v>
      </c>
      <c r="B16" s="494" t="s">
        <v>854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631.57894736842115</v>
      </c>
      <c r="H16" s="462">
        <v>10</v>
      </c>
      <c r="I16" s="463">
        <v>1</v>
      </c>
      <c r="J16" s="464">
        <f>0.95/60</f>
        <v>0.015833333333333331</v>
      </c>
      <c r="K16" s="461">
        <v>1</v>
      </c>
      <c r="L16" s="465">
        <f t="shared" si="1"/>
        <v>0.015833333333333331</v>
      </c>
      <c r="M16" s="466">
        <f t="shared" si="2"/>
        <v>2.7866666666666662</v>
      </c>
      <c r="N16" s="466">
        <v>176</v>
      </c>
      <c r="O16" s="456">
        <f t="shared" si="3"/>
        <v>0.015833333333333331</v>
      </c>
    </row>
    <row r="17" spans="1:15" s="457" customFormat="1" ht="15">
      <c r="A17" s="459" t="s">
        <v>846</v>
      </c>
      <c r="B17" s="494" t="s">
        <v>855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454.5454545454545</v>
      </c>
      <c r="H17" s="462">
        <v>10</v>
      </c>
      <c r="I17" s="463">
        <v>1</v>
      </c>
      <c r="J17" s="464">
        <f>1.32/60</f>
        <v>0.022000000000000002</v>
      </c>
      <c r="K17" s="461">
        <v>4</v>
      </c>
      <c r="L17" s="465">
        <f t="shared" si="1"/>
        <v>0.088000000000000009</v>
      </c>
      <c r="M17" s="466">
        <f t="shared" si="2"/>
        <v>15.488000000000001</v>
      </c>
      <c r="N17" s="466">
        <v>176</v>
      </c>
      <c r="O17" s="456">
        <f t="shared" si="3"/>
        <v>0.088000000000000009</v>
      </c>
    </row>
    <row r="18" spans="1:15" s="457" customFormat="1" ht="15">
      <c r="A18" s="459" t="s">
        <v>847</v>
      </c>
      <c r="B18" s="494" t="s">
        <v>861</v>
      </c>
      <c r="C18" s="460" t="s">
        <v>532</v>
      </c>
      <c r="D18" s="460" t="s">
        <v>1330</v>
      </c>
      <c r="E18" s="460"/>
      <c r="F18" s="460" t="s">
        <v>533</v>
      </c>
      <c r="G18" s="461">
        <f t="shared" si="0"/>
        <v>857.14285714285722</v>
      </c>
      <c r="H18" s="462">
        <v>10</v>
      </c>
      <c r="I18" s="463">
        <v>1</v>
      </c>
      <c r="J18" s="464">
        <f>0.7/60</f>
        <v>0.011666666666666665</v>
      </c>
      <c r="K18" s="461">
        <v>2</v>
      </c>
      <c r="L18" s="465">
        <f t="shared" si="1"/>
        <v>0.023333333333333331</v>
      </c>
      <c r="M18" s="466">
        <f t="shared" si="2"/>
        <v>4.1066666666666665</v>
      </c>
      <c r="N18" s="466">
        <v>176</v>
      </c>
      <c r="O18" s="456">
        <f t="shared" si="3"/>
        <v>0.023333333333333331</v>
      </c>
    </row>
    <row r="19" spans="1:15" ht="15">
      <c r="A19" s="39"/>
      <c r="B19" s="649" t="s">
        <v>130</v>
      </c>
      <c r="C19" s="649"/>
      <c r="D19" s="649"/>
      <c r="E19" s="649"/>
      <c r="F19" s="649"/>
      <c r="G19" s="649"/>
      <c r="H19" s="649"/>
      <c r="I19" s="649"/>
      <c r="J19" s="649"/>
      <c r="K19" s="649"/>
      <c r="L19" s="265"/>
      <c r="M19" s="262">
        <f>SUM(M20:M47)</f>
        <v>3673.7647469642766</v>
      </c>
      <c r="N19" s="430"/>
      <c r="O19" s="264">
        <f>SUM(O20:O47)</f>
        <v>16.122372748368427</v>
      </c>
    </row>
    <row r="20" spans="1:15" s="0" customFormat="1" ht="15">
      <c r="A20" s="57" t="s">
        <v>143</v>
      </c>
      <c r="B20" s="56" t="s">
        <v>144</v>
      </c>
      <c r="C20" s="13" t="s">
        <v>1085</v>
      </c>
      <c r="D20" s="13">
        <v>105</v>
      </c>
      <c r="E20" s="13"/>
      <c r="F20" s="17" t="s">
        <v>353</v>
      </c>
      <c r="G20" s="469">
        <v>18.20</v>
      </c>
      <c r="H20" s="252">
        <v>10</v>
      </c>
      <c r="I20" s="16">
        <v>1</v>
      </c>
      <c r="J20" s="253">
        <f>H20/G20*I20</f>
        <v>0.5494505494505495</v>
      </c>
      <c r="K20" s="52">
        <v>1</v>
      </c>
      <c r="L20" s="26">
        <f t="shared" si="4" ref="L20:L47">J20*K20</f>
        <v>0.5494505494505495</v>
      </c>
      <c r="M20" s="43">
        <f>L20*N20</f>
        <v>109.8901098901099</v>
      </c>
      <c r="N20" s="85">
        <v>200</v>
      </c>
      <c r="O20" s="8">
        <f>J20/I20*K20</f>
        <v>0.5494505494505495</v>
      </c>
    </row>
    <row r="21" spans="1:15" s="0" customFormat="1" ht="15">
      <c r="A21" s="650" t="s">
        <v>146</v>
      </c>
      <c r="B21" s="638" t="s">
        <v>411</v>
      </c>
      <c r="C21" s="13" t="s">
        <v>1086</v>
      </c>
      <c r="D21" s="460">
        <v>109</v>
      </c>
      <c r="E21" s="637" t="s">
        <v>911</v>
      </c>
      <c r="F21" s="17" t="s">
        <v>10</v>
      </c>
      <c r="G21" s="16">
        <v>40</v>
      </c>
      <c r="H21" s="252">
        <v>10</v>
      </c>
      <c r="I21" s="16">
        <v>1</v>
      </c>
      <c r="J21" s="253">
        <f t="shared" si="5" ref="J21:J47">H21/G21*I21</f>
        <v>0.25</v>
      </c>
      <c r="K21" s="260">
        <f>960/1000+0.1</f>
        <v>1.0600000000000001</v>
      </c>
      <c r="L21" s="26">
        <f t="shared" si="4"/>
        <v>0.265</v>
      </c>
      <c r="M21" s="43">
        <f t="shared" si="6" ref="M21:M47">L21*N21</f>
        <v>53</v>
      </c>
      <c r="N21" s="85">
        <v>200</v>
      </c>
      <c r="O21" s="8">
        <f t="shared" si="7" ref="O21:O47">J21/I21*K21</f>
        <v>0.265</v>
      </c>
    </row>
    <row r="22" spans="1:15" s="0" customFormat="1" ht="15">
      <c r="A22" s="637"/>
      <c r="B22" s="638"/>
      <c r="C22" s="13" t="s">
        <v>1087</v>
      </c>
      <c r="D22" s="460">
        <v>109</v>
      </c>
      <c r="E22" s="637"/>
      <c r="F22" s="17" t="s">
        <v>10</v>
      </c>
      <c r="G22" s="16">
        <v>27</v>
      </c>
      <c r="H22" s="252">
        <v>10</v>
      </c>
      <c r="I22" s="16">
        <v>1</v>
      </c>
      <c r="J22" s="253">
        <f t="shared" si="5"/>
        <v>0.37037037037037035</v>
      </c>
      <c r="K22" s="260">
        <f>960/1000+0.2</f>
        <v>1.1599999999999999</v>
      </c>
      <c r="L22" s="26">
        <f t="shared" si="4"/>
        <v>0.42962962962962958</v>
      </c>
      <c r="M22" s="43">
        <f t="shared" si="6"/>
        <v>85.925925925925924</v>
      </c>
      <c r="N22" s="85">
        <v>200</v>
      </c>
      <c r="O22" s="8">
        <f t="shared" si="7"/>
        <v>0.42962962962962958</v>
      </c>
    </row>
    <row r="23" spans="1:15" s="0" customFormat="1" ht="15">
      <c r="A23" s="650" t="s">
        <v>148</v>
      </c>
      <c r="B23" s="638" t="s">
        <v>412</v>
      </c>
      <c r="C23" s="13" t="s">
        <v>1088</v>
      </c>
      <c r="D23" s="13">
        <v>107</v>
      </c>
      <c r="E23" s="637" t="s">
        <v>43</v>
      </c>
      <c r="F23" s="17" t="s">
        <v>10</v>
      </c>
      <c r="G23" s="16">
        <v>40</v>
      </c>
      <c r="H23" s="252">
        <v>10</v>
      </c>
      <c r="I23" s="16">
        <v>1</v>
      </c>
      <c r="J23" s="253">
        <f t="shared" si="5"/>
        <v>0.25</v>
      </c>
      <c r="K23" s="30">
        <f>960/1000+0.1</f>
        <v>1.0600000000000001</v>
      </c>
      <c r="L23" s="26">
        <f t="shared" si="4"/>
        <v>0.265</v>
      </c>
      <c r="M23" s="43">
        <f t="shared" si="6"/>
        <v>53</v>
      </c>
      <c r="N23" s="85">
        <v>200</v>
      </c>
      <c r="O23" s="8">
        <f t="shared" si="7"/>
        <v>0.265</v>
      </c>
    </row>
    <row r="24" spans="1:15" s="0" customFormat="1" ht="15">
      <c r="A24" s="650"/>
      <c r="B24" s="638"/>
      <c r="C24" s="13" t="s">
        <v>1089</v>
      </c>
      <c r="D24" s="13">
        <v>107</v>
      </c>
      <c r="E24" s="637"/>
      <c r="F24" s="17" t="s">
        <v>10</v>
      </c>
      <c r="G24" s="16">
        <v>25</v>
      </c>
      <c r="H24" s="252">
        <v>10</v>
      </c>
      <c r="I24" s="16">
        <v>1</v>
      </c>
      <c r="J24" s="253">
        <f t="shared" si="5"/>
        <v>0.40</v>
      </c>
      <c r="K24" s="30">
        <f>960/1000</f>
        <v>0.96</v>
      </c>
      <c r="L24" s="26">
        <f t="shared" si="8" ref="L24">J24*K24</f>
        <v>0.38400000000000001</v>
      </c>
      <c r="M24" s="43">
        <f t="shared" si="9" ref="M24">L24*N24</f>
        <v>67.584000000000003</v>
      </c>
      <c r="N24" s="85">
        <v>176</v>
      </c>
      <c r="O24" s="8">
        <f t="shared" si="7"/>
        <v>0.38400000000000001</v>
      </c>
    </row>
    <row r="25" spans="1:15" s="0" customFormat="1" ht="15">
      <c r="A25" s="650"/>
      <c r="B25" s="638"/>
      <c r="C25" s="13" t="s">
        <v>1090</v>
      </c>
      <c r="D25" s="13">
        <v>107</v>
      </c>
      <c r="E25" s="637"/>
      <c r="F25" s="17" t="s">
        <v>10</v>
      </c>
      <c r="G25" s="16">
        <v>28.50</v>
      </c>
      <c r="H25" s="252">
        <v>10</v>
      </c>
      <c r="I25" s="16">
        <v>1</v>
      </c>
      <c r="J25" s="253">
        <f t="shared" si="5"/>
        <v>0.35087719298245612</v>
      </c>
      <c r="K25" s="30">
        <f>960/1000+0.1</f>
        <v>1.0600000000000001</v>
      </c>
      <c r="L25" s="26">
        <f t="shared" si="4"/>
        <v>0.3719298245614035</v>
      </c>
      <c r="M25" s="43">
        <f t="shared" si="6"/>
        <v>74.385964912280699</v>
      </c>
      <c r="N25" s="85">
        <v>200</v>
      </c>
      <c r="O25" s="8">
        <f t="shared" si="7"/>
        <v>0.3719298245614035</v>
      </c>
    </row>
    <row r="26" spans="1:15" s="0" customFormat="1" ht="30">
      <c r="A26" s="57" t="s">
        <v>421</v>
      </c>
      <c r="B26" s="56" t="s">
        <v>149</v>
      </c>
      <c r="C26" s="13" t="s">
        <v>1085</v>
      </c>
      <c r="D26" s="13">
        <v>105</v>
      </c>
      <c r="E26" s="13"/>
      <c r="F26" s="17" t="s">
        <v>353</v>
      </c>
      <c r="G26" s="469">
        <f>18.2/0.65</f>
        <v>27.999999999999996</v>
      </c>
      <c r="H26" s="252">
        <v>10</v>
      </c>
      <c r="I26" s="16">
        <v>1</v>
      </c>
      <c r="J26" s="253">
        <f t="shared" si="5"/>
        <v>0.35714285714285721</v>
      </c>
      <c r="K26" s="52">
        <v>1</v>
      </c>
      <c r="L26" s="26">
        <f t="shared" si="4"/>
        <v>0.35714285714285721</v>
      </c>
      <c r="M26" s="43">
        <f t="shared" si="6"/>
        <v>71.428571428571445</v>
      </c>
      <c r="N26" s="43">
        <v>200</v>
      </c>
      <c r="O26" s="8">
        <f t="shared" si="7"/>
        <v>0.35714285714285721</v>
      </c>
    </row>
    <row r="27" spans="1:15" s="0" customFormat="1" ht="30">
      <c r="A27" s="565" t="s">
        <v>1662</v>
      </c>
      <c r="B27" s="522" t="s">
        <v>1661</v>
      </c>
      <c r="C27" s="523" t="s">
        <v>9</v>
      </c>
      <c r="D27" s="523">
        <v>109</v>
      </c>
      <c r="E27" s="523"/>
      <c r="F27" s="524" t="s">
        <v>10</v>
      </c>
      <c r="G27" s="525">
        <v>33</v>
      </c>
      <c r="H27" s="526">
        <v>10</v>
      </c>
      <c r="I27" s="527">
        <v>1</v>
      </c>
      <c r="J27" s="528">
        <f t="shared" si="5"/>
        <v>0.30303030303030304</v>
      </c>
      <c r="K27" s="525">
        <f>(350*2)/1000</f>
        <v>0.70</v>
      </c>
      <c r="L27" s="267">
        <f t="shared" si="4"/>
        <v>0.21212121212121213</v>
      </c>
      <c r="M27" s="266">
        <f t="shared" si="6"/>
        <v>32.242424242424242</v>
      </c>
      <c r="N27" s="433">
        <v>152</v>
      </c>
      <c r="O27" s="267">
        <f t="shared" si="7"/>
        <v>0.21212121212121213</v>
      </c>
    </row>
    <row r="28" spans="1:15" ht="15">
      <c r="A28" s="57" t="s">
        <v>152</v>
      </c>
      <c r="B28" s="56" t="s">
        <v>153</v>
      </c>
      <c r="C28" s="13" t="s">
        <v>154</v>
      </c>
      <c r="D28" s="13">
        <v>124</v>
      </c>
      <c r="E28" s="13"/>
      <c r="F28" s="13" t="s">
        <v>354</v>
      </c>
      <c r="G28" s="442">
        <v>13.10</v>
      </c>
      <c r="H28" s="440">
        <v>10</v>
      </c>
      <c r="I28" s="28">
        <v>1</v>
      </c>
      <c r="J28" s="441">
        <f t="shared" si="5"/>
        <v>0.76335877862595425</v>
      </c>
      <c r="K28" s="432">
        <v>1</v>
      </c>
      <c r="L28" s="267">
        <f t="shared" si="4"/>
        <v>0.76335877862595425</v>
      </c>
      <c r="M28" s="433">
        <f t="shared" si="6"/>
        <v>152.67175572519085</v>
      </c>
      <c r="N28" s="434">
        <v>200</v>
      </c>
      <c r="O28" s="435">
        <f t="shared" si="7"/>
        <v>0.76335877862595425</v>
      </c>
    </row>
    <row r="29" spans="1:15" ht="30">
      <c r="A29" s="57" t="s">
        <v>155</v>
      </c>
      <c r="B29" s="56" t="s">
        <v>156</v>
      </c>
      <c r="C29" s="13" t="s">
        <v>157</v>
      </c>
      <c r="D29" s="13" t="s">
        <v>1329</v>
      </c>
      <c r="E29" s="13"/>
      <c r="F29" s="13" t="s">
        <v>354</v>
      </c>
      <c r="G29" s="442">
        <v>5.63</v>
      </c>
      <c r="H29" s="440">
        <v>10</v>
      </c>
      <c r="I29" s="28">
        <v>1</v>
      </c>
      <c r="J29" s="441">
        <f t="shared" si="5"/>
        <v>1.7761989342806395</v>
      </c>
      <c r="K29" s="432">
        <v>1</v>
      </c>
      <c r="L29" s="267">
        <f t="shared" si="4"/>
        <v>1.7761989342806395</v>
      </c>
      <c r="M29" s="433">
        <f t="shared" si="6"/>
        <v>355.23978685612792</v>
      </c>
      <c r="N29" s="434">
        <v>200</v>
      </c>
      <c r="O29" s="435">
        <f t="shared" si="7"/>
        <v>1.7761989342806395</v>
      </c>
    </row>
    <row r="30" spans="1:15" ht="30">
      <c r="A30" s="57" t="s">
        <v>158</v>
      </c>
      <c r="B30" s="56" t="s">
        <v>159</v>
      </c>
      <c r="C30" s="13" t="s">
        <v>160</v>
      </c>
      <c r="D30" s="13" t="s">
        <v>1331</v>
      </c>
      <c r="E30" s="13" t="s">
        <v>161</v>
      </c>
      <c r="F30" s="13" t="s">
        <v>10</v>
      </c>
      <c r="G30" s="439">
        <v>15.40</v>
      </c>
      <c r="H30" s="440">
        <v>10</v>
      </c>
      <c r="I30" s="28">
        <v>1</v>
      </c>
      <c r="J30" s="441">
        <f t="shared" si="5"/>
        <v>0.64935064935064934</v>
      </c>
      <c r="K30" s="436">
        <f>(61/1000)*3.1415*4</f>
        <v>0.76652600000000004</v>
      </c>
      <c r="L30" s="435">
        <f t="shared" si="4"/>
        <v>0.49774415584415588</v>
      </c>
      <c r="M30" s="266">
        <f t="shared" si="6"/>
        <v>99.548831168831171</v>
      </c>
      <c r="N30" s="433">
        <v>200</v>
      </c>
      <c r="O30" s="435">
        <f t="shared" si="7"/>
        <v>0.49774415584415588</v>
      </c>
    </row>
    <row r="31" spans="1:15" ht="15">
      <c r="A31" s="57" t="s">
        <v>427</v>
      </c>
      <c r="B31" s="56" t="s">
        <v>428</v>
      </c>
      <c r="C31" s="13" t="s">
        <v>24</v>
      </c>
      <c r="D31" s="13">
        <v>110</v>
      </c>
      <c r="E31" s="13"/>
      <c r="F31" s="4" t="s">
        <v>38</v>
      </c>
      <c r="G31" s="442">
        <v>13.08</v>
      </c>
      <c r="H31" s="440">
        <v>10</v>
      </c>
      <c r="I31" s="28">
        <v>2</v>
      </c>
      <c r="J31" s="441">
        <f t="shared" si="5"/>
        <v>1.5290519877675841</v>
      </c>
      <c r="K31" s="28">
        <v>1</v>
      </c>
      <c r="L31" s="267">
        <f t="shared" si="4"/>
        <v>1.5290519877675841</v>
      </c>
      <c r="M31" s="433">
        <f t="shared" si="6"/>
        <v>305.81039755351685</v>
      </c>
      <c r="N31" s="434">
        <v>200</v>
      </c>
      <c r="O31" s="435">
        <f t="shared" si="7"/>
        <v>0.76452599388379205</v>
      </c>
    </row>
    <row r="32" spans="1:15" ht="15">
      <c r="A32" s="637" t="s">
        <v>162</v>
      </c>
      <c r="B32" s="638" t="s">
        <v>429</v>
      </c>
      <c r="C32" s="13" t="s">
        <v>160</v>
      </c>
      <c r="D32" s="13">
        <v>109</v>
      </c>
      <c r="E32" s="637" t="s">
        <v>911</v>
      </c>
      <c r="F32" s="13" t="s">
        <v>10</v>
      </c>
      <c r="G32" s="28">
        <v>40</v>
      </c>
      <c r="H32" s="440">
        <v>10</v>
      </c>
      <c r="I32" s="28">
        <v>1</v>
      </c>
      <c r="J32" s="441">
        <f t="shared" si="5"/>
        <v>0.25</v>
      </c>
      <c r="K32" s="436">
        <f>630/1000*3.1415</f>
        <v>1.9791450000000002</v>
      </c>
      <c r="L32" s="267">
        <f t="shared" si="4"/>
        <v>0.49478625000000004</v>
      </c>
      <c r="M32" s="433">
        <f t="shared" si="6"/>
        <v>98.957250000000002</v>
      </c>
      <c r="N32" s="434">
        <v>200</v>
      </c>
      <c r="O32" s="435">
        <f t="shared" si="7"/>
        <v>0.49478625000000004</v>
      </c>
    </row>
    <row r="33" spans="1:15" ht="15">
      <c r="A33" s="637"/>
      <c r="B33" s="638"/>
      <c r="C33" s="13" t="s">
        <v>9</v>
      </c>
      <c r="D33" s="13">
        <v>109</v>
      </c>
      <c r="E33" s="637"/>
      <c r="F33" s="13" t="s">
        <v>10</v>
      </c>
      <c r="G33" s="28">
        <v>27</v>
      </c>
      <c r="H33" s="440">
        <v>10</v>
      </c>
      <c r="I33" s="28">
        <v>1</v>
      </c>
      <c r="J33" s="441">
        <f t="shared" si="5"/>
        <v>0.37037037037037035</v>
      </c>
      <c r="K33" s="436">
        <f>630/1000*3.1415</f>
        <v>1.9791450000000002</v>
      </c>
      <c r="L33" s="267">
        <f t="shared" si="4"/>
        <v>0.73301666666666665</v>
      </c>
      <c r="M33" s="433">
        <f t="shared" si="6"/>
        <v>146.60333333333332</v>
      </c>
      <c r="N33" s="434">
        <v>200</v>
      </c>
      <c r="O33" s="435">
        <f t="shared" si="7"/>
        <v>0.73301666666666665</v>
      </c>
    </row>
    <row r="34" spans="1:15" ht="15">
      <c r="A34" s="650" t="s">
        <v>430</v>
      </c>
      <c r="B34" s="638" t="s">
        <v>431</v>
      </c>
      <c r="C34" s="13" t="s">
        <v>160</v>
      </c>
      <c r="D34" s="13">
        <v>107</v>
      </c>
      <c r="E34" s="637" t="s">
        <v>43</v>
      </c>
      <c r="F34" s="13" t="s">
        <v>10</v>
      </c>
      <c r="G34" s="28">
        <v>40</v>
      </c>
      <c r="H34" s="440">
        <v>10</v>
      </c>
      <c r="I34" s="28">
        <v>1</v>
      </c>
      <c r="J34" s="441">
        <f t="shared" si="5"/>
        <v>0.25</v>
      </c>
      <c r="K34" s="436">
        <f>630/1000*3.1415</f>
        <v>1.9791450000000002</v>
      </c>
      <c r="L34" s="267">
        <f t="shared" si="4"/>
        <v>0.49478625000000004</v>
      </c>
      <c r="M34" s="433">
        <f t="shared" si="6"/>
        <v>98.957250000000002</v>
      </c>
      <c r="N34" s="434">
        <v>200</v>
      </c>
      <c r="O34" s="435">
        <f t="shared" si="7"/>
        <v>0.49478625000000004</v>
      </c>
    </row>
    <row r="35" spans="1:15" ht="15">
      <c r="A35" s="650"/>
      <c r="B35" s="638"/>
      <c r="C35" s="13" t="s">
        <v>511</v>
      </c>
      <c r="D35" s="13">
        <v>107</v>
      </c>
      <c r="E35" s="637"/>
      <c r="F35" s="13" t="s">
        <v>10</v>
      </c>
      <c r="G35" s="28">
        <v>25</v>
      </c>
      <c r="H35" s="440">
        <v>10</v>
      </c>
      <c r="I35" s="28">
        <v>1</v>
      </c>
      <c r="J35" s="453">
        <f t="shared" si="5"/>
        <v>0.40</v>
      </c>
      <c r="K35" s="436">
        <f>630*3.1415/1000</f>
        <v>1.9791450000000002</v>
      </c>
      <c r="L35" s="267">
        <f t="shared" si="4"/>
        <v>0.79165800000000008</v>
      </c>
      <c r="M35" s="433">
        <f t="shared" si="6"/>
        <v>139.33180800000002</v>
      </c>
      <c r="N35" s="434">
        <v>176</v>
      </c>
      <c r="O35" s="435">
        <f t="shared" si="7"/>
        <v>0.79165800000000008</v>
      </c>
    </row>
    <row r="36" spans="1:15" ht="15">
      <c r="A36" s="650"/>
      <c r="B36" s="638"/>
      <c r="C36" s="13" t="s">
        <v>313</v>
      </c>
      <c r="D36" s="13">
        <v>107</v>
      </c>
      <c r="E36" s="637"/>
      <c r="F36" s="13" t="s">
        <v>10</v>
      </c>
      <c r="G36" s="28">
        <v>28.50</v>
      </c>
      <c r="H36" s="440">
        <v>10</v>
      </c>
      <c r="I36" s="28">
        <v>1</v>
      </c>
      <c r="J36" s="453">
        <f t="shared" si="5"/>
        <v>0.35087719298245612</v>
      </c>
      <c r="K36" s="436">
        <f>630*3.1415/1000</f>
        <v>1.9791450000000002</v>
      </c>
      <c r="L36" s="267">
        <f t="shared" si="4"/>
        <v>0.69443684210526313</v>
      </c>
      <c r="M36" s="433">
        <f t="shared" si="6"/>
        <v>138.88736842105263</v>
      </c>
      <c r="N36" s="434">
        <v>200</v>
      </c>
      <c r="O36" s="435">
        <f t="shared" si="7"/>
        <v>0.69443684210526313</v>
      </c>
    </row>
    <row r="37" spans="1:15" ht="15">
      <c r="A37" s="57" t="s">
        <v>629</v>
      </c>
      <c r="B37" s="56" t="s">
        <v>1091</v>
      </c>
      <c r="C37" s="13" t="s">
        <v>862</v>
      </c>
      <c r="D37" s="13">
        <v>224</v>
      </c>
      <c r="E37" s="13"/>
      <c r="F37" s="17"/>
      <c r="G37" s="28">
        <f>(600-25)/10</f>
        <v>57.50</v>
      </c>
      <c r="H37" s="440">
        <v>10</v>
      </c>
      <c r="I37" s="28">
        <v>2</v>
      </c>
      <c r="J37" s="441">
        <f t="shared" si="5"/>
        <v>0.34782608695652173</v>
      </c>
      <c r="K37" s="28">
        <v>1</v>
      </c>
      <c r="L37" s="267">
        <f t="shared" si="4"/>
        <v>0.34782608695652173</v>
      </c>
      <c r="M37" s="433">
        <f t="shared" si="6"/>
        <v>69.565217391304344</v>
      </c>
      <c r="N37" s="434">
        <v>200</v>
      </c>
      <c r="O37" s="435">
        <f t="shared" si="7"/>
        <v>0.17391304347826086</v>
      </c>
    </row>
    <row r="38" spans="1:15" ht="15">
      <c r="A38" s="637" t="s">
        <v>314</v>
      </c>
      <c r="B38" s="638" t="s">
        <v>107</v>
      </c>
      <c r="C38" s="13" t="s">
        <v>24</v>
      </c>
      <c r="D38" s="13">
        <v>110</v>
      </c>
      <c r="E38" s="13"/>
      <c r="F38" s="4" t="s">
        <v>40</v>
      </c>
      <c r="G38" s="442">
        <v>20</v>
      </c>
      <c r="H38" s="440">
        <v>10</v>
      </c>
      <c r="I38" s="28">
        <v>2</v>
      </c>
      <c r="J38" s="441">
        <f t="shared" si="5"/>
        <v>1</v>
      </c>
      <c r="K38" s="28">
        <v>1</v>
      </c>
      <c r="L38" s="267">
        <f t="shared" si="4"/>
        <v>1</v>
      </c>
      <c r="M38" s="433">
        <f t="shared" si="6"/>
        <v>200</v>
      </c>
      <c r="N38" s="434">
        <v>200</v>
      </c>
      <c r="O38" s="435">
        <f t="shared" si="7"/>
        <v>0.50</v>
      </c>
    </row>
    <row r="39" spans="1:15" ht="15">
      <c r="A39" s="637"/>
      <c r="B39" s="638"/>
      <c r="C39" s="13" t="s">
        <v>25</v>
      </c>
      <c r="D39" s="13">
        <v>110</v>
      </c>
      <c r="E39" s="13" t="s">
        <v>41</v>
      </c>
      <c r="F39" s="13" t="s">
        <v>10</v>
      </c>
      <c r="G39" s="28">
        <v>40</v>
      </c>
      <c r="H39" s="440">
        <v>10</v>
      </c>
      <c r="I39" s="28">
        <v>1</v>
      </c>
      <c r="J39" s="441">
        <f t="shared" si="5"/>
        <v>0.25</v>
      </c>
      <c r="K39" s="436">
        <f>630/1000*3.1415*2</f>
        <v>3.9582900000000003</v>
      </c>
      <c r="L39" s="267">
        <f t="shared" si="4"/>
        <v>0.98957250000000008</v>
      </c>
      <c r="M39" s="433">
        <f t="shared" si="6"/>
        <v>197.9145</v>
      </c>
      <c r="N39" s="434">
        <v>200</v>
      </c>
      <c r="O39" s="435">
        <f t="shared" si="7"/>
        <v>0.98957250000000008</v>
      </c>
    </row>
    <row r="40" spans="1:15" ht="15">
      <c r="A40" s="57" t="s">
        <v>1285</v>
      </c>
      <c r="B40" s="56" t="s">
        <v>1595</v>
      </c>
      <c r="C40" s="13" t="s">
        <v>1601</v>
      </c>
      <c r="D40" s="13">
        <v>105</v>
      </c>
      <c r="E40" s="13"/>
      <c r="F40" s="13" t="s">
        <v>353</v>
      </c>
      <c r="G40" s="442">
        <v>24.70</v>
      </c>
      <c r="H40" s="440">
        <v>10</v>
      </c>
      <c r="I40" s="28">
        <v>1</v>
      </c>
      <c r="J40" s="441">
        <f t="shared" si="5"/>
        <v>0.40485829959514169</v>
      </c>
      <c r="K40" s="432">
        <v>1</v>
      </c>
      <c r="L40" s="435">
        <f t="shared" si="4"/>
        <v>0.40485829959514169</v>
      </c>
      <c r="M40" s="266">
        <f t="shared" si="6"/>
        <v>80.97165991902834</v>
      </c>
      <c r="N40" s="433">
        <v>200</v>
      </c>
      <c r="O40" s="435">
        <f t="shared" si="7"/>
        <v>0.40485829959514169</v>
      </c>
    </row>
    <row r="41" spans="1:15" ht="15">
      <c r="A41" s="57" t="s">
        <v>648</v>
      </c>
      <c r="B41" s="508" t="s">
        <v>1596</v>
      </c>
      <c r="C41" s="13" t="s">
        <v>1602</v>
      </c>
      <c r="D41" s="13">
        <v>108</v>
      </c>
      <c r="E41" s="13"/>
      <c r="F41" s="13" t="s">
        <v>10</v>
      </c>
      <c r="G41" s="28">
        <v>40</v>
      </c>
      <c r="H41" s="440">
        <v>10</v>
      </c>
      <c r="I41" s="28">
        <v>1</v>
      </c>
      <c r="J41" s="453">
        <f t="shared" si="5"/>
        <v>0.25</v>
      </c>
      <c r="K41" s="436">
        <f>149*2/1000</f>
        <v>0.29799999999999999</v>
      </c>
      <c r="L41" s="267">
        <f t="shared" si="4"/>
        <v>0.074499999999999997</v>
      </c>
      <c r="M41" s="433">
        <f t="shared" si="6"/>
        <v>14.90</v>
      </c>
      <c r="N41" s="434">
        <v>200</v>
      </c>
      <c r="O41" s="435">
        <f t="shared" si="7"/>
        <v>0.074499999999999997</v>
      </c>
    </row>
    <row r="42" spans="1:15" ht="15">
      <c r="A42" s="57" t="s">
        <v>1288</v>
      </c>
      <c r="B42" s="56" t="s">
        <v>1597</v>
      </c>
      <c r="C42" s="13" t="s">
        <v>1601</v>
      </c>
      <c r="D42" s="13">
        <v>105</v>
      </c>
      <c r="E42" s="13"/>
      <c r="F42" s="13" t="s">
        <v>353</v>
      </c>
      <c r="G42" s="442">
        <f>24.7/0.65</f>
        <v>38</v>
      </c>
      <c r="H42" s="440">
        <v>10</v>
      </c>
      <c r="I42" s="28">
        <v>1</v>
      </c>
      <c r="J42" s="441">
        <f t="shared" si="5"/>
        <v>0.26315789473684209</v>
      </c>
      <c r="K42" s="432">
        <v>1</v>
      </c>
      <c r="L42" s="435">
        <f t="shared" si="4"/>
        <v>0.26315789473684209</v>
      </c>
      <c r="M42" s="266">
        <f t="shared" si="6"/>
        <v>52.631578947368418</v>
      </c>
      <c r="N42" s="433">
        <v>200</v>
      </c>
      <c r="O42" s="435">
        <f t="shared" si="7"/>
        <v>0.26315789473684209</v>
      </c>
    </row>
    <row r="43" spans="1:15" ht="15">
      <c r="A43" s="57" t="s">
        <v>176</v>
      </c>
      <c r="B43" s="56" t="s">
        <v>1598</v>
      </c>
      <c r="C43" s="13" t="s">
        <v>154</v>
      </c>
      <c r="D43" s="13">
        <v>124</v>
      </c>
      <c r="E43" s="13"/>
      <c r="F43" s="13" t="s">
        <v>354</v>
      </c>
      <c r="G43" s="568">
        <v>6.34</v>
      </c>
      <c r="H43" s="440">
        <v>10</v>
      </c>
      <c r="I43" s="28">
        <v>1</v>
      </c>
      <c r="J43" s="441">
        <f t="shared" si="5"/>
        <v>1.5772870662460567</v>
      </c>
      <c r="K43" s="432">
        <v>1</v>
      </c>
      <c r="L43" s="267">
        <f t="shared" si="4"/>
        <v>1.5772870662460567</v>
      </c>
      <c r="M43" s="433">
        <f t="shared" si="6"/>
        <v>315.45741324921136</v>
      </c>
      <c r="N43" s="434">
        <v>200</v>
      </c>
      <c r="O43" s="435">
        <f t="shared" si="7"/>
        <v>1.5772870662460567</v>
      </c>
    </row>
    <row r="44" spans="1:15" ht="30">
      <c r="A44" s="57" t="s">
        <v>1289</v>
      </c>
      <c r="B44" s="56" t="s">
        <v>1607</v>
      </c>
      <c r="C44" s="13" t="s">
        <v>24</v>
      </c>
      <c r="D44" s="13">
        <v>117</v>
      </c>
      <c r="E44" s="13"/>
      <c r="F44" s="4" t="s">
        <v>38</v>
      </c>
      <c r="G44" s="442">
        <v>20</v>
      </c>
      <c r="H44" s="440">
        <v>10</v>
      </c>
      <c r="I44" s="28">
        <v>2</v>
      </c>
      <c r="J44" s="441">
        <f t="shared" si="5"/>
        <v>1</v>
      </c>
      <c r="K44" s="28">
        <v>1</v>
      </c>
      <c r="L44" s="267">
        <f t="shared" si="4"/>
        <v>1</v>
      </c>
      <c r="M44" s="433">
        <f t="shared" si="6"/>
        <v>200</v>
      </c>
      <c r="N44" s="434">
        <v>200</v>
      </c>
      <c r="O44" s="435">
        <f t="shared" si="7"/>
        <v>0.50</v>
      </c>
    </row>
    <row r="45" spans="1:15" ht="30">
      <c r="A45" s="13" t="s">
        <v>1290</v>
      </c>
      <c r="B45" s="56" t="s">
        <v>1608</v>
      </c>
      <c r="C45" s="13" t="s">
        <v>160</v>
      </c>
      <c r="D45" s="13">
        <v>117</v>
      </c>
      <c r="E45" s="13" t="s">
        <v>869</v>
      </c>
      <c r="F45" s="13" t="s">
        <v>10</v>
      </c>
      <c r="G45" s="28">
        <v>40</v>
      </c>
      <c r="H45" s="440">
        <v>10</v>
      </c>
      <c r="I45" s="28">
        <v>1</v>
      </c>
      <c r="J45" s="441">
        <f t="shared" si="5"/>
        <v>0.25</v>
      </c>
      <c r="K45" s="436">
        <f>544*3.1415*2/1000</f>
        <v>3.4179520000000001</v>
      </c>
      <c r="L45" s="267">
        <f t="shared" si="4"/>
        <v>0.85448800000000003</v>
      </c>
      <c r="M45" s="433">
        <f t="shared" si="6"/>
        <v>170.89760000000001</v>
      </c>
      <c r="N45" s="434">
        <v>200</v>
      </c>
      <c r="O45" s="435">
        <f t="shared" si="7"/>
        <v>0.85448800000000003</v>
      </c>
    </row>
    <row r="46" spans="1:15" ht="30">
      <c r="A46" s="57" t="s">
        <v>1291</v>
      </c>
      <c r="B46" s="56" t="s">
        <v>1599</v>
      </c>
      <c r="C46" s="13" t="s">
        <v>24</v>
      </c>
      <c r="D46" s="13">
        <v>110</v>
      </c>
      <c r="E46" s="13"/>
      <c r="F46" s="4" t="s">
        <v>38</v>
      </c>
      <c r="G46" s="442">
        <v>20</v>
      </c>
      <c r="H46" s="440">
        <v>10</v>
      </c>
      <c r="I46" s="28">
        <v>2</v>
      </c>
      <c r="J46" s="441">
        <f t="shared" si="5"/>
        <v>1</v>
      </c>
      <c r="K46" s="28">
        <v>1</v>
      </c>
      <c r="L46" s="267">
        <f t="shared" si="4"/>
        <v>1</v>
      </c>
      <c r="M46" s="433">
        <f t="shared" si="6"/>
        <v>200</v>
      </c>
      <c r="N46" s="434">
        <v>200</v>
      </c>
      <c r="O46" s="435">
        <f t="shared" si="7"/>
        <v>0.50</v>
      </c>
    </row>
    <row r="47" spans="1:15" ht="30">
      <c r="A47" s="13" t="s">
        <v>177</v>
      </c>
      <c r="B47" s="56" t="s">
        <v>1600</v>
      </c>
      <c r="C47" s="13" t="s">
        <v>160</v>
      </c>
      <c r="D47" s="13">
        <v>110</v>
      </c>
      <c r="E47" s="13" t="s">
        <v>1604</v>
      </c>
      <c r="F47" s="13" t="s">
        <v>10</v>
      </c>
      <c r="G47" s="28">
        <v>40</v>
      </c>
      <c r="H47" s="440">
        <v>10</v>
      </c>
      <c r="I47" s="28">
        <v>1</v>
      </c>
      <c r="J47" s="441">
        <f t="shared" si="5"/>
        <v>0.25</v>
      </c>
      <c r="K47" s="436">
        <f>560*3.1415/1000</f>
        <v>1.7592399999999999</v>
      </c>
      <c r="L47" s="267">
        <f t="shared" si="4"/>
        <v>0.43980999999999998</v>
      </c>
      <c r="M47" s="433">
        <f t="shared" si="6"/>
        <v>87.961999999999989</v>
      </c>
      <c r="N47" s="434">
        <v>200</v>
      </c>
      <c r="O47" s="435">
        <f t="shared" si="7"/>
        <v>0.43980999999999998</v>
      </c>
    </row>
    <row r="48" spans="1:15" ht="15">
      <c r="A48" s="39"/>
      <c r="B48" s="649" t="s">
        <v>131</v>
      </c>
      <c r="C48" s="649"/>
      <c r="D48" s="649"/>
      <c r="E48" s="649"/>
      <c r="F48" s="649"/>
      <c r="G48" s="649"/>
      <c r="H48" s="649"/>
      <c r="I48" s="649"/>
      <c r="J48" s="649"/>
      <c r="K48" s="649"/>
      <c r="L48" s="267"/>
      <c r="M48" s="262">
        <f>SUM(M49:M60)</f>
        <v>2106.4883799130439</v>
      </c>
      <c r="N48" s="263"/>
      <c r="O48" s="264">
        <f>SUM(O49:O60)</f>
        <v>8.5041821894202911</v>
      </c>
    </row>
    <row r="49" spans="1:15" ht="15">
      <c r="A49" s="57" t="s">
        <v>182</v>
      </c>
      <c r="B49" s="56" t="s">
        <v>183</v>
      </c>
      <c r="C49" s="13" t="s">
        <v>1092</v>
      </c>
      <c r="D49" s="13">
        <v>105</v>
      </c>
      <c r="E49" s="13"/>
      <c r="F49" s="13" t="s">
        <v>353</v>
      </c>
      <c r="G49" s="436">
        <v>13.07</v>
      </c>
      <c r="H49" s="440">
        <v>10</v>
      </c>
      <c r="I49" s="28">
        <v>1</v>
      </c>
      <c r="J49" s="441">
        <f t="shared" si="10" ref="J49:J60">H49/G49*I49</f>
        <v>0.7651109410864575</v>
      </c>
      <c r="K49" s="432">
        <v>1</v>
      </c>
      <c r="L49" s="435">
        <f t="shared" si="11" ref="L49:L60">J49*K49</f>
        <v>0.7651109410864575</v>
      </c>
      <c r="M49" s="266">
        <f t="shared" si="12" ref="M49:M60">L49*N49</f>
        <v>153.0221882172915</v>
      </c>
      <c r="N49" s="433">
        <v>200</v>
      </c>
      <c r="O49" s="435">
        <f t="shared" si="13" ref="O49:O60">J49/I49*K49</f>
        <v>0.7651109410864575</v>
      </c>
    </row>
    <row r="50" spans="1:15" ht="30">
      <c r="A50" s="57" t="s">
        <v>185</v>
      </c>
      <c r="B50" s="56" t="s">
        <v>186</v>
      </c>
      <c r="C50" s="13" t="s">
        <v>187</v>
      </c>
      <c r="D50" s="13">
        <v>105</v>
      </c>
      <c r="E50" s="13"/>
      <c r="F50" s="13" t="s">
        <v>522</v>
      </c>
      <c r="G50" s="28">
        <v>55</v>
      </c>
      <c r="H50" s="440">
        <v>10</v>
      </c>
      <c r="I50" s="28">
        <v>1</v>
      </c>
      <c r="J50" s="441">
        <f t="shared" si="10"/>
        <v>0.18181818181818182</v>
      </c>
      <c r="K50" s="432">
        <v>4</v>
      </c>
      <c r="L50" s="435">
        <f t="shared" si="11"/>
        <v>0.72727272727272729</v>
      </c>
      <c r="M50" s="266">
        <f t="shared" si="12"/>
        <v>145.45454545454547</v>
      </c>
      <c r="N50" s="433">
        <v>200</v>
      </c>
      <c r="O50" s="435">
        <f t="shared" si="13"/>
        <v>0.72727272727272729</v>
      </c>
    </row>
    <row r="51" spans="1:15" ht="15">
      <c r="A51" s="650" t="s">
        <v>188</v>
      </c>
      <c r="B51" s="657" t="s">
        <v>438</v>
      </c>
      <c r="C51" s="13" t="s">
        <v>1093</v>
      </c>
      <c r="D51" s="13">
        <v>109</v>
      </c>
      <c r="E51" s="637" t="s">
        <v>44</v>
      </c>
      <c r="F51" s="13" t="s">
        <v>10</v>
      </c>
      <c r="G51" s="28">
        <v>40</v>
      </c>
      <c r="H51" s="440">
        <v>10</v>
      </c>
      <c r="I51" s="28">
        <v>1</v>
      </c>
      <c r="J51" s="453">
        <f t="shared" si="10"/>
        <v>0.25</v>
      </c>
      <c r="K51" s="436">
        <f>(1170)/1000</f>
        <v>1.1699999999999999</v>
      </c>
      <c r="L51" s="267">
        <f t="shared" si="11"/>
        <v>0.29249999999999998</v>
      </c>
      <c r="M51" s="433">
        <f t="shared" si="12"/>
        <v>58.50</v>
      </c>
      <c r="N51" s="434">
        <v>200</v>
      </c>
      <c r="O51" s="435">
        <f t="shared" si="13"/>
        <v>0.29249999999999998</v>
      </c>
    </row>
    <row r="52" spans="1:15" ht="15">
      <c r="A52" s="652"/>
      <c r="B52" s="654"/>
      <c r="C52" s="13" t="s">
        <v>1094</v>
      </c>
      <c r="D52" s="13">
        <v>109</v>
      </c>
      <c r="E52" s="637"/>
      <c r="F52" s="13" t="s">
        <v>10</v>
      </c>
      <c r="G52" s="28">
        <v>27</v>
      </c>
      <c r="H52" s="440">
        <v>10</v>
      </c>
      <c r="I52" s="28">
        <v>1</v>
      </c>
      <c r="J52" s="441">
        <f t="shared" si="10"/>
        <v>0.37037037037037035</v>
      </c>
      <c r="K52" s="436">
        <f>(1170*2)/1000+0.2</f>
        <v>2.54</v>
      </c>
      <c r="L52" s="435">
        <f t="shared" si="11"/>
        <v>0.94074074074074066</v>
      </c>
      <c r="M52" s="266">
        <f t="shared" si="12"/>
        <v>188.14814814814812</v>
      </c>
      <c r="N52" s="433">
        <v>200</v>
      </c>
      <c r="O52" s="435">
        <f t="shared" si="13"/>
        <v>0.94074074074074066</v>
      </c>
    </row>
    <row r="53" spans="1:15" ht="15">
      <c r="A53" s="650" t="s">
        <v>437</v>
      </c>
      <c r="B53" s="638" t="s">
        <v>439</v>
      </c>
      <c r="C53" s="13" t="s">
        <v>1095</v>
      </c>
      <c r="D53" s="13">
        <v>107</v>
      </c>
      <c r="E53" s="637" t="s">
        <v>43</v>
      </c>
      <c r="F53" s="13" t="s">
        <v>10</v>
      </c>
      <c r="G53" s="28">
        <v>25</v>
      </c>
      <c r="H53" s="440">
        <v>10</v>
      </c>
      <c r="I53" s="28">
        <v>1</v>
      </c>
      <c r="J53" s="453">
        <f t="shared" si="10"/>
        <v>0.40</v>
      </c>
      <c r="K53" s="436">
        <f>(1170*2)/1000</f>
        <v>2.34</v>
      </c>
      <c r="L53" s="267">
        <f t="shared" si="11"/>
        <v>0.93599999999999994</v>
      </c>
      <c r="M53" s="433">
        <f t="shared" si="12"/>
        <v>164.73599999999999</v>
      </c>
      <c r="N53" s="434">
        <v>176</v>
      </c>
      <c r="O53" s="435">
        <f t="shared" si="13"/>
        <v>0.93599999999999994</v>
      </c>
    </row>
    <row r="54" spans="1:15" ht="15">
      <c r="A54" s="650"/>
      <c r="B54" s="638"/>
      <c r="C54" s="13" t="s">
        <v>1096</v>
      </c>
      <c r="D54" s="13">
        <v>107</v>
      </c>
      <c r="E54" s="637"/>
      <c r="F54" s="13" t="s">
        <v>10</v>
      </c>
      <c r="G54" s="28">
        <v>28.50</v>
      </c>
      <c r="H54" s="440">
        <v>10</v>
      </c>
      <c r="I54" s="28">
        <v>1</v>
      </c>
      <c r="J54" s="453">
        <f t="shared" si="10"/>
        <v>0.35087719298245612</v>
      </c>
      <c r="K54" s="436">
        <f>1170*2/1000+0.2</f>
        <v>2.54</v>
      </c>
      <c r="L54" s="267">
        <f t="shared" si="11"/>
        <v>0.89122807017543859</v>
      </c>
      <c r="M54" s="433">
        <f t="shared" si="12"/>
        <v>178.24561403508773</v>
      </c>
      <c r="N54" s="434">
        <v>200</v>
      </c>
      <c r="O54" s="435">
        <f t="shared" si="13"/>
        <v>0.89122807017543859</v>
      </c>
    </row>
    <row r="55" spans="1:15" s="0" customFormat="1" ht="15">
      <c r="A55" s="57" t="s">
        <v>348</v>
      </c>
      <c r="B55" s="56" t="s">
        <v>1007</v>
      </c>
      <c r="C55" s="17" t="s">
        <v>523</v>
      </c>
      <c r="D55" s="17">
        <v>224</v>
      </c>
      <c r="E55" s="13"/>
      <c r="F55" s="17" t="s">
        <v>353</v>
      </c>
      <c r="G55" s="16">
        <v>60</v>
      </c>
      <c r="H55" s="18">
        <v>10</v>
      </c>
      <c r="I55" s="16">
        <v>1</v>
      </c>
      <c r="J55" s="20">
        <f t="shared" si="10"/>
        <v>0.16666666666666666</v>
      </c>
      <c r="K55" s="30">
        <v>3</v>
      </c>
      <c r="L55" s="8">
        <f t="shared" si="11"/>
        <v>0.50</v>
      </c>
      <c r="M55" s="42">
        <f t="shared" si="12"/>
        <v>100</v>
      </c>
      <c r="N55" s="43">
        <v>200</v>
      </c>
      <c r="O55" s="8">
        <f t="shared" si="13"/>
        <v>0.50</v>
      </c>
    </row>
    <row r="56" spans="1:15" ht="15">
      <c r="A56" s="57" t="s">
        <v>325</v>
      </c>
      <c r="B56" s="56" t="s">
        <v>327</v>
      </c>
      <c r="C56" s="13" t="s">
        <v>326</v>
      </c>
      <c r="D56" s="13">
        <v>112</v>
      </c>
      <c r="E56" s="13"/>
      <c r="F56" s="13" t="s">
        <v>513</v>
      </c>
      <c r="G56" s="28">
        <v>15</v>
      </c>
      <c r="H56" s="440">
        <v>10</v>
      </c>
      <c r="I56" s="28">
        <v>2</v>
      </c>
      <c r="J56" s="441">
        <f t="shared" si="10"/>
        <v>1.3333333333333333</v>
      </c>
      <c r="K56" s="432">
        <v>1</v>
      </c>
      <c r="L56" s="435">
        <f t="shared" si="11"/>
        <v>1.3333333333333333</v>
      </c>
      <c r="M56" s="266">
        <f t="shared" si="12"/>
        <v>266.66666666666663</v>
      </c>
      <c r="N56" s="433">
        <v>200</v>
      </c>
      <c r="O56" s="435">
        <f t="shared" si="13"/>
        <v>0.66666666666666663</v>
      </c>
    </row>
    <row r="57" spans="1:15" s="0" customFormat="1" ht="15">
      <c r="A57" s="637" t="s">
        <v>197</v>
      </c>
      <c r="B57" s="638" t="s">
        <v>110</v>
      </c>
      <c r="C57" s="13" t="s">
        <v>47</v>
      </c>
      <c r="D57" s="13">
        <v>112</v>
      </c>
      <c r="E57" s="13"/>
      <c r="F57" s="25" t="s">
        <v>111</v>
      </c>
      <c r="G57" s="16">
        <v>20</v>
      </c>
      <c r="H57" s="252">
        <v>10</v>
      </c>
      <c r="I57" s="16">
        <v>2</v>
      </c>
      <c r="J57" s="253">
        <f t="shared" si="10"/>
        <v>1</v>
      </c>
      <c r="K57" s="16">
        <v>1</v>
      </c>
      <c r="L57" s="26">
        <f t="shared" si="11"/>
        <v>1</v>
      </c>
      <c r="M57" s="43">
        <f t="shared" si="12"/>
        <v>200</v>
      </c>
      <c r="N57" s="46">
        <v>200</v>
      </c>
      <c r="O57" s="8">
        <f t="shared" si="13"/>
        <v>0.50</v>
      </c>
    </row>
    <row r="58" spans="1:15" s="0" customFormat="1" ht="30">
      <c r="A58" s="637"/>
      <c r="B58" s="638"/>
      <c r="C58" s="13" t="s">
        <v>48</v>
      </c>
      <c r="D58" s="13">
        <v>112</v>
      </c>
      <c r="E58" s="4" t="s">
        <v>520</v>
      </c>
      <c r="F58" s="17" t="s">
        <v>10</v>
      </c>
      <c r="G58" s="16">
        <v>40</v>
      </c>
      <c r="H58" s="252">
        <v>10</v>
      </c>
      <c r="I58" s="16">
        <v>1</v>
      </c>
      <c r="J58" s="253">
        <f t="shared" si="10"/>
        <v>0.25</v>
      </c>
      <c r="K58" s="30">
        <f>((1540*2)+(1442)+(721))/1000</f>
        <v>5.2430000000000003</v>
      </c>
      <c r="L58" s="26">
        <f t="shared" si="11"/>
        <v>1.3107500000000001</v>
      </c>
      <c r="M58" s="43">
        <f t="shared" si="12"/>
        <v>262.15000000000003</v>
      </c>
      <c r="N58" s="46">
        <v>200</v>
      </c>
      <c r="O58" s="8">
        <f t="shared" si="13"/>
        <v>1.3107500000000001</v>
      </c>
    </row>
    <row r="59" spans="1:15" ht="15">
      <c r="A59" s="13" t="s">
        <v>888</v>
      </c>
      <c r="B59" s="56" t="s">
        <v>1097</v>
      </c>
      <c r="C59" s="13" t="s">
        <v>862</v>
      </c>
      <c r="D59" s="13">
        <v>224</v>
      </c>
      <c r="E59" s="13"/>
      <c r="F59" s="17"/>
      <c r="G59" s="28">
        <f>(600-25)/10</f>
        <v>57.50</v>
      </c>
      <c r="H59" s="440">
        <v>10</v>
      </c>
      <c r="I59" s="28">
        <v>2</v>
      </c>
      <c r="J59" s="441">
        <f t="shared" si="10"/>
        <v>0.34782608695652173</v>
      </c>
      <c r="K59" s="28">
        <v>1</v>
      </c>
      <c r="L59" s="267">
        <f t="shared" si="11"/>
        <v>0.34782608695652173</v>
      </c>
      <c r="M59" s="433">
        <f t="shared" si="12"/>
        <v>69.565217391304344</v>
      </c>
      <c r="N59" s="434">
        <v>200</v>
      </c>
      <c r="O59" s="435">
        <f t="shared" si="13"/>
        <v>0.17391304347826086</v>
      </c>
    </row>
    <row r="60" spans="1:15" ht="15">
      <c r="A60" s="13" t="s">
        <v>199</v>
      </c>
      <c r="B60" s="27" t="s">
        <v>890</v>
      </c>
      <c r="C60" s="13" t="s">
        <v>47</v>
      </c>
      <c r="D60" s="13">
        <v>112</v>
      </c>
      <c r="E60" s="13"/>
      <c r="F60" s="4" t="s">
        <v>870</v>
      </c>
      <c r="G60" s="28">
        <v>12.50</v>
      </c>
      <c r="H60" s="440">
        <v>10</v>
      </c>
      <c r="I60" s="28">
        <v>2</v>
      </c>
      <c r="J60" s="441">
        <f t="shared" si="10"/>
        <v>1.60</v>
      </c>
      <c r="K60" s="28">
        <v>1</v>
      </c>
      <c r="L60" s="267">
        <f t="shared" si="11"/>
        <v>1.60</v>
      </c>
      <c r="M60" s="433">
        <f t="shared" si="12"/>
        <v>320</v>
      </c>
      <c r="N60" s="434">
        <v>200</v>
      </c>
      <c r="O60" s="435">
        <f t="shared" si="13"/>
        <v>0.80</v>
      </c>
    </row>
    <row r="61" spans="1:15" ht="15">
      <c r="A61" s="39"/>
      <c r="B61" s="649" t="s">
        <v>132</v>
      </c>
      <c r="C61" s="649"/>
      <c r="D61" s="649"/>
      <c r="E61" s="649"/>
      <c r="F61" s="649"/>
      <c r="G61" s="649"/>
      <c r="H61" s="649"/>
      <c r="I61" s="649"/>
      <c r="J61" s="649"/>
      <c r="K61" s="649"/>
      <c r="L61" s="267"/>
      <c r="M61" s="262">
        <f>SUM(M62:M73)</f>
        <v>5687.5507667035299</v>
      </c>
      <c r="N61" s="263"/>
      <c r="O61" s="264">
        <f>SUM(O62:O73)</f>
        <v>21.200881775587838</v>
      </c>
    </row>
    <row r="62" spans="1:15" ht="15">
      <c r="A62" s="650" t="s">
        <v>200</v>
      </c>
      <c r="B62" s="638" t="s">
        <v>871</v>
      </c>
      <c r="C62" s="13" t="s">
        <v>924</v>
      </c>
      <c r="D62" s="13">
        <v>224</v>
      </c>
      <c r="E62" s="13"/>
      <c r="F62" s="13" t="s">
        <v>353</v>
      </c>
      <c r="G62" s="442">
        <f>600/10</f>
        <v>60</v>
      </c>
      <c r="H62" s="440">
        <v>10</v>
      </c>
      <c r="I62" s="28">
        <v>1</v>
      </c>
      <c r="J62" s="441">
        <f t="shared" si="14" ref="J62:J73">H62/G62*I62</f>
        <v>0.16666666666666666</v>
      </c>
      <c r="K62" s="432">
        <v>2</v>
      </c>
      <c r="L62" s="435">
        <f t="shared" si="15" ref="L62:L65">J62*K62</f>
        <v>0.33333333333333331</v>
      </c>
      <c r="M62" s="266">
        <f t="shared" si="16" ref="M62:M73">L62*N62</f>
        <v>66.666666666666657</v>
      </c>
      <c r="N62" s="433">
        <v>200</v>
      </c>
      <c r="O62" s="435">
        <f t="shared" si="17" ref="O62:O73">J62/I62*K62</f>
        <v>0.33333333333333331</v>
      </c>
    </row>
    <row r="63" spans="1:15" ht="15">
      <c r="A63" s="650"/>
      <c r="B63" s="638"/>
      <c r="C63" s="13" t="s">
        <v>1079</v>
      </c>
      <c r="D63" s="13">
        <v>224</v>
      </c>
      <c r="E63" s="13"/>
      <c r="F63" s="13" t="s">
        <v>353</v>
      </c>
      <c r="G63" s="442">
        <v>120</v>
      </c>
      <c r="H63" s="440">
        <v>10</v>
      </c>
      <c r="I63" s="28">
        <v>1</v>
      </c>
      <c r="J63" s="441">
        <f t="shared" si="14"/>
        <v>0.083333333333333329</v>
      </c>
      <c r="K63" s="432">
        <v>2</v>
      </c>
      <c r="L63" s="435">
        <f t="shared" si="15"/>
        <v>0.16666666666666666</v>
      </c>
      <c r="M63" s="266">
        <f t="shared" si="16"/>
        <v>33.333333333333329</v>
      </c>
      <c r="N63" s="433">
        <v>200</v>
      </c>
      <c r="O63" s="435">
        <f t="shared" si="17"/>
        <v>0.16666666666666666</v>
      </c>
    </row>
    <row r="64" spans="1:15" ht="15">
      <c r="A64" s="650"/>
      <c r="B64" s="638"/>
      <c r="C64" s="13" t="s">
        <v>873</v>
      </c>
      <c r="D64" s="13">
        <v>224</v>
      </c>
      <c r="E64" s="13"/>
      <c r="F64" s="13" t="s">
        <v>353</v>
      </c>
      <c r="G64" s="442">
        <f>600/5</f>
        <v>120</v>
      </c>
      <c r="H64" s="440">
        <v>10</v>
      </c>
      <c r="I64" s="28">
        <v>1</v>
      </c>
      <c r="J64" s="441">
        <f t="shared" si="14"/>
        <v>0.083333333333333329</v>
      </c>
      <c r="K64" s="432">
        <v>2</v>
      </c>
      <c r="L64" s="435">
        <f t="shared" si="15"/>
        <v>0.16666666666666666</v>
      </c>
      <c r="M64" s="266">
        <f t="shared" si="16"/>
        <v>33.333333333333329</v>
      </c>
      <c r="N64" s="433">
        <v>200</v>
      </c>
      <c r="O64" s="435">
        <f t="shared" si="17"/>
        <v>0.16666666666666666</v>
      </c>
    </row>
    <row r="65" spans="1:15" ht="15">
      <c r="A65" s="57" t="s">
        <v>662</v>
      </c>
      <c r="B65" s="56" t="s">
        <v>1099</v>
      </c>
      <c r="C65" s="13" t="s">
        <v>862</v>
      </c>
      <c r="D65" s="13">
        <v>224</v>
      </c>
      <c r="E65" s="13"/>
      <c r="F65" s="17"/>
      <c r="G65" s="442">
        <f>(600-25)/10</f>
        <v>57.50</v>
      </c>
      <c r="H65" s="440">
        <v>10</v>
      </c>
      <c r="I65" s="28">
        <v>2</v>
      </c>
      <c r="J65" s="441">
        <f t="shared" si="14"/>
        <v>0.34782608695652173</v>
      </c>
      <c r="K65" s="28">
        <v>1</v>
      </c>
      <c r="L65" s="267">
        <f t="shared" si="15"/>
        <v>0.34782608695652173</v>
      </c>
      <c r="M65" s="433">
        <f t="shared" si="16"/>
        <v>69.565217391304344</v>
      </c>
      <c r="N65" s="434">
        <v>200</v>
      </c>
      <c r="O65" s="435">
        <f t="shared" si="17"/>
        <v>0.17391304347826086</v>
      </c>
    </row>
    <row r="66" spans="1:15" ht="15">
      <c r="A66" s="13" t="s">
        <v>205</v>
      </c>
      <c r="B66" s="27" t="s">
        <v>875</v>
      </c>
      <c r="C66" s="13" t="s">
        <v>138</v>
      </c>
      <c r="D66" s="13">
        <v>117</v>
      </c>
      <c r="E66" s="13"/>
      <c r="F66" s="4" t="s">
        <v>13</v>
      </c>
      <c r="G66" s="442">
        <f>1.6*1.4</f>
        <v>2.2399999999999998</v>
      </c>
      <c r="H66" s="440">
        <v>10</v>
      </c>
      <c r="I66" s="28">
        <v>2</v>
      </c>
      <c r="J66" s="441">
        <f t="shared" si="14"/>
        <v>8.9285714285714288</v>
      </c>
      <c r="K66" s="28">
        <v>1</v>
      </c>
      <c r="L66" s="267">
        <f>J66*K66</f>
        <v>8.9285714285714288</v>
      </c>
      <c r="M66" s="433">
        <f t="shared" si="16"/>
        <v>1785.7142857142858</v>
      </c>
      <c r="N66" s="434">
        <v>200</v>
      </c>
      <c r="O66" s="435">
        <f t="shared" si="17"/>
        <v>4.4642857142857144</v>
      </c>
    </row>
    <row r="67" spans="1:15" ht="15">
      <c r="A67" s="13" t="s">
        <v>877</v>
      </c>
      <c r="B67" s="27" t="s">
        <v>876</v>
      </c>
      <c r="C67" s="13" t="s">
        <v>160</v>
      </c>
      <c r="D67" s="13">
        <v>117</v>
      </c>
      <c r="E67" s="13"/>
      <c r="F67" s="4" t="s">
        <v>13</v>
      </c>
      <c r="G67" s="442">
        <v>40</v>
      </c>
      <c r="H67" s="440">
        <v>10</v>
      </c>
      <c r="I67" s="28">
        <v>1</v>
      </c>
      <c r="J67" s="441">
        <f t="shared" si="14"/>
        <v>0.25</v>
      </c>
      <c r="K67" s="442">
        <f>(3412+3084+3034+930+16*3.1415*16+325*3.1415+35*3)/1000</f>
        <v>12.390211499999999</v>
      </c>
      <c r="L67" s="267">
        <f>J67*K67</f>
        <v>3.0975528749999999</v>
      </c>
      <c r="M67" s="433">
        <f t="shared" si="16"/>
        <v>619.51057500000002</v>
      </c>
      <c r="N67" s="434">
        <v>200</v>
      </c>
      <c r="O67" s="435">
        <f t="shared" si="17"/>
        <v>3.0975528749999999</v>
      </c>
    </row>
    <row r="68" spans="1:15" ht="15">
      <c r="A68" s="13" t="s">
        <v>206</v>
      </c>
      <c r="B68" s="27" t="s">
        <v>94</v>
      </c>
      <c r="C68" s="13" t="s">
        <v>160</v>
      </c>
      <c r="D68" s="13">
        <v>114</v>
      </c>
      <c r="E68" s="13"/>
      <c r="F68" s="4" t="s">
        <v>13</v>
      </c>
      <c r="G68" s="442">
        <v>40</v>
      </c>
      <c r="H68" s="440">
        <v>10</v>
      </c>
      <c r="I68" s="28">
        <v>1</v>
      </c>
      <c r="J68" s="441">
        <f t="shared" si="14"/>
        <v>0.25</v>
      </c>
      <c r="K68" s="442">
        <f>(3412*2+120*3+16*3.1415*16+325*3.1415+3080+3228+3114+19*3.1415*2+23*3.1415*2+3034)/1000</f>
        <v>21.729097499999995</v>
      </c>
      <c r="L68" s="267">
        <f>J68*K68</f>
        <v>5.4322743749999987</v>
      </c>
      <c r="M68" s="433">
        <f t="shared" si="16"/>
        <v>1086.4548749999997</v>
      </c>
      <c r="N68" s="434">
        <v>200</v>
      </c>
      <c r="O68" s="435">
        <f t="shared" si="17"/>
        <v>5.4322743749999987</v>
      </c>
    </row>
    <row r="69" spans="1:15" ht="15">
      <c r="A69" s="13" t="s">
        <v>207</v>
      </c>
      <c r="B69" s="56" t="s">
        <v>55</v>
      </c>
      <c r="C69" s="13" t="s">
        <v>29</v>
      </c>
      <c r="D69" s="13">
        <v>120</v>
      </c>
      <c r="E69" s="13"/>
      <c r="F69" s="13" t="s">
        <v>13</v>
      </c>
      <c r="G69" s="31">
        <v>13.40</v>
      </c>
      <c r="H69" s="440">
        <v>10</v>
      </c>
      <c r="I69" s="28">
        <v>1</v>
      </c>
      <c r="J69" s="441">
        <f t="shared" si="14"/>
        <v>0.74626865671641784</v>
      </c>
      <c r="K69" s="28">
        <v>1</v>
      </c>
      <c r="L69" s="267">
        <f t="shared" si="18" ref="L69:L72">J69*K69</f>
        <v>0.74626865671641784</v>
      </c>
      <c r="M69" s="433">
        <f t="shared" si="16"/>
        <v>131.34328358208955</v>
      </c>
      <c r="N69" s="434">
        <v>176</v>
      </c>
      <c r="O69" s="435">
        <f t="shared" si="17"/>
        <v>0.74626865671641784</v>
      </c>
    </row>
    <row r="70" spans="1:15" ht="15">
      <c r="A70" s="13" t="s">
        <v>208</v>
      </c>
      <c r="B70" s="56" t="s">
        <v>56</v>
      </c>
      <c r="C70" s="13" t="s">
        <v>29</v>
      </c>
      <c r="D70" s="13">
        <v>120</v>
      </c>
      <c r="E70" s="13"/>
      <c r="F70" s="13" t="s">
        <v>13</v>
      </c>
      <c r="G70" s="31">
        <v>13.40</v>
      </c>
      <c r="H70" s="440">
        <v>10</v>
      </c>
      <c r="I70" s="28">
        <v>1</v>
      </c>
      <c r="J70" s="441">
        <f t="shared" si="14"/>
        <v>0.74626865671641784</v>
      </c>
      <c r="K70" s="28">
        <v>1</v>
      </c>
      <c r="L70" s="267">
        <f t="shared" si="18"/>
        <v>0.74626865671641784</v>
      </c>
      <c r="M70" s="433">
        <f t="shared" si="16"/>
        <v>131.34328358208955</v>
      </c>
      <c r="N70" s="434">
        <v>176</v>
      </c>
      <c r="O70" s="435">
        <f t="shared" si="17"/>
        <v>0.74626865671641784</v>
      </c>
    </row>
    <row r="71" spans="1:16" ht="30">
      <c r="A71" s="13" t="s">
        <v>209</v>
      </c>
      <c r="B71" s="27" t="s">
        <v>892</v>
      </c>
      <c r="C71" s="13" t="s">
        <v>14</v>
      </c>
      <c r="D71" s="13">
        <v>119</v>
      </c>
      <c r="E71" s="13"/>
      <c r="F71" s="13" t="s">
        <v>58</v>
      </c>
      <c r="G71" s="16">
        <v>61</v>
      </c>
      <c r="H71" s="440">
        <v>10</v>
      </c>
      <c r="I71" s="28">
        <v>1</v>
      </c>
      <c r="J71" s="441">
        <f t="shared" si="14"/>
        <v>0.16393442622950818</v>
      </c>
      <c r="K71" s="28">
        <v>1.75</v>
      </c>
      <c r="L71" s="267">
        <f t="shared" si="18"/>
        <v>0.28688524590163933</v>
      </c>
      <c r="M71" s="433">
        <f t="shared" si="16"/>
        <v>57.377049180327866</v>
      </c>
      <c r="N71" s="434">
        <v>200</v>
      </c>
      <c r="O71" s="435">
        <f t="shared" si="17"/>
        <v>0.28688524590163933</v>
      </c>
      <c r="P71" s="22"/>
    </row>
    <row r="72" spans="1:16" ht="30">
      <c r="A72" s="13" t="s">
        <v>210</v>
      </c>
      <c r="B72" s="27" t="s">
        <v>114</v>
      </c>
      <c r="C72" s="13" t="s">
        <v>54</v>
      </c>
      <c r="D72" s="13">
        <v>116</v>
      </c>
      <c r="E72" s="13"/>
      <c r="F72" s="13" t="s">
        <v>13</v>
      </c>
      <c r="G72" s="469">
        <v>3.60</v>
      </c>
      <c r="H72" s="440">
        <v>10</v>
      </c>
      <c r="I72" s="28">
        <v>2</v>
      </c>
      <c r="J72" s="441">
        <f t="shared" si="14"/>
        <v>5.5555555555555554</v>
      </c>
      <c r="K72" s="28">
        <v>1</v>
      </c>
      <c r="L72" s="267">
        <f t="shared" si="18"/>
        <v>5.5555555555555554</v>
      </c>
      <c r="M72" s="433">
        <f t="shared" si="16"/>
        <v>1111.1111111111111</v>
      </c>
      <c r="N72" s="434">
        <v>200</v>
      </c>
      <c r="O72" s="435">
        <f t="shared" si="17"/>
        <v>2.7777777777777777</v>
      </c>
      <c r="P72" s="22"/>
    </row>
    <row r="73" spans="1:15" ht="30">
      <c r="A73" s="13" t="s">
        <v>211</v>
      </c>
      <c r="B73" s="56" t="s">
        <v>60</v>
      </c>
      <c r="C73" s="13" t="s">
        <v>14</v>
      </c>
      <c r="D73" s="13">
        <v>226</v>
      </c>
      <c r="E73" s="13"/>
      <c r="F73" s="4" t="s">
        <v>58</v>
      </c>
      <c r="G73" s="470">
        <v>3.56</v>
      </c>
      <c r="H73" s="440">
        <v>10</v>
      </c>
      <c r="I73" s="28">
        <v>1</v>
      </c>
      <c r="J73" s="441">
        <f t="shared" si="14"/>
        <v>2.8089887640449436</v>
      </c>
      <c r="K73" s="28">
        <v>1</v>
      </c>
      <c r="L73" s="267">
        <f>J73*K73</f>
        <v>2.8089887640449436</v>
      </c>
      <c r="M73" s="433">
        <f t="shared" si="16"/>
        <v>561.79775280898866</v>
      </c>
      <c r="N73" s="434">
        <v>200</v>
      </c>
      <c r="O73" s="435">
        <f t="shared" si="17"/>
        <v>2.8089887640449436</v>
      </c>
    </row>
    <row r="74" spans="1:15" ht="15">
      <c r="A74" s="39"/>
      <c r="B74" s="649" t="s">
        <v>140</v>
      </c>
      <c r="C74" s="649"/>
      <c r="D74" s="649"/>
      <c r="E74" s="649"/>
      <c r="F74" s="649"/>
      <c r="G74" s="649"/>
      <c r="H74" s="649"/>
      <c r="I74" s="649"/>
      <c r="J74" s="649"/>
      <c r="K74" s="649"/>
      <c r="L74" s="267"/>
      <c r="M74" s="262">
        <f>SUM(M75:M80)</f>
        <v>2172.2812229811097</v>
      </c>
      <c r="N74" s="263"/>
      <c r="O74" s="264">
        <f>SUM(O75:O80)</f>
        <v>7.125643714415653</v>
      </c>
    </row>
    <row r="75" spans="1:15" ht="15">
      <c r="A75" s="57" t="s">
        <v>893</v>
      </c>
      <c r="B75" s="27" t="s">
        <v>881</v>
      </c>
      <c r="C75" s="13" t="s">
        <v>880</v>
      </c>
      <c r="D75" s="13">
        <v>224</v>
      </c>
      <c r="E75" s="13"/>
      <c r="F75" s="13" t="s">
        <v>353</v>
      </c>
      <c r="G75" s="436">
        <f>600/20</f>
        <v>30</v>
      </c>
      <c r="H75" s="440">
        <v>10</v>
      </c>
      <c r="I75" s="28">
        <v>1</v>
      </c>
      <c r="J75" s="441">
        <f t="shared" si="19" ref="J75:J80">H75/G75*I75</f>
        <v>0.33333333333333331</v>
      </c>
      <c r="K75" s="432">
        <v>1</v>
      </c>
      <c r="L75" s="435">
        <f t="shared" si="20" ref="L75:L80">J75*K75</f>
        <v>0.33333333333333331</v>
      </c>
      <c r="M75" s="266">
        <f t="shared" si="21" ref="M75:M80">L75*N75</f>
        <v>66.666666666666657</v>
      </c>
      <c r="N75" s="433">
        <v>200</v>
      </c>
      <c r="O75" s="435">
        <f t="shared" si="22" ref="O75:O80">J75/I75*K75</f>
        <v>0.33333333333333331</v>
      </c>
    </row>
    <row r="76" spans="1:15" ht="15">
      <c r="A76" s="57" t="s">
        <v>212</v>
      </c>
      <c r="B76" s="56" t="s">
        <v>1097</v>
      </c>
      <c r="C76" s="13" t="s">
        <v>862</v>
      </c>
      <c r="D76" s="13">
        <v>224</v>
      </c>
      <c r="E76" s="13"/>
      <c r="F76" s="17"/>
      <c r="G76" s="28">
        <f>(600-25)/10</f>
        <v>57.50</v>
      </c>
      <c r="H76" s="440">
        <v>10</v>
      </c>
      <c r="I76" s="28">
        <v>2</v>
      </c>
      <c r="J76" s="441">
        <f t="shared" si="19"/>
        <v>0.34782608695652173</v>
      </c>
      <c r="K76" s="28">
        <v>1</v>
      </c>
      <c r="L76" s="267">
        <f t="shared" si="20"/>
        <v>0.34782608695652173</v>
      </c>
      <c r="M76" s="433">
        <f t="shared" si="21"/>
        <v>69.565217391304344</v>
      </c>
      <c r="N76" s="434">
        <v>200</v>
      </c>
      <c r="O76" s="435">
        <f t="shared" si="22"/>
        <v>0.17391304347826086</v>
      </c>
    </row>
    <row r="77" spans="1:15" ht="15">
      <c r="A77" s="57" t="s">
        <v>878</v>
      </c>
      <c r="B77" s="27" t="s">
        <v>882</v>
      </c>
      <c r="C77" s="13" t="s">
        <v>1100</v>
      </c>
      <c r="D77" s="13">
        <v>117</v>
      </c>
      <c r="E77" s="13"/>
      <c r="F77" s="13" t="s">
        <v>353</v>
      </c>
      <c r="G77" s="28">
        <v>55.40</v>
      </c>
      <c r="H77" s="440">
        <v>10</v>
      </c>
      <c r="I77" s="28">
        <v>1</v>
      </c>
      <c r="J77" s="441">
        <f t="shared" si="19"/>
        <v>0.18050541516245489</v>
      </c>
      <c r="K77" s="432">
        <v>1</v>
      </c>
      <c r="L77" s="435">
        <f t="shared" si="20"/>
        <v>0.18050541516245489</v>
      </c>
      <c r="M77" s="266">
        <f t="shared" si="21"/>
        <v>36.101083032490976</v>
      </c>
      <c r="N77" s="433">
        <v>200</v>
      </c>
      <c r="O77" s="435">
        <f t="shared" si="22"/>
        <v>0.18050541516245489</v>
      </c>
    </row>
    <row r="78" spans="1:15" ht="15">
      <c r="A78" s="57" t="s">
        <v>214</v>
      </c>
      <c r="B78" s="56" t="s">
        <v>883</v>
      </c>
      <c r="C78" s="13" t="s">
        <v>33</v>
      </c>
      <c r="D78" s="13">
        <v>118</v>
      </c>
      <c r="E78" s="13"/>
      <c r="F78" s="13" t="s">
        <v>510</v>
      </c>
      <c r="G78" s="28">
        <v>40</v>
      </c>
      <c r="H78" s="440">
        <v>10</v>
      </c>
      <c r="I78" s="28">
        <v>2</v>
      </c>
      <c r="J78" s="441">
        <f t="shared" si="19"/>
        <v>0.50</v>
      </c>
      <c r="K78" s="432">
        <v>2</v>
      </c>
      <c r="L78" s="267">
        <f t="shared" si="20"/>
        <v>1</v>
      </c>
      <c r="M78" s="433">
        <f t="shared" si="21"/>
        <v>200</v>
      </c>
      <c r="N78" s="434">
        <v>200</v>
      </c>
      <c r="O78" s="435">
        <f t="shared" si="22"/>
        <v>0.50</v>
      </c>
    </row>
    <row r="79" spans="1:15" ht="15">
      <c r="A79" s="13" t="s">
        <v>219</v>
      </c>
      <c r="B79" s="56" t="s">
        <v>91</v>
      </c>
      <c r="C79" s="13" t="s">
        <v>54</v>
      </c>
      <c r="D79" s="13">
        <v>118</v>
      </c>
      <c r="E79" s="13"/>
      <c r="F79" s="4" t="s">
        <v>59</v>
      </c>
      <c r="G79" s="30">
        <v>3.266</v>
      </c>
      <c r="H79" s="440">
        <v>10</v>
      </c>
      <c r="I79" s="28">
        <v>2</v>
      </c>
      <c r="J79" s="441">
        <f t="shared" si="19"/>
        <v>6.1236987140232699</v>
      </c>
      <c r="K79" s="432">
        <v>1</v>
      </c>
      <c r="L79" s="267">
        <f t="shared" si="20"/>
        <v>6.1236987140232699</v>
      </c>
      <c r="M79" s="433">
        <f t="shared" si="21"/>
        <v>1224.739742804654</v>
      </c>
      <c r="N79" s="434">
        <v>200</v>
      </c>
      <c r="O79" s="435">
        <f t="shared" si="22"/>
        <v>3.061849357011635</v>
      </c>
    </row>
    <row r="80" spans="1:15" ht="15">
      <c r="A80" s="13" t="s">
        <v>220</v>
      </c>
      <c r="B80" s="56" t="s">
        <v>92</v>
      </c>
      <c r="C80" s="13" t="s">
        <v>54</v>
      </c>
      <c r="D80" s="13">
        <v>118</v>
      </c>
      <c r="E80" s="13"/>
      <c r="F80" s="4" t="s">
        <v>59</v>
      </c>
      <c r="G80" s="30">
        <v>3.4769999999999999</v>
      </c>
      <c r="H80" s="440">
        <v>10</v>
      </c>
      <c r="I80" s="28">
        <v>1</v>
      </c>
      <c r="J80" s="441">
        <f t="shared" si="19"/>
        <v>2.8760425654299686</v>
      </c>
      <c r="K80" s="432">
        <v>1</v>
      </c>
      <c r="L80" s="267">
        <f t="shared" si="20"/>
        <v>2.8760425654299686</v>
      </c>
      <c r="M80" s="433">
        <f t="shared" si="21"/>
        <v>575.20851308599367</v>
      </c>
      <c r="N80" s="434">
        <v>200</v>
      </c>
      <c r="O80" s="435">
        <f t="shared" si="22"/>
        <v>2.8760425654299686</v>
      </c>
    </row>
    <row r="81" spans="1:15" ht="15">
      <c r="A81" s="39"/>
      <c r="B81" s="649" t="s">
        <v>135</v>
      </c>
      <c r="C81" s="649"/>
      <c r="D81" s="649"/>
      <c r="E81" s="649"/>
      <c r="F81" s="649"/>
      <c r="G81" s="649"/>
      <c r="H81" s="649"/>
      <c r="I81" s="649"/>
      <c r="J81" s="649"/>
      <c r="K81" s="649"/>
      <c r="L81" s="435"/>
      <c r="M81" s="262">
        <f>SUM(M82:M84)</f>
        <v>542.1416234887738</v>
      </c>
      <c r="N81" s="263"/>
      <c r="O81" s="264">
        <f>SUM(O82:O84)</f>
        <v>1.4607081174438687</v>
      </c>
    </row>
    <row r="82" spans="1:15" ht="15">
      <c r="A82" s="13" t="s">
        <v>136</v>
      </c>
      <c r="B82" s="56" t="s">
        <v>137</v>
      </c>
      <c r="C82" s="13" t="s">
        <v>138</v>
      </c>
      <c r="D82" s="13">
        <v>117</v>
      </c>
      <c r="E82" s="13"/>
      <c r="F82" s="4" t="s">
        <v>139</v>
      </c>
      <c r="G82" s="28">
        <v>10</v>
      </c>
      <c r="H82" s="440">
        <v>10</v>
      </c>
      <c r="I82" s="28">
        <v>2</v>
      </c>
      <c r="J82" s="441">
        <f>H82/G82*I82</f>
        <v>2</v>
      </c>
      <c r="K82" s="28">
        <v>1</v>
      </c>
      <c r="L82" s="435">
        <f t="shared" si="23" ref="L82:L84">J82*K82</f>
        <v>2</v>
      </c>
      <c r="M82" s="266">
        <f>L82*N82</f>
        <v>400</v>
      </c>
      <c r="N82" s="433">
        <v>200</v>
      </c>
      <c r="O82" s="435">
        <f>J82/I82*K82</f>
        <v>1</v>
      </c>
    </row>
    <row r="83" spans="1:15" ht="15">
      <c r="A83" s="13" t="s">
        <v>346</v>
      </c>
      <c r="B83" s="56" t="s">
        <v>347</v>
      </c>
      <c r="C83" s="13" t="s">
        <v>14</v>
      </c>
      <c r="D83" s="13">
        <v>226</v>
      </c>
      <c r="E83" s="13"/>
      <c r="F83" s="13" t="s">
        <v>58</v>
      </c>
      <c r="G83" s="28">
        <v>23.16</v>
      </c>
      <c r="H83" s="440">
        <v>10</v>
      </c>
      <c r="I83" s="28">
        <v>1</v>
      </c>
      <c r="J83" s="441">
        <f>H83/G83*I83</f>
        <v>0.43177892918825561</v>
      </c>
      <c r="K83" s="28">
        <f>0.122*4</f>
        <v>0.48799999999999999</v>
      </c>
      <c r="L83" s="435">
        <f t="shared" si="23"/>
        <v>0.21070811744386872</v>
      </c>
      <c r="M83" s="266">
        <f>L83*N83</f>
        <v>42.141623488773746</v>
      </c>
      <c r="N83" s="433">
        <v>200</v>
      </c>
      <c r="O83" s="435">
        <f>J83/I83*K83</f>
        <v>0.21070811744386872</v>
      </c>
    </row>
    <row r="84" spans="1:15" ht="15">
      <c r="A84" s="13" t="s">
        <v>344</v>
      </c>
      <c r="B84" s="56" t="s">
        <v>345</v>
      </c>
      <c r="C84" s="13" t="s">
        <v>24</v>
      </c>
      <c r="D84" s="13">
        <v>219</v>
      </c>
      <c r="E84" s="13"/>
      <c r="F84" s="4" t="s">
        <v>139</v>
      </c>
      <c r="G84" s="28">
        <v>40</v>
      </c>
      <c r="H84" s="440">
        <v>10</v>
      </c>
      <c r="I84" s="28">
        <v>2</v>
      </c>
      <c r="J84" s="441">
        <f>H84/G84*I84</f>
        <v>0.50</v>
      </c>
      <c r="K84" s="28">
        <v>1</v>
      </c>
      <c r="L84" s="435">
        <f t="shared" si="23"/>
        <v>0.50</v>
      </c>
      <c r="M84" s="266">
        <f>L84*N84</f>
        <v>100</v>
      </c>
      <c r="N84" s="433">
        <v>200</v>
      </c>
      <c r="O84" s="435">
        <f>J84/I84*K84</f>
        <v>0.25</v>
      </c>
    </row>
    <row r="85" spans="1:15" ht="15">
      <c r="A85" s="39"/>
      <c r="B85" s="649" t="s">
        <v>133</v>
      </c>
      <c r="C85" s="649"/>
      <c r="D85" s="649"/>
      <c r="E85" s="649"/>
      <c r="F85" s="649"/>
      <c r="G85" s="649"/>
      <c r="H85" s="649"/>
      <c r="I85" s="649"/>
      <c r="J85" s="649"/>
      <c r="K85" s="649"/>
      <c r="L85" s="267"/>
      <c r="M85" s="262">
        <f>SUM(M86:M130)</f>
        <v>15616.144376603228</v>
      </c>
      <c r="N85" s="263"/>
      <c r="O85" s="264">
        <f>SUM(O86:O130)</f>
        <v>49.626212197121362</v>
      </c>
    </row>
    <row r="86" spans="1:15" ht="15">
      <c r="A86" s="13" t="s">
        <v>221</v>
      </c>
      <c r="B86" s="56" t="s">
        <v>715</v>
      </c>
      <c r="C86" s="13" t="s">
        <v>24</v>
      </c>
      <c r="D86" s="13">
        <v>112</v>
      </c>
      <c r="E86" s="13"/>
      <c r="F86" s="13" t="s">
        <v>11</v>
      </c>
      <c r="G86" s="432">
        <v>9</v>
      </c>
      <c r="H86" s="440">
        <v>10</v>
      </c>
      <c r="I86" s="28">
        <v>2</v>
      </c>
      <c r="J86" s="441">
        <f t="shared" si="24" ref="J86:J130">H86/G86*I86</f>
        <v>2.2222222222222223</v>
      </c>
      <c r="K86" s="28">
        <v>1</v>
      </c>
      <c r="L86" s="267">
        <f t="shared" si="25" ref="L86:L130">J86*K86</f>
        <v>2.2222222222222223</v>
      </c>
      <c r="M86" s="433">
        <f t="shared" si="26" ref="M86:M130">L86*N86</f>
        <v>444.44444444444446</v>
      </c>
      <c r="N86" s="434">
        <v>200</v>
      </c>
      <c r="O86" s="435">
        <f t="shared" si="27" ref="O86:O130">J86/I86*K86</f>
        <v>1.1111111111111112</v>
      </c>
    </row>
    <row r="87" spans="1:15" ht="30">
      <c r="A87" s="13" t="s">
        <v>225</v>
      </c>
      <c r="B87" s="27" t="s">
        <v>230</v>
      </c>
      <c r="C87" s="13" t="s">
        <v>226</v>
      </c>
      <c r="D87" s="13">
        <v>302</v>
      </c>
      <c r="E87" s="13"/>
      <c r="F87" s="13" t="s">
        <v>227</v>
      </c>
      <c r="G87" s="28">
        <f>600/2.5</f>
        <v>240</v>
      </c>
      <c r="H87" s="440">
        <v>10</v>
      </c>
      <c r="I87" s="28">
        <v>2</v>
      </c>
      <c r="J87" s="441">
        <f t="shared" si="24"/>
        <v>0.083333333333333329</v>
      </c>
      <c r="K87" s="28">
        <v>44</v>
      </c>
      <c r="L87" s="435">
        <f t="shared" si="25"/>
        <v>3.6666666666666665</v>
      </c>
      <c r="M87" s="433">
        <f t="shared" si="26"/>
        <v>733.33333333333326</v>
      </c>
      <c r="N87" s="433">
        <v>200</v>
      </c>
      <c r="O87" s="435">
        <f t="shared" si="27"/>
        <v>1.8333333333333333</v>
      </c>
    </row>
    <row r="88" spans="1:15" ht="30">
      <c r="A88" s="13" t="s">
        <v>228</v>
      </c>
      <c r="B88" s="27" t="s">
        <v>1282</v>
      </c>
      <c r="C88" s="13" t="s">
        <v>24</v>
      </c>
      <c r="D88" s="13">
        <v>110</v>
      </c>
      <c r="E88" s="13"/>
      <c r="F88" s="13" t="s">
        <v>63</v>
      </c>
      <c r="G88" s="28">
        <f>10*40</f>
        <v>400</v>
      </c>
      <c r="H88" s="440">
        <v>10</v>
      </c>
      <c r="I88" s="28">
        <v>2</v>
      </c>
      <c r="J88" s="441">
        <f t="shared" si="24"/>
        <v>0.05</v>
      </c>
      <c r="K88" s="28">
        <v>44</v>
      </c>
      <c r="L88" s="435">
        <f t="shared" si="25"/>
        <v>2.2000000000000002</v>
      </c>
      <c r="M88" s="433">
        <f t="shared" si="26"/>
        <v>334.40</v>
      </c>
      <c r="N88" s="433">
        <v>152</v>
      </c>
      <c r="O88" s="435">
        <f t="shared" si="27"/>
        <v>1.1000000000000001</v>
      </c>
    </row>
    <row r="89" spans="1:15" ht="15">
      <c r="A89" s="13" t="s">
        <v>232</v>
      </c>
      <c r="B89" s="27" t="s">
        <v>61</v>
      </c>
      <c r="C89" s="13" t="s">
        <v>62</v>
      </c>
      <c r="D89" s="13">
        <v>112</v>
      </c>
      <c r="E89" s="13"/>
      <c r="F89" s="13" t="s">
        <v>63</v>
      </c>
      <c r="G89" s="28">
        <v>200</v>
      </c>
      <c r="H89" s="440">
        <v>10</v>
      </c>
      <c r="I89" s="28">
        <v>2</v>
      </c>
      <c r="J89" s="441">
        <f t="shared" si="24"/>
        <v>0.10000000000000001</v>
      </c>
      <c r="K89" s="28">
        <v>44</v>
      </c>
      <c r="L89" s="267">
        <f t="shared" si="25"/>
        <v>4.4000000000000004</v>
      </c>
      <c r="M89" s="433">
        <f t="shared" si="26"/>
        <v>668.80</v>
      </c>
      <c r="N89" s="434">
        <v>152</v>
      </c>
      <c r="O89" s="435">
        <f t="shared" si="27"/>
        <v>2.2000000000000002</v>
      </c>
    </row>
    <row r="90" spans="1:15" ht="15">
      <c r="A90" s="13" t="s">
        <v>536</v>
      </c>
      <c r="B90" s="27" t="s">
        <v>537</v>
      </c>
      <c r="C90" s="13" t="s">
        <v>538</v>
      </c>
      <c r="D90" s="13">
        <v>115</v>
      </c>
      <c r="E90" s="13"/>
      <c r="F90" s="13" t="s">
        <v>63</v>
      </c>
      <c r="G90" s="28">
        <v>1200</v>
      </c>
      <c r="H90" s="440">
        <v>10</v>
      </c>
      <c r="I90" s="28">
        <v>1</v>
      </c>
      <c r="J90" s="441">
        <f t="shared" si="24"/>
        <v>0.0083333333333333332</v>
      </c>
      <c r="K90" s="28">
        <v>44</v>
      </c>
      <c r="L90" s="267">
        <f t="shared" si="25"/>
        <v>0.36666666666666664</v>
      </c>
      <c r="M90" s="433">
        <f t="shared" si="26"/>
        <v>73.333333333333329</v>
      </c>
      <c r="N90" s="434">
        <v>200</v>
      </c>
      <c r="O90" s="435">
        <f t="shared" si="27"/>
        <v>0.36666666666666664</v>
      </c>
    </row>
    <row r="91" spans="1:15" ht="30">
      <c r="A91" s="13" t="s">
        <v>233</v>
      </c>
      <c r="B91" s="27" t="s">
        <v>66</v>
      </c>
      <c r="C91" s="13" t="s">
        <v>48</v>
      </c>
      <c r="D91" s="13">
        <v>112</v>
      </c>
      <c r="E91" s="13"/>
      <c r="F91" s="13" t="s">
        <v>67</v>
      </c>
      <c r="G91" s="28">
        <v>80</v>
      </c>
      <c r="H91" s="440">
        <v>10</v>
      </c>
      <c r="I91" s="28">
        <v>2</v>
      </c>
      <c r="J91" s="441">
        <f t="shared" si="24"/>
        <v>0.25</v>
      </c>
      <c r="K91" s="28">
        <v>4</v>
      </c>
      <c r="L91" s="267">
        <f t="shared" si="25"/>
        <v>1</v>
      </c>
      <c r="M91" s="433">
        <f t="shared" si="26"/>
        <v>200</v>
      </c>
      <c r="N91" s="434">
        <v>200</v>
      </c>
      <c r="O91" s="435">
        <f t="shared" si="27"/>
        <v>0.50</v>
      </c>
    </row>
    <row r="92" spans="1:15" ht="15">
      <c r="A92" s="637" t="s">
        <v>234</v>
      </c>
      <c r="B92" s="648" t="s">
        <v>235</v>
      </c>
      <c r="C92" s="13" t="s">
        <v>72</v>
      </c>
      <c r="D92" s="13">
        <v>115</v>
      </c>
      <c r="E92" s="13"/>
      <c r="F92" s="13" t="s">
        <v>236</v>
      </c>
      <c r="G92" s="28">
        <v>30</v>
      </c>
      <c r="H92" s="440">
        <v>10</v>
      </c>
      <c r="I92" s="28">
        <v>2</v>
      </c>
      <c r="J92" s="441">
        <f t="shared" si="24"/>
        <v>0.66666666666666663</v>
      </c>
      <c r="K92" s="28">
        <v>5</v>
      </c>
      <c r="L92" s="267">
        <f t="shared" si="25"/>
        <v>3.333333333333333</v>
      </c>
      <c r="M92" s="433">
        <f t="shared" si="26"/>
        <v>666.66666666666663</v>
      </c>
      <c r="N92" s="434">
        <v>200</v>
      </c>
      <c r="O92" s="435">
        <f t="shared" si="27"/>
        <v>1.6666666666666665</v>
      </c>
    </row>
    <row r="93" spans="1:15" ht="15">
      <c r="A93" s="637"/>
      <c r="B93" s="648"/>
      <c r="C93" s="13" t="s">
        <v>48</v>
      </c>
      <c r="D93" s="13">
        <v>115</v>
      </c>
      <c r="E93" s="13" t="s">
        <v>73</v>
      </c>
      <c r="F93" s="13" t="s">
        <v>10</v>
      </c>
      <c r="G93" s="28">
        <v>40</v>
      </c>
      <c r="H93" s="440">
        <v>10</v>
      </c>
      <c r="I93" s="28">
        <v>1</v>
      </c>
      <c r="J93" s="441">
        <f t="shared" si="24"/>
        <v>0.25</v>
      </c>
      <c r="K93" s="442">
        <f>(1200+585*2+1232)*2/1000</f>
        <v>7.2039999999999997</v>
      </c>
      <c r="L93" s="267">
        <f t="shared" si="25"/>
        <v>1.8009999999999999</v>
      </c>
      <c r="M93" s="433">
        <f t="shared" si="26"/>
        <v>360.20</v>
      </c>
      <c r="N93" s="434">
        <v>200</v>
      </c>
      <c r="O93" s="435">
        <f t="shared" si="27"/>
        <v>1.8009999999999999</v>
      </c>
    </row>
    <row r="94" spans="1:15" ht="15">
      <c r="A94" s="13" t="s">
        <v>237</v>
      </c>
      <c r="B94" s="56" t="s">
        <v>238</v>
      </c>
      <c r="C94" s="13" t="s">
        <v>69</v>
      </c>
      <c r="D94" s="13">
        <v>110</v>
      </c>
      <c r="E94" s="13"/>
      <c r="F94" s="13" t="s">
        <v>34</v>
      </c>
      <c r="G94" s="28">
        <v>10</v>
      </c>
      <c r="H94" s="440">
        <v>10</v>
      </c>
      <c r="I94" s="28">
        <v>2</v>
      </c>
      <c r="J94" s="441">
        <f t="shared" si="24"/>
        <v>2</v>
      </c>
      <c r="K94" s="28">
        <v>1</v>
      </c>
      <c r="L94" s="267">
        <f t="shared" si="25"/>
        <v>2</v>
      </c>
      <c r="M94" s="433">
        <f t="shared" si="26"/>
        <v>400</v>
      </c>
      <c r="N94" s="434">
        <v>200</v>
      </c>
      <c r="O94" s="435">
        <f t="shared" si="27"/>
        <v>1</v>
      </c>
    </row>
    <row r="95" spans="1:15" ht="30">
      <c r="A95" s="13" t="s">
        <v>896</v>
      </c>
      <c r="B95" s="56" t="s">
        <v>894</v>
      </c>
      <c r="C95" s="13" t="s">
        <v>138</v>
      </c>
      <c r="D95" s="13">
        <v>110</v>
      </c>
      <c r="E95" s="13"/>
      <c r="F95" s="13" t="s">
        <v>12</v>
      </c>
      <c r="G95" s="28">
        <v>20</v>
      </c>
      <c r="H95" s="440">
        <v>10</v>
      </c>
      <c r="I95" s="28">
        <v>2</v>
      </c>
      <c r="J95" s="441">
        <f t="shared" si="24"/>
        <v>1</v>
      </c>
      <c r="K95" s="28">
        <v>1</v>
      </c>
      <c r="L95" s="267">
        <f t="shared" si="25"/>
        <v>1</v>
      </c>
      <c r="M95" s="433">
        <f t="shared" si="26"/>
        <v>200</v>
      </c>
      <c r="N95" s="434">
        <v>200</v>
      </c>
      <c r="O95" s="435">
        <f t="shared" si="27"/>
        <v>0.50</v>
      </c>
    </row>
    <row r="96" spans="1:15" ht="30">
      <c r="A96" s="13" t="s">
        <v>243</v>
      </c>
      <c r="B96" s="56" t="s">
        <v>244</v>
      </c>
      <c r="C96" s="13" t="s">
        <v>25</v>
      </c>
      <c r="D96" s="13">
        <v>110</v>
      </c>
      <c r="E96" s="13" t="s">
        <v>53</v>
      </c>
      <c r="F96" s="13" t="s">
        <v>10</v>
      </c>
      <c r="G96" s="28">
        <v>40</v>
      </c>
      <c r="H96" s="440">
        <v>10</v>
      </c>
      <c r="I96" s="28">
        <v>1</v>
      </c>
      <c r="J96" s="441">
        <f t="shared" si="24"/>
        <v>0.25</v>
      </c>
      <c r="K96" s="28">
        <f>3338*2/1000</f>
        <v>6.6760000000000002</v>
      </c>
      <c r="L96" s="267">
        <f t="shared" si="25"/>
        <v>1.669</v>
      </c>
      <c r="M96" s="433">
        <f t="shared" si="26"/>
        <v>333.80</v>
      </c>
      <c r="N96" s="434">
        <v>200</v>
      </c>
      <c r="O96" s="435">
        <f t="shared" si="27"/>
        <v>1.669</v>
      </c>
    </row>
    <row r="97" spans="1:15" ht="15">
      <c r="A97" s="13" t="s">
        <v>237</v>
      </c>
      <c r="B97" s="56" t="s">
        <v>71</v>
      </c>
      <c r="C97" s="13" t="s">
        <v>68</v>
      </c>
      <c r="D97" s="13">
        <v>110</v>
      </c>
      <c r="E97" s="13"/>
      <c r="F97" s="13" t="s">
        <v>34</v>
      </c>
      <c r="G97" s="28">
        <v>20</v>
      </c>
      <c r="H97" s="440">
        <v>10</v>
      </c>
      <c r="I97" s="28">
        <v>2</v>
      </c>
      <c r="J97" s="441">
        <f t="shared" si="24"/>
        <v>1</v>
      </c>
      <c r="K97" s="28">
        <v>1</v>
      </c>
      <c r="L97" s="267">
        <f t="shared" si="25"/>
        <v>1</v>
      </c>
      <c r="M97" s="433">
        <f t="shared" si="26"/>
        <v>200</v>
      </c>
      <c r="N97" s="434">
        <v>200</v>
      </c>
      <c r="O97" s="435">
        <f t="shared" si="27"/>
        <v>0.50</v>
      </c>
    </row>
    <row r="98" spans="1:15" ht="30">
      <c r="A98" s="13" t="s">
        <v>897</v>
      </c>
      <c r="B98" s="56" t="s">
        <v>895</v>
      </c>
      <c r="C98" s="13" t="s">
        <v>138</v>
      </c>
      <c r="D98" s="13">
        <v>110</v>
      </c>
      <c r="E98" s="13"/>
      <c r="F98" s="13" t="s">
        <v>12</v>
      </c>
      <c r="G98" s="28">
        <v>20</v>
      </c>
      <c r="H98" s="440">
        <v>10</v>
      </c>
      <c r="I98" s="28">
        <v>2</v>
      </c>
      <c r="J98" s="441">
        <f t="shared" si="24"/>
        <v>1</v>
      </c>
      <c r="K98" s="28">
        <v>1</v>
      </c>
      <c r="L98" s="267">
        <f t="shared" si="25"/>
        <v>1</v>
      </c>
      <c r="M98" s="433">
        <f t="shared" si="26"/>
        <v>200</v>
      </c>
      <c r="N98" s="434">
        <v>200</v>
      </c>
      <c r="O98" s="435">
        <f t="shared" si="27"/>
        <v>0.50</v>
      </c>
    </row>
    <row r="99" spans="1:15" ht="30">
      <c r="A99" s="13" t="s">
        <v>249</v>
      </c>
      <c r="B99" s="56" t="s">
        <v>248</v>
      </c>
      <c r="C99" s="13" t="s">
        <v>25</v>
      </c>
      <c r="D99" s="13">
        <v>110</v>
      </c>
      <c r="E99" s="13" t="s">
        <v>53</v>
      </c>
      <c r="F99" s="13" t="s">
        <v>10</v>
      </c>
      <c r="G99" s="28">
        <v>40</v>
      </c>
      <c r="H99" s="440">
        <v>10</v>
      </c>
      <c r="I99" s="28">
        <v>1</v>
      </c>
      <c r="J99" s="441">
        <f t="shared" si="24"/>
        <v>0.25</v>
      </c>
      <c r="K99" s="28">
        <f>3338*2/1000</f>
        <v>6.6760000000000002</v>
      </c>
      <c r="L99" s="267">
        <f t="shared" si="25"/>
        <v>1.669</v>
      </c>
      <c r="M99" s="433">
        <f t="shared" si="26"/>
        <v>333.80</v>
      </c>
      <c r="N99" s="434">
        <v>200</v>
      </c>
      <c r="O99" s="435">
        <f t="shared" si="27"/>
        <v>1.669</v>
      </c>
    </row>
    <row r="100" spans="1:15" ht="15">
      <c r="A100" s="13" t="s">
        <v>237</v>
      </c>
      <c r="B100" s="56" t="s">
        <v>71</v>
      </c>
      <c r="C100" s="13" t="s">
        <v>68</v>
      </c>
      <c r="D100" s="13">
        <v>110</v>
      </c>
      <c r="E100" s="13"/>
      <c r="F100" s="13" t="s">
        <v>34</v>
      </c>
      <c r="G100" s="28">
        <v>20</v>
      </c>
      <c r="H100" s="440">
        <v>10</v>
      </c>
      <c r="I100" s="28">
        <v>2</v>
      </c>
      <c r="J100" s="441">
        <f t="shared" si="24"/>
        <v>1</v>
      </c>
      <c r="K100" s="28">
        <v>1</v>
      </c>
      <c r="L100" s="267">
        <f t="shared" si="25"/>
        <v>1</v>
      </c>
      <c r="M100" s="433">
        <f t="shared" si="26"/>
        <v>200</v>
      </c>
      <c r="N100" s="434">
        <v>200</v>
      </c>
      <c r="O100" s="435">
        <f t="shared" si="27"/>
        <v>0.50</v>
      </c>
    </row>
    <row r="101" spans="1:15" ht="30">
      <c r="A101" s="13" t="s">
        <v>239</v>
      </c>
      <c r="B101" s="56" t="s">
        <v>240</v>
      </c>
      <c r="C101" s="13" t="s">
        <v>25</v>
      </c>
      <c r="D101" s="13">
        <v>113</v>
      </c>
      <c r="E101" s="13"/>
      <c r="F101" s="13" t="s">
        <v>63</v>
      </c>
      <c r="G101" s="432">
        <v>112</v>
      </c>
      <c r="H101" s="440">
        <v>10</v>
      </c>
      <c r="I101" s="28">
        <v>1</v>
      </c>
      <c r="J101" s="441">
        <f t="shared" si="24"/>
        <v>0.089285714285714288</v>
      </c>
      <c r="K101" s="28">
        <v>44</v>
      </c>
      <c r="L101" s="267">
        <f t="shared" si="25"/>
        <v>3.9285714285714288</v>
      </c>
      <c r="M101" s="433">
        <f t="shared" si="26"/>
        <v>1021.4285714285714</v>
      </c>
      <c r="N101" s="434">
        <v>260</v>
      </c>
      <c r="O101" s="435">
        <f t="shared" si="27"/>
        <v>3.9285714285714288</v>
      </c>
    </row>
    <row r="102" spans="1:15" ht="30">
      <c r="A102" s="13" t="s">
        <v>317</v>
      </c>
      <c r="B102" s="56" t="s">
        <v>316</v>
      </c>
      <c r="C102" s="13" t="s">
        <v>25</v>
      </c>
      <c r="D102" s="13">
        <v>113</v>
      </c>
      <c r="E102" s="13" t="s">
        <v>70</v>
      </c>
      <c r="F102" s="13" t="s">
        <v>10</v>
      </c>
      <c r="G102" s="28">
        <v>40</v>
      </c>
      <c r="H102" s="440">
        <v>10</v>
      </c>
      <c r="I102" s="28">
        <v>1</v>
      </c>
      <c r="J102" s="441">
        <f t="shared" si="24"/>
        <v>0.25</v>
      </c>
      <c r="K102" s="436">
        <f>630/1000*3.1415</f>
        <v>1.9791450000000002</v>
      </c>
      <c r="L102" s="267">
        <f t="shared" si="25"/>
        <v>0.49478625000000004</v>
      </c>
      <c r="M102" s="433">
        <f t="shared" si="26"/>
        <v>98.957250000000002</v>
      </c>
      <c r="N102" s="434">
        <v>200</v>
      </c>
      <c r="O102" s="435">
        <f t="shared" si="27"/>
        <v>0.49478625000000004</v>
      </c>
    </row>
    <row r="103" spans="1:15" ht="30">
      <c r="A103" s="13" t="s">
        <v>245</v>
      </c>
      <c r="B103" s="56" t="s">
        <v>246</v>
      </c>
      <c r="C103" s="13" t="s">
        <v>25</v>
      </c>
      <c r="D103" s="13">
        <v>113</v>
      </c>
      <c r="E103" s="13"/>
      <c r="F103" s="13" t="s">
        <v>63</v>
      </c>
      <c r="G103" s="432">
        <v>112</v>
      </c>
      <c r="H103" s="440">
        <v>10</v>
      </c>
      <c r="I103" s="28">
        <v>1</v>
      </c>
      <c r="J103" s="441">
        <f t="shared" si="24"/>
        <v>0.089285714285714288</v>
      </c>
      <c r="K103" s="28">
        <v>44</v>
      </c>
      <c r="L103" s="267">
        <f t="shared" si="25"/>
        <v>3.9285714285714288</v>
      </c>
      <c r="M103" s="433">
        <f t="shared" si="26"/>
        <v>1021.4285714285714</v>
      </c>
      <c r="N103" s="434">
        <v>260</v>
      </c>
      <c r="O103" s="435">
        <f t="shared" si="27"/>
        <v>3.9285714285714288</v>
      </c>
    </row>
    <row r="104" spans="1:15" ht="15">
      <c r="A104" s="13" t="s">
        <v>741</v>
      </c>
      <c r="B104" s="56" t="s">
        <v>1281</v>
      </c>
      <c r="C104" s="13" t="s">
        <v>33</v>
      </c>
      <c r="D104" s="13">
        <v>115</v>
      </c>
      <c r="E104" s="13"/>
      <c r="F104" s="13"/>
      <c r="G104" s="28">
        <v>10</v>
      </c>
      <c r="H104" s="440">
        <v>10</v>
      </c>
      <c r="I104" s="28">
        <v>1</v>
      </c>
      <c r="J104" s="441">
        <f t="shared" si="24"/>
        <v>1</v>
      </c>
      <c r="K104" s="28">
        <v>1.50</v>
      </c>
      <c r="L104" s="267">
        <f t="shared" si="25"/>
        <v>1.50</v>
      </c>
      <c r="M104" s="433">
        <f t="shared" si="26"/>
        <v>300</v>
      </c>
      <c r="N104" s="434">
        <v>200</v>
      </c>
      <c r="O104" s="435">
        <f t="shared" si="27"/>
        <v>1.50</v>
      </c>
    </row>
    <row r="105" spans="1:15" ht="15">
      <c r="A105" s="637" t="s">
        <v>254</v>
      </c>
      <c r="B105" s="638" t="s">
        <v>884</v>
      </c>
      <c r="C105" s="13" t="s">
        <v>76</v>
      </c>
      <c r="D105" s="13">
        <v>115</v>
      </c>
      <c r="E105" s="13"/>
      <c r="F105" s="13" t="s">
        <v>78</v>
      </c>
      <c r="G105" s="28">
        <v>20</v>
      </c>
      <c r="H105" s="440">
        <v>10</v>
      </c>
      <c r="I105" s="28">
        <v>2</v>
      </c>
      <c r="J105" s="441">
        <f t="shared" si="24"/>
        <v>1</v>
      </c>
      <c r="K105" s="28">
        <v>2</v>
      </c>
      <c r="L105" s="267">
        <f t="shared" si="25"/>
        <v>2</v>
      </c>
      <c r="M105" s="433">
        <f t="shared" si="26"/>
        <v>400</v>
      </c>
      <c r="N105" s="434">
        <v>200</v>
      </c>
      <c r="O105" s="435">
        <f t="shared" si="27"/>
        <v>1</v>
      </c>
    </row>
    <row r="106" spans="1:15" ht="15">
      <c r="A106" s="637"/>
      <c r="B106" s="638"/>
      <c r="C106" s="13" t="s">
        <v>77</v>
      </c>
      <c r="D106" s="13">
        <v>115</v>
      </c>
      <c r="E106" s="13" t="s">
        <v>79</v>
      </c>
      <c r="F106" s="13" t="s">
        <v>10</v>
      </c>
      <c r="G106" s="28">
        <v>40</v>
      </c>
      <c r="H106" s="440">
        <v>10</v>
      </c>
      <c r="I106" s="28">
        <v>1</v>
      </c>
      <c r="J106" s="441">
        <f t="shared" si="24"/>
        <v>0.25</v>
      </c>
      <c r="K106" s="442">
        <f>(116*2*4+130*4)/1000</f>
        <v>1.448</v>
      </c>
      <c r="L106" s="267">
        <f t="shared" si="25"/>
        <v>0.36199999999999999</v>
      </c>
      <c r="M106" s="433">
        <f t="shared" si="26"/>
        <v>72.399999999999991</v>
      </c>
      <c r="N106" s="434">
        <v>200</v>
      </c>
      <c r="O106" s="435">
        <f t="shared" si="27"/>
        <v>0.36199999999999999</v>
      </c>
    </row>
    <row r="107" spans="1:15" ht="15">
      <c r="A107" s="637" t="s">
        <v>257</v>
      </c>
      <c r="B107" s="638" t="s">
        <v>258</v>
      </c>
      <c r="C107" s="13" t="s">
        <v>951</v>
      </c>
      <c r="D107" s="13">
        <v>107</v>
      </c>
      <c r="E107" s="13" t="s">
        <v>260</v>
      </c>
      <c r="F107" s="17" t="s">
        <v>261</v>
      </c>
      <c r="G107" s="31">
        <v>44</v>
      </c>
      <c r="H107" s="252">
        <v>10</v>
      </c>
      <c r="I107" s="16">
        <v>2</v>
      </c>
      <c r="J107" s="253">
        <f t="shared" si="24"/>
        <v>0.45454545454545453</v>
      </c>
      <c r="K107" s="31">
        <v>2</v>
      </c>
      <c r="L107" s="8">
        <f t="shared" si="25"/>
        <v>0.90909090909090906</v>
      </c>
      <c r="M107" s="42">
        <f t="shared" si="26"/>
        <v>181.81818181818181</v>
      </c>
      <c r="N107" s="43">
        <v>200</v>
      </c>
      <c r="O107" s="8">
        <f t="shared" si="27"/>
        <v>0.45454545454545453</v>
      </c>
    </row>
    <row r="108" spans="1:15" ht="15">
      <c r="A108" s="637"/>
      <c r="B108" s="638"/>
      <c r="C108" s="13" t="s">
        <v>952</v>
      </c>
      <c r="D108" s="13">
        <v>107</v>
      </c>
      <c r="E108" s="13" t="s">
        <v>260</v>
      </c>
      <c r="F108" s="17" t="s">
        <v>261</v>
      </c>
      <c r="G108" s="31">
        <v>109</v>
      </c>
      <c r="H108" s="18">
        <v>10</v>
      </c>
      <c r="I108" s="16">
        <v>2</v>
      </c>
      <c r="J108" s="20">
        <f t="shared" si="24"/>
        <v>0.1834862385321101</v>
      </c>
      <c r="K108" s="31">
        <v>4</v>
      </c>
      <c r="L108" s="8">
        <f t="shared" si="25"/>
        <v>0.73394495412844041</v>
      </c>
      <c r="M108" s="42">
        <f t="shared" si="26"/>
        <v>146.78899082568807</v>
      </c>
      <c r="N108" s="43">
        <v>200</v>
      </c>
      <c r="O108" s="8">
        <f t="shared" si="27"/>
        <v>0.3669724770642202</v>
      </c>
    </row>
    <row r="109" spans="1:15" ht="15">
      <c r="A109" s="637" t="s">
        <v>265</v>
      </c>
      <c r="B109" s="638" t="s">
        <v>266</v>
      </c>
      <c r="C109" s="13" t="s">
        <v>76</v>
      </c>
      <c r="D109" s="13">
        <v>116</v>
      </c>
      <c r="E109" s="13"/>
      <c r="F109" s="13" t="s">
        <v>82</v>
      </c>
      <c r="G109" s="28">
        <v>9</v>
      </c>
      <c r="H109" s="440">
        <v>10</v>
      </c>
      <c r="I109" s="28">
        <v>2</v>
      </c>
      <c r="J109" s="441">
        <f t="shared" si="24"/>
        <v>2.2222222222222223</v>
      </c>
      <c r="K109" s="28">
        <v>1</v>
      </c>
      <c r="L109" s="267">
        <f t="shared" si="25"/>
        <v>2.2222222222222223</v>
      </c>
      <c r="M109" s="433">
        <f t="shared" si="26"/>
        <v>444.44444444444446</v>
      </c>
      <c r="N109" s="434">
        <v>200</v>
      </c>
      <c r="O109" s="435">
        <f t="shared" si="27"/>
        <v>1.1111111111111112</v>
      </c>
    </row>
    <row r="110" spans="1:15" ht="15">
      <c r="A110" s="637"/>
      <c r="B110" s="638"/>
      <c r="C110" s="13" t="s">
        <v>77</v>
      </c>
      <c r="D110" s="13">
        <v>116</v>
      </c>
      <c r="E110" s="13" t="s">
        <v>264</v>
      </c>
      <c r="F110" s="13" t="s">
        <v>10</v>
      </c>
      <c r="G110" s="28">
        <v>40</v>
      </c>
      <c r="H110" s="440">
        <v>10</v>
      </c>
      <c r="I110" s="28">
        <v>1</v>
      </c>
      <c r="J110" s="441">
        <f t="shared" si="24"/>
        <v>0.25</v>
      </c>
      <c r="K110" s="442">
        <f>(89*3.1415*3)*2/1000</f>
        <v>1.6775610000000001</v>
      </c>
      <c r="L110" s="267">
        <f t="shared" si="25"/>
        <v>0.41939025000000002</v>
      </c>
      <c r="M110" s="433">
        <f t="shared" si="26"/>
        <v>83.878050000000002</v>
      </c>
      <c r="N110" s="434">
        <v>200</v>
      </c>
      <c r="O110" s="435">
        <f t="shared" si="27"/>
        <v>0.41939025000000002</v>
      </c>
    </row>
    <row r="111" spans="1:15" ht="30">
      <c r="A111" s="13" t="s">
        <v>267</v>
      </c>
      <c r="B111" s="27" t="s">
        <v>519</v>
      </c>
      <c r="C111" s="13" t="s">
        <v>77</v>
      </c>
      <c r="D111" s="13">
        <v>116</v>
      </c>
      <c r="E111" s="13"/>
      <c r="F111" s="13" t="s">
        <v>67</v>
      </c>
      <c r="G111" s="28">
        <v>10</v>
      </c>
      <c r="H111" s="440">
        <v>10</v>
      </c>
      <c r="I111" s="28">
        <v>2</v>
      </c>
      <c r="J111" s="441">
        <f t="shared" si="24"/>
        <v>2</v>
      </c>
      <c r="K111" s="28">
        <v>1</v>
      </c>
      <c r="L111" s="267">
        <f t="shared" si="25"/>
        <v>2</v>
      </c>
      <c r="M111" s="433">
        <f t="shared" si="26"/>
        <v>400</v>
      </c>
      <c r="N111" s="434">
        <v>200</v>
      </c>
      <c r="O111" s="435">
        <f t="shared" si="27"/>
        <v>1</v>
      </c>
    </row>
    <row r="112" spans="1:15" ht="15">
      <c r="A112" s="13" t="s">
        <v>268</v>
      </c>
      <c r="B112" s="27" t="s">
        <v>334</v>
      </c>
      <c r="C112" s="13" t="s">
        <v>83</v>
      </c>
      <c r="D112" s="13">
        <v>116</v>
      </c>
      <c r="E112" s="13"/>
      <c r="F112" s="4" t="s">
        <v>84</v>
      </c>
      <c r="G112" s="16">
        <v>11.40</v>
      </c>
      <c r="H112" s="440">
        <v>10</v>
      </c>
      <c r="I112" s="28">
        <v>2</v>
      </c>
      <c r="J112" s="441">
        <f t="shared" si="24"/>
        <v>1.7543859649122806</v>
      </c>
      <c r="K112" s="28">
        <v>1</v>
      </c>
      <c r="L112" s="267">
        <f t="shared" si="25"/>
        <v>1.7543859649122806</v>
      </c>
      <c r="M112" s="433">
        <f t="shared" si="26"/>
        <v>350.87719298245611</v>
      </c>
      <c r="N112" s="434">
        <v>200</v>
      </c>
      <c r="O112" s="435">
        <f t="shared" si="27"/>
        <v>0.8771929824561403</v>
      </c>
    </row>
    <row r="113" spans="1:15" ht="15">
      <c r="A113" s="13" t="s">
        <v>335</v>
      </c>
      <c r="B113" s="27" t="s">
        <v>336</v>
      </c>
      <c r="C113" s="13" t="s">
        <v>83</v>
      </c>
      <c r="D113" s="13">
        <v>116</v>
      </c>
      <c r="E113" s="13"/>
      <c r="F113" s="4" t="s">
        <v>84</v>
      </c>
      <c r="G113" s="16">
        <v>4.49</v>
      </c>
      <c r="H113" s="440">
        <v>10</v>
      </c>
      <c r="I113" s="28">
        <v>2</v>
      </c>
      <c r="J113" s="441">
        <f t="shared" si="24"/>
        <v>4.4543429844097995</v>
      </c>
      <c r="K113" s="28">
        <v>1</v>
      </c>
      <c r="L113" s="267">
        <f t="shared" si="25"/>
        <v>4.4543429844097995</v>
      </c>
      <c r="M113" s="433">
        <f t="shared" si="26"/>
        <v>890.86859688195989</v>
      </c>
      <c r="N113" s="434">
        <v>200</v>
      </c>
      <c r="O113" s="435">
        <f t="shared" si="27"/>
        <v>2.2271714922048997</v>
      </c>
    </row>
    <row r="114" spans="1:15" ht="15">
      <c r="A114" s="13" t="s">
        <v>526</v>
      </c>
      <c r="B114" s="56" t="s">
        <v>524</v>
      </c>
      <c r="C114" s="13" t="s">
        <v>523</v>
      </c>
      <c r="D114" s="13">
        <v>224</v>
      </c>
      <c r="E114" s="13"/>
      <c r="F114" s="4" t="s">
        <v>525</v>
      </c>
      <c r="G114" s="28">
        <v>600</v>
      </c>
      <c r="H114" s="431">
        <v>10</v>
      </c>
      <c r="I114" s="28">
        <v>1</v>
      </c>
      <c r="J114" s="441">
        <f t="shared" si="24"/>
        <v>0.016666666666666666</v>
      </c>
      <c r="K114" s="28">
        <v>4</v>
      </c>
      <c r="L114" s="267">
        <f t="shared" si="25"/>
        <v>0.066666666666666666</v>
      </c>
      <c r="M114" s="433">
        <f t="shared" si="26"/>
        <v>11.733333333333333</v>
      </c>
      <c r="N114" s="434">
        <v>176</v>
      </c>
      <c r="O114" s="435">
        <f t="shared" si="27"/>
        <v>0.066666666666666666</v>
      </c>
    </row>
    <row r="115" spans="1:15" ht="15">
      <c r="A115" s="13" t="s">
        <v>269</v>
      </c>
      <c r="B115" s="56" t="s">
        <v>270</v>
      </c>
      <c r="C115" s="13" t="s">
        <v>523</v>
      </c>
      <c r="D115" s="13">
        <v>224</v>
      </c>
      <c r="E115" s="13"/>
      <c r="F115" s="4" t="s">
        <v>88</v>
      </c>
      <c r="G115" s="28">
        <v>300</v>
      </c>
      <c r="H115" s="431">
        <v>10</v>
      </c>
      <c r="I115" s="28">
        <v>1</v>
      </c>
      <c r="J115" s="441">
        <f t="shared" si="24"/>
        <v>0.033333333333333333</v>
      </c>
      <c r="K115" s="28">
        <v>2</v>
      </c>
      <c r="L115" s="267">
        <f t="shared" si="25"/>
        <v>0.066666666666666666</v>
      </c>
      <c r="M115" s="433">
        <f t="shared" si="26"/>
        <v>11.733333333333333</v>
      </c>
      <c r="N115" s="434">
        <v>176</v>
      </c>
      <c r="O115" s="435">
        <f t="shared" si="27"/>
        <v>0.066666666666666666</v>
      </c>
    </row>
    <row r="116" spans="1:15" ht="15">
      <c r="A116" s="13" t="s">
        <v>918</v>
      </c>
      <c r="B116" s="56" t="s">
        <v>898</v>
      </c>
      <c r="C116" s="13" t="s">
        <v>523</v>
      </c>
      <c r="D116" s="13">
        <v>224</v>
      </c>
      <c r="E116" s="13"/>
      <c r="F116" s="4" t="s">
        <v>88</v>
      </c>
      <c r="G116" s="28">
        <v>600</v>
      </c>
      <c r="H116" s="431">
        <v>10</v>
      </c>
      <c r="I116" s="28">
        <v>1</v>
      </c>
      <c r="J116" s="441">
        <f t="shared" si="24"/>
        <v>0.016666666666666666</v>
      </c>
      <c r="K116" s="28">
        <v>1</v>
      </c>
      <c r="L116" s="267">
        <f t="shared" si="25"/>
        <v>0.016666666666666666</v>
      </c>
      <c r="M116" s="433">
        <f t="shared" si="26"/>
        <v>2.9333333333333331</v>
      </c>
      <c r="N116" s="434">
        <v>176</v>
      </c>
      <c r="O116" s="435">
        <f t="shared" si="27"/>
        <v>0.016666666666666666</v>
      </c>
    </row>
    <row r="117" spans="1:15" ht="30">
      <c r="A117" s="13" t="s">
        <v>271</v>
      </c>
      <c r="B117" s="56" t="s">
        <v>85</v>
      </c>
      <c r="C117" s="13" t="s">
        <v>83</v>
      </c>
      <c r="D117" s="13">
        <v>116</v>
      </c>
      <c r="E117" s="13"/>
      <c r="F117" s="13" t="s">
        <v>12</v>
      </c>
      <c r="G117" s="28">
        <v>2.50</v>
      </c>
      <c r="H117" s="440">
        <v>10</v>
      </c>
      <c r="I117" s="28">
        <v>2</v>
      </c>
      <c r="J117" s="441">
        <f t="shared" si="24"/>
        <v>8</v>
      </c>
      <c r="K117" s="28">
        <v>1</v>
      </c>
      <c r="L117" s="267">
        <f t="shared" si="25"/>
        <v>8</v>
      </c>
      <c r="M117" s="433">
        <f t="shared" si="26"/>
        <v>1600</v>
      </c>
      <c r="N117" s="434">
        <v>200</v>
      </c>
      <c r="O117" s="435">
        <f t="shared" si="27"/>
        <v>4</v>
      </c>
    </row>
    <row r="118" spans="1:15" ht="15">
      <c r="A118" s="13" t="s">
        <v>272</v>
      </c>
      <c r="B118" s="27" t="s">
        <v>337</v>
      </c>
      <c r="C118" s="13" t="s">
        <v>83</v>
      </c>
      <c r="D118" s="13">
        <v>116</v>
      </c>
      <c r="E118" s="13"/>
      <c r="F118" s="4" t="s">
        <v>89</v>
      </c>
      <c r="G118" s="28">
        <v>13.185</v>
      </c>
      <c r="H118" s="440">
        <v>10</v>
      </c>
      <c r="I118" s="28">
        <v>2</v>
      </c>
      <c r="J118" s="441">
        <f t="shared" si="24"/>
        <v>1.5168752370117558</v>
      </c>
      <c r="K118" s="28">
        <v>1</v>
      </c>
      <c r="L118" s="267">
        <f t="shared" si="25"/>
        <v>1.5168752370117558</v>
      </c>
      <c r="M118" s="433">
        <f t="shared" si="26"/>
        <v>303.37504740235113</v>
      </c>
      <c r="N118" s="434">
        <v>200</v>
      </c>
      <c r="O118" s="435">
        <f t="shared" si="27"/>
        <v>0.75843761850587788</v>
      </c>
    </row>
    <row r="119" spans="1:15" ht="30">
      <c r="A119" s="13" t="s">
        <v>339</v>
      </c>
      <c r="B119" s="27" t="s">
        <v>338</v>
      </c>
      <c r="C119" s="13" t="s">
        <v>83</v>
      </c>
      <c r="D119" s="13">
        <v>116</v>
      </c>
      <c r="E119" s="13"/>
      <c r="F119" s="4" t="s">
        <v>89</v>
      </c>
      <c r="G119" s="28">
        <v>6.5970000000000004</v>
      </c>
      <c r="H119" s="440">
        <v>10</v>
      </c>
      <c r="I119" s="28">
        <v>2</v>
      </c>
      <c r="J119" s="441">
        <f t="shared" si="24"/>
        <v>3.0316810671517356</v>
      </c>
      <c r="K119" s="28">
        <v>1</v>
      </c>
      <c r="L119" s="267">
        <f t="shared" si="25"/>
        <v>3.0316810671517356</v>
      </c>
      <c r="M119" s="433">
        <f t="shared" si="26"/>
        <v>606.33621343034713</v>
      </c>
      <c r="N119" s="434">
        <v>200</v>
      </c>
      <c r="O119" s="435">
        <f t="shared" si="27"/>
        <v>1.5158405335758678</v>
      </c>
    </row>
    <row r="120" spans="1:15" ht="30">
      <c r="A120" s="13" t="s">
        <v>273</v>
      </c>
      <c r="B120" s="27" t="s">
        <v>125</v>
      </c>
      <c r="C120" s="13" t="s">
        <v>54</v>
      </c>
      <c r="D120" s="13">
        <v>116</v>
      </c>
      <c r="E120" s="13"/>
      <c r="F120" s="4" t="s">
        <v>88</v>
      </c>
      <c r="G120" s="28">
        <v>17.30</v>
      </c>
      <c r="H120" s="440">
        <v>10</v>
      </c>
      <c r="I120" s="28">
        <v>2</v>
      </c>
      <c r="J120" s="441">
        <f t="shared" si="24"/>
        <v>1.1560693641618496</v>
      </c>
      <c r="K120" s="28">
        <v>1</v>
      </c>
      <c r="L120" s="267">
        <f t="shared" si="25"/>
        <v>1.1560693641618496</v>
      </c>
      <c r="M120" s="433">
        <f t="shared" si="26"/>
        <v>231.21387283236993</v>
      </c>
      <c r="N120" s="434">
        <v>200</v>
      </c>
      <c r="O120" s="435">
        <f t="shared" si="27"/>
        <v>0.57803468208092479</v>
      </c>
    </row>
    <row r="121" spans="1:15" ht="30">
      <c r="A121" s="523" t="s">
        <v>1668</v>
      </c>
      <c r="B121" s="522" t="s">
        <v>1670</v>
      </c>
      <c r="C121" s="523" t="s">
        <v>33</v>
      </c>
      <c r="D121" s="523">
        <v>116</v>
      </c>
      <c r="E121" s="523"/>
      <c r="F121" s="523" t="s">
        <v>1666</v>
      </c>
      <c r="G121" s="527">
        <v>13.27</v>
      </c>
      <c r="H121" s="530">
        <v>10</v>
      </c>
      <c r="I121" s="527">
        <v>2</v>
      </c>
      <c r="J121" s="531">
        <f t="shared" si="24"/>
        <v>1.5071590052750565</v>
      </c>
      <c r="K121" s="527">
        <v>1</v>
      </c>
      <c r="L121" s="267">
        <f t="shared" si="25"/>
        <v>1.5071590052750565</v>
      </c>
      <c r="M121" s="433">
        <f t="shared" si="26"/>
        <v>301.43180105501131</v>
      </c>
      <c r="N121" s="434">
        <v>200</v>
      </c>
      <c r="O121" s="435">
        <f t="shared" si="27"/>
        <v>0.75357950263752826</v>
      </c>
    </row>
    <row r="122" spans="1:15" ht="30">
      <c r="A122" s="523" t="s">
        <v>1669</v>
      </c>
      <c r="B122" s="522" t="s">
        <v>1671</v>
      </c>
      <c r="C122" s="523" t="s">
        <v>33</v>
      </c>
      <c r="D122" s="523">
        <v>116</v>
      </c>
      <c r="E122" s="523"/>
      <c r="F122" s="523" t="s">
        <v>10</v>
      </c>
      <c r="G122" s="527">
        <v>40</v>
      </c>
      <c r="H122" s="530">
        <v>10</v>
      </c>
      <c r="I122" s="527">
        <v>1</v>
      </c>
      <c r="J122" s="531">
        <f t="shared" si="24"/>
        <v>0.25</v>
      </c>
      <c r="K122" s="525">
        <f>3347/1000</f>
        <v>3.347</v>
      </c>
      <c r="L122" s="267">
        <f t="shared" si="25"/>
        <v>0.83674999999999999</v>
      </c>
      <c r="M122" s="433">
        <f t="shared" si="26"/>
        <v>167.35</v>
      </c>
      <c r="N122" s="434">
        <v>200</v>
      </c>
      <c r="O122" s="435">
        <f t="shared" si="27"/>
        <v>0.83674999999999999</v>
      </c>
    </row>
    <row r="123" spans="1:15" ht="15">
      <c r="A123" s="13" t="s">
        <v>274</v>
      </c>
      <c r="B123" s="27" t="s">
        <v>275</v>
      </c>
      <c r="C123" s="13" t="s">
        <v>83</v>
      </c>
      <c r="D123" s="13">
        <v>116</v>
      </c>
      <c r="E123" s="13"/>
      <c r="F123" s="4" t="s">
        <v>276</v>
      </c>
      <c r="G123" s="28">
        <v>20</v>
      </c>
      <c r="H123" s="440">
        <v>10</v>
      </c>
      <c r="I123" s="28">
        <v>2</v>
      </c>
      <c r="J123" s="441">
        <f t="shared" si="24"/>
        <v>1</v>
      </c>
      <c r="K123" s="28">
        <v>1</v>
      </c>
      <c r="L123" s="267">
        <f t="shared" si="25"/>
        <v>1</v>
      </c>
      <c r="M123" s="433">
        <f t="shared" si="26"/>
        <v>200</v>
      </c>
      <c r="N123" s="434">
        <v>200</v>
      </c>
      <c r="O123" s="435">
        <f t="shared" si="27"/>
        <v>0.50</v>
      </c>
    </row>
    <row r="124" spans="1:15" ht="15">
      <c r="A124" s="13" t="s">
        <v>277</v>
      </c>
      <c r="B124" s="27" t="s">
        <v>278</v>
      </c>
      <c r="C124" s="13" t="s">
        <v>83</v>
      </c>
      <c r="D124" s="13">
        <v>116</v>
      </c>
      <c r="E124" s="13"/>
      <c r="F124" s="4" t="s">
        <v>90</v>
      </c>
      <c r="G124" s="28">
        <v>14</v>
      </c>
      <c r="H124" s="440">
        <v>10</v>
      </c>
      <c r="I124" s="28">
        <v>2</v>
      </c>
      <c r="J124" s="441">
        <f t="shared" si="24"/>
        <v>1.4285714285714286</v>
      </c>
      <c r="K124" s="28">
        <v>1</v>
      </c>
      <c r="L124" s="267">
        <f t="shared" si="25"/>
        <v>1.4285714285714286</v>
      </c>
      <c r="M124" s="433">
        <f t="shared" si="26"/>
        <v>285.71428571428572</v>
      </c>
      <c r="N124" s="434">
        <v>200</v>
      </c>
      <c r="O124" s="435">
        <f t="shared" si="27"/>
        <v>0.7142857142857143</v>
      </c>
    </row>
    <row r="125" spans="1:15" ht="15">
      <c r="A125" s="13" t="s">
        <v>279</v>
      </c>
      <c r="B125" s="27" t="s">
        <v>280</v>
      </c>
      <c r="C125" s="13" t="s">
        <v>29</v>
      </c>
      <c r="D125" s="13">
        <v>120</v>
      </c>
      <c r="E125" s="13"/>
      <c r="F125" s="13" t="s">
        <v>12</v>
      </c>
      <c r="G125" s="28">
        <v>12</v>
      </c>
      <c r="H125" s="440">
        <v>10</v>
      </c>
      <c r="I125" s="28">
        <v>1</v>
      </c>
      <c r="J125" s="441">
        <f t="shared" si="24"/>
        <v>0.83333333333333337</v>
      </c>
      <c r="K125" s="28">
        <v>1</v>
      </c>
      <c r="L125" s="435">
        <f t="shared" si="25"/>
        <v>0.83333333333333337</v>
      </c>
      <c r="M125" s="266">
        <f t="shared" si="26"/>
        <v>146.66666666666669</v>
      </c>
      <c r="N125" s="433">
        <v>176</v>
      </c>
      <c r="O125" s="435">
        <f t="shared" si="27"/>
        <v>0.83333333333333337</v>
      </c>
    </row>
    <row r="126" spans="1:15" ht="15">
      <c r="A126" s="13" t="s">
        <v>281</v>
      </c>
      <c r="B126" s="56" t="s">
        <v>30</v>
      </c>
      <c r="C126" s="13" t="s">
        <v>29</v>
      </c>
      <c r="D126" s="13">
        <v>120</v>
      </c>
      <c r="E126" s="13"/>
      <c r="F126" s="13" t="s">
        <v>12</v>
      </c>
      <c r="G126" s="436">
        <v>7.51</v>
      </c>
      <c r="H126" s="440">
        <v>10</v>
      </c>
      <c r="I126" s="28">
        <v>1</v>
      </c>
      <c r="J126" s="441">
        <f t="shared" si="24"/>
        <v>1.3315579227696406</v>
      </c>
      <c r="K126" s="28">
        <v>1</v>
      </c>
      <c r="L126" s="267">
        <f t="shared" si="25"/>
        <v>1.3315579227696406</v>
      </c>
      <c r="M126" s="433">
        <f t="shared" si="26"/>
        <v>234.35419440745673</v>
      </c>
      <c r="N126" s="434">
        <v>176</v>
      </c>
      <c r="O126" s="435">
        <f t="shared" si="27"/>
        <v>1.3315579227696406</v>
      </c>
    </row>
    <row r="127" spans="1:15" ht="30">
      <c r="A127" s="13" t="s">
        <v>282</v>
      </c>
      <c r="B127" s="56" t="s">
        <v>283</v>
      </c>
      <c r="C127" s="13" t="s">
        <v>29</v>
      </c>
      <c r="D127" s="13">
        <v>120</v>
      </c>
      <c r="E127" s="13"/>
      <c r="F127" s="13" t="s">
        <v>12</v>
      </c>
      <c r="G127" s="436">
        <v>10.02</v>
      </c>
      <c r="H127" s="440">
        <v>10</v>
      </c>
      <c r="I127" s="28">
        <v>1</v>
      </c>
      <c r="J127" s="441">
        <f t="shared" si="24"/>
        <v>0.99800399201596812</v>
      </c>
      <c r="K127" s="28">
        <v>1</v>
      </c>
      <c r="L127" s="267">
        <f t="shared" si="25"/>
        <v>0.99800399201596812</v>
      </c>
      <c r="M127" s="433">
        <f t="shared" si="26"/>
        <v>175.6487025948104</v>
      </c>
      <c r="N127" s="434">
        <v>176</v>
      </c>
      <c r="O127" s="435">
        <f t="shared" si="27"/>
        <v>0.99800399201596812</v>
      </c>
    </row>
    <row r="128" spans="1:15" ht="15">
      <c r="A128" s="13" t="s">
        <v>902</v>
      </c>
      <c r="B128" s="56" t="s">
        <v>1101</v>
      </c>
      <c r="C128" s="13" t="s">
        <v>523</v>
      </c>
      <c r="D128" s="13">
        <v>224</v>
      </c>
      <c r="E128" s="13"/>
      <c r="F128" s="4" t="s">
        <v>900</v>
      </c>
      <c r="G128" s="28">
        <v>600</v>
      </c>
      <c r="H128" s="431">
        <v>10</v>
      </c>
      <c r="I128" s="28">
        <v>1</v>
      </c>
      <c r="J128" s="441">
        <f t="shared" si="24"/>
        <v>0.016666666666666666</v>
      </c>
      <c r="K128" s="28">
        <v>1</v>
      </c>
      <c r="L128" s="267">
        <f t="shared" si="25"/>
        <v>0.016666666666666666</v>
      </c>
      <c r="M128" s="433">
        <f t="shared" si="26"/>
        <v>2.9333333333333331</v>
      </c>
      <c r="N128" s="434">
        <v>176</v>
      </c>
      <c r="O128" s="435">
        <f t="shared" si="27"/>
        <v>0.016666666666666666</v>
      </c>
    </row>
    <row r="129" spans="1:15" ht="15">
      <c r="A129" s="13" t="s">
        <v>285</v>
      </c>
      <c r="B129" s="56" t="s">
        <v>901</v>
      </c>
      <c r="C129" s="13" t="s">
        <v>83</v>
      </c>
      <c r="D129" s="13">
        <v>116</v>
      </c>
      <c r="E129" s="13"/>
      <c r="F129" s="13" t="s">
        <v>12</v>
      </c>
      <c r="G129" s="28">
        <v>9.50</v>
      </c>
      <c r="H129" s="440">
        <v>10</v>
      </c>
      <c r="I129" s="28">
        <v>2</v>
      </c>
      <c r="J129" s="441">
        <f t="shared" si="24"/>
        <v>2.1052631578947367</v>
      </c>
      <c r="K129" s="28">
        <v>1</v>
      </c>
      <c r="L129" s="267">
        <f t="shared" si="25"/>
        <v>2.1052631578947367</v>
      </c>
      <c r="M129" s="433">
        <f t="shared" si="26"/>
        <v>421.05263157894734</v>
      </c>
      <c r="N129" s="434">
        <v>200</v>
      </c>
      <c r="O129" s="435">
        <f t="shared" si="27"/>
        <v>1.0526315789473684</v>
      </c>
    </row>
    <row r="130" spans="1:15" ht="15">
      <c r="A130" s="13" t="s">
        <v>286</v>
      </c>
      <c r="B130" s="27" t="s">
        <v>288</v>
      </c>
      <c r="C130" s="13" t="s">
        <v>287</v>
      </c>
      <c r="D130" s="13">
        <v>116</v>
      </c>
      <c r="E130" s="13"/>
      <c r="F130" s="13" t="s">
        <v>67</v>
      </c>
      <c r="G130" s="28">
        <v>40</v>
      </c>
      <c r="H130" s="440">
        <v>10</v>
      </c>
      <c r="I130" s="28">
        <v>1</v>
      </c>
      <c r="J130" s="441">
        <f t="shared" si="24"/>
        <v>0.25</v>
      </c>
      <c r="K130" s="28">
        <v>4</v>
      </c>
      <c r="L130" s="267">
        <f t="shared" si="25"/>
        <v>1</v>
      </c>
      <c r="M130" s="433">
        <f t="shared" si="26"/>
        <v>152</v>
      </c>
      <c r="N130" s="434">
        <v>152</v>
      </c>
      <c r="O130" s="435">
        <f t="shared" si="27"/>
        <v>1</v>
      </c>
    </row>
    <row r="131" spans="1:15" ht="15">
      <c r="A131" s="39"/>
      <c r="B131" s="649" t="s">
        <v>134</v>
      </c>
      <c r="C131" s="649"/>
      <c r="D131" s="649"/>
      <c r="E131" s="649"/>
      <c r="F131" s="649"/>
      <c r="G131" s="649"/>
      <c r="H131" s="649"/>
      <c r="I131" s="649"/>
      <c r="J131" s="649"/>
      <c r="K131" s="649"/>
      <c r="L131" s="267"/>
      <c r="M131" s="262">
        <f>SUM(M132:M152)</f>
        <v>5689.8135300206495</v>
      </c>
      <c r="N131" s="263"/>
      <c r="O131" s="264">
        <f>SUM(O132:O152)</f>
        <v>20.870339046491317</v>
      </c>
    </row>
    <row r="132" spans="1:16" ht="30">
      <c r="A132" s="13" t="s">
        <v>297</v>
      </c>
      <c r="B132" s="56" t="s">
        <v>298</v>
      </c>
      <c r="C132" s="13" t="s">
        <v>33</v>
      </c>
      <c r="D132" s="13">
        <v>116</v>
      </c>
      <c r="E132" s="13"/>
      <c r="F132" s="13" t="s">
        <v>96</v>
      </c>
      <c r="G132" s="432">
        <v>10</v>
      </c>
      <c r="H132" s="440">
        <v>10</v>
      </c>
      <c r="I132" s="28">
        <v>2</v>
      </c>
      <c r="J132" s="441">
        <f t="shared" si="28" ref="J132:J152">H132/G132*I132</f>
        <v>2</v>
      </c>
      <c r="K132" s="28">
        <v>1</v>
      </c>
      <c r="L132" s="267">
        <f t="shared" si="29" ref="L132:L152">J132*K132</f>
        <v>2</v>
      </c>
      <c r="M132" s="433">
        <f t="shared" si="30" ref="M132:M152">L132*N132</f>
        <v>400</v>
      </c>
      <c r="N132" s="434">
        <v>200</v>
      </c>
      <c r="O132" s="435">
        <f t="shared" si="31" ref="O132:O152">J132/I132*K132</f>
        <v>1</v>
      </c>
      <c r="P132" s="22"/>
    </row>
    <row r="133" spans="1:16" ht="30">
      <c r="A133" s="523" t="s">
        <v>1663</v>
      </c>
      <c r="B133" s="522" t="s">
        <v>1665</v>
      </c>
      <c r="C133" s="523" t="s">
        <v>33</v>
      </c>
      <c r="D133" s="523">
        <v>116</v>
      </c>
      <c r="E133" s="523"/>
      <c r="F133" s="523" t="s">
        <v>1666</v>
      </c>
      <c r="G133" s="527">
        <v>12.86</v>
      </c>
      <c r="H133" s="530">
        <v>10</v>
      </c>
      <c r="I133" s="527">
        <v>2</v>
      </c>
      <c r="J133" s="531">
        <f t="shared" si="28"/>
        <v>1.5552099533437014</v>
      </c>
      <c r="K133" s="527">
        <v>1</v>
      </c>
      <c r="L133" s="267">
        <f t="shared" si="29"/>
        <v>1.5552099533437014</v>
      </c>
      <c r="M133" s="433">
        <f t="shared" si="30"/>
        <v>311.04199066874025</v>
      </c>
      <c r="N133" s="434">
        <v>200</v>
      </c>
      <c r="O133" s="435">
        <f t="shared" si="31"/>
        <v>0.77760497667185069</v>
      </c>
      <c r="P133" s="22"/>
    </row>
    <row r="134" spans="1:16" ht="30">
      <c r="A134" s="523" t="s">
        <v>1664</v>
      </c>
      <c r="B134" s="522" t="s">
        <v>1667</v>
      </c>
      <c r="C134" s="523" t="s">
        <v>33</v>
      </c>
      <c r="D134" s="523">
        <v>116</v>
      </c>
      <c r="E134" s="523"/>
      <c r="F134" s="523" t="s">
        <v>10</v>
      </c>
      <c r="G134" s="527">
        <v>40</v>
      </c>
      <c r="H134" s="530">
        <v>10</v>
      </c>
      <c r="I134" s="527">
        <v>1</v>
      </c>
      <c r="J134" s="531">
        <f t="shared" si="28"/>
        <v>0.25</v>
      </c>
      <c r="K134" s="525">
        <f>3340/1000</f>
        <v>3.34</v>
      </c>
      <c r="L134" s="267">
        <f t="shared" si="29"/>
        <v>0.835</v>
      </c>
      <c r="M134" s="433">
        <f t="shared" si="30"/>
        <v>167</v>
      </c>
      <c r="N134" s="434">
        <v>200</v>
      </c>
      <c r="O134" s="435">
        <f t="shared" si="31"/>
        <v>0.835</v>
      </c>
      <c r="P134" s="22"/>
    </row>
    <row r="135" spans="1:16" ht="30">
      <c r="A135" s="13" t="s">
        <v>299</v>
      </c>
      <c r="B135" s="56" t="s">
        <v>300</v>
      </c>
      <c r="C135" s="13" t="s">
        <v>33</v>
      </c>
      <c r="D135" s="13">
        <v>119</v>
      </c>
      <c r="E135" s="13"/>
      <c r="F135" s="13" t="s">
        <v>96</v>
      </c>
      <c r="G135" s="442">
        <v>20.239999999999998</v>
      </c>
      <c r="H135" s="440">
        <v>10</v>
      </c>
      <c r="I135" s="28">
        <v>2</v>
      </c>
      <c r="J135" s="441">
        <f t="shared" si="28"/>
        <v>0.98814229249011865</v>
      </c>
      <c r="K135" s="28">
        <v>1</v>
      </c>
      <c r="L135" s="267">
        <f t="shared" si="29"/>
        <v>0.98814229249011865</v>
      </c>
      <c r="M135" s="433">
        <f t="shared" si="30"/>
        <v>197.62845849802372</v>
      </c>
      <c r="N135" s="434">
        <v>200</v>
      </c>
      <c r="O135" s="435">
        <f t="shared" si="31"/>
        <v>0.49407114624505932</v>
      </c>
      <c r="P135" s="22"/>
    </row>
    <row r="136" spans="1:16" ht="30">
      <c r="A136" s="13" t="s">
        <v>301</v>
      </c>
      <c r="B136" s="27" t="s">
        <v>97</v>
      </c>
      <c r="C136" s="13" t="s">
        <v>83</v>
      </c>
      <c r="D136" s="13">
        <v>119</v>
      </c>
      <c r="E136" s="13"/>
      <c r="F136" s="13" t="s">
        <v>12</v>
      </c>
      <c r="G136" s="442">
        <v>4.2699999999999996</v>
      </c>
      <c r="H136" s="440">
        <v>10</v>
      </c>
      <c r="I136" s="28">
        <v>2</v>
      </c>
      <c r="J136" s="441">
        <f t="shared" si="28"/>
        <v>4.6838407494145207</v>
      </c>
      <c r="K136" s="28">
        <v>1</v>
      </c>
      <c r="L136" s="267">
        <f t="shared" si="29"/>
        <v>4.6838407494145207</v>
      </c>
      <c r="M136" s="433">
        <f t="shared" si="30"/>
        <v>936.76814988290414</v>
      </c>
      <c r="N136" s="434">
        <v>200</v>
      </c>
      <c r="O136" s="435">
        <f t="shared" si="31"/>
        <v>2.3419203747072603</v>
      </c>
      <c r="P136" s="22"/>
    </row>
    <row r="137" spans="1:15" ht="15">
      <c r="A137" s="57" t="s">
        <v>530</v>
      </c>
      <c r="B137" s="269" t="s">
        <v>531</v>
      </c>
      <c r="C137" s="13" t="s">
        <v>33</v>
      </c>
      <c r="D137" s="13">
        <v>226</v>
      </c>
      <c r="E137" s="13"/>
      <c r="F137" s="13" t="s">
        <v>12</v>
      </c>
      <c r="G137" s="28">
        <v>10</v>
      </c>
      <c r="H137" s="440">
        <v>10</v>
      </c>
      <c r="I137" s="28">
        <v>1</v>
      </c>
      <c r="J137" s="441">
        <f t="shared" si="28"/>
        <v>1</v>
      </c>
      <c r="K137" s="442">
        <v>1</v>
      </c>
      <c r="L137" s="267">
        <f t="shared" si="29"/>
        <v>1</v>
      </c>
      <c r="M137" s="266">
        <f t="shared" si="30"/>
        <v>200</v>
      </c>
      <c r="N137" s="433">
        <v>200</v>
      </c>
      <c r="O137" s="435">
        <f t="shared" si="31"/>
        <v>1</v>
      </c>
    </row>
    <row r="138" spans="1:16" ht="15">
      <c r="A138" s="13" t="s">
        <v>290</v>
      </c>
      <c r="B138" s="27" t="s">
        <v>31</v>
      </c>
      <c r="C138" s="13" t="s">
        <v>14</v>
      </c>
      <c r="D138" s="13">
        <v>226</v>
      </c>
      <c r="E138" s="13"/>
      <c r="F138" s="13" t="s">
        <v>58</v>
      </c>
      <c r="G138" s="28">
        <v>61</v>
      </c>
      <c r="H138" s="440">
        <v>10</v>
      </c>
      <c r="I138" s="28">
        <v>1</v>
      </c>
      <c r="J138" s="441">
        <f t="shared" si="28"/>
        <v>0.16393442622950818</v>
      </c>
      <c r="K138" s="28">
        <v>6.60</v>
      </c>
      <c r="L138" s="267">
        <f t="shared" si="29"/>
        <v>1.081967213114754</v>
      </c>
      <c r="M138" s="433">
        <f t="shared" si="30"/>
        <v>216.3934426229508</v>
      </c>
      <c r="N138" s="434">
        <v>200</v>
      </c>
      <c r="O138" s="435">
        <f t="shared" si="31"/>
        <v>1.081967213114754</v>
      </c>
      <c r="P138" s="22"/>
    </row>
    <row r="139" spans="1:16" ht="15">
      <c r="A139" s="13" t="s">
        <v>302</v>
      </c>
      <c r="B139" s="27" t="s">
        <v>903</v>
      </c>
      <c r="C139" s="13" t="s">
        <v>523</v>
      </c>
      <c r="D139" s="13">
        <v>224</v>
      </c>
      <c r="E139" s="13"/>
      <c r="F139" s="13" t="s">
        <v>400</v>
      </c>
      <c r="G139" s="442">
        <v>50</v>
      </c>
      <c r="H139" s="440">
        <v>10</v>
      </c>
      <c r="I139" s="28">
        <v>2</v>
      </c>
      <c r="J139" s="441">
        <f t="shared" si="28"/>
        <v>0.40</v>
      </c>
      <c r="K139" s="28">
        <v>2</v>
      </c>
      <c r="L139" s="267">
        <f t="shared" si="29"/>
        <v>0.80</v>
      </c>
      <c r="M139" s="433">
        <f t="shared" si="30"/>
        <v>140.80000000000001</v>
      </c>
      <c r="N139" s="434">
        <v>176</v>
      </c>
      <c r="O139" s="435">
        <f t="shared" si="31"/>
        <v>0.40</v>
      </c>
      <c r="P139" s="22"/>
    </row>
    <row r="140" spans="1:16" ht="15">
      <c r="A140" s="13" t="s">
        <v>292</v>
      </c>
      <c r="B140" s="27" t="s">
        <v>21</v>
      </c>
      <c r="C140" s="13" t="s">
        <v>33</v>
      </c>
      <c r="D140" s="13">
        <v>219</v>
      </c>
      <c r="E140" s="13"/>
      <c r="F140" s="13" t="s">
        <v>12</v>
      </c>
      <c r="G140" s="569">
        <f>4.22*2</f>
        <v>8.44</v>
      </c>
      <c r="H140" s="440">
        <v>10</v>
      </c>
      <c r="I140" s="28">
        <v>2</v>
      </c>
      <c r="J140" s="441">
        <f t="shared" si="28"/>
        <v>2.3696682464454977</v>
      </c>
      <c r="K140" s="28">
        <v>1</v>
      </c>
      <c r="L140" s="267">
        <f t="shared" si="29"/>
        <v>2.3696682464454977</v>
      </c>
      <c r="M140" s="433">
        <f t="shared" si="30"/>
        <v>393.3649289099526</v>
      </c>
      <c r="N140" s="434">
        <v>166</v>
      </c>
      <c r="O140" s="435">
        <f t="shared" si="31"/>
        <v>1.1848341232227488</v>
      </c>
      <c r="P140" s="22"/>
    </row>
    <row r="141" spans="1:16" ht="30">
      <c r="A141" s="13" t="s">
        <v>406</v>
      </c>
      <c r="B141" s="27" t="s">
        <v>407</v>
      </c>
      <c r="C141" s="13" t="s">
        <v>14</v>
      </c>
      <c r="D141" s="13">
        <v>226</v>
      </c>
      <c r="E141" s="13"/>
      <c r="F141" s="13" t="s">
        <v>12</v>
      </c>
      <c r="G141" s="442">
        <v>61</v>
      </c>
      <c r="H141" s="440">
        <v>10</v>
      </c>
      <c r="I141" s="28">
        <v>1</v>
      </c>
      <c r="J141" s="441">
        <f t="shared" si="28"/>
        <v>0.16393442622950818</v>
      </c>
      <c r="K141" s="28">
        <v>1.1000000000000001</v>
      </c>
      <c r="L141" s="435">
        <f t="shared" si="29"/>
        <v>0.18032786885245902</v>
      </c>
      <c r="M141" s="266">
        <f t="shared" si="30"/>
        <v>36.065573770491802</v>
      </c>
      <c r="N141" s="433">
        <v>200</v>
      </c>
      <c r="O141" s="435">
        <f t="shared" si="31"/>
        <v>0.18032786885245902</v>
      </c>
      <c r="P141" s="22"/>
    </row>
    <row r="142" spans="1:16" ht="15">
      <c r="A142" s="13" t="s">
        <v>291</v>
      </c>
      <c r="B142" s="27" t="s">
        <v>101</v>
      </c>
      <c r="C142" s="13" t="s">
        <v>33</v>
      </c>
      <c r="D142" s="13">
        <v>219</v>
      </c>
      <c r="E142" s="13"/>
      <c r="F142" s="13" t="s">
        <v>12</v>
      </c>
      <c r="G142" s="442">
        <v>8.90</v>
      </c>
      <c r="H142" s="440">
        <v>10</v>
      </c>
      <c r="I142" s="28">
        <v>2</v>
      </c>
      <c r="J142" s="441">
        <f t="shared" si="28"/>
        <v>2.2471910112359548</v>
      </c>
      <c r="K142" s="28">
        <v>1</v>
      </c>
      <c r="L142" s="267">
        <f t="shared" si="29"/>
        <v>2.2471910112359548</v>
      </c>
      <c r="M142" s="433">
        <f t="shared" si="30"/>
        <v>449.43820224719093</v>
      </c>
      <c r="N142" s="434">
        <v>200</v>
      </c>
      <c r="O142" s="435">
        <f t="shared" si="31"/>
        <v>1.1235955056179774</v>
      </c>
      <c r="P142" s="22"/>
    </row>
    <row r="143" spans="1:16" ht="15">
      <c r="A143" s="13" t="s">
        <v>303</v>
      </c>
      <c r="B143" s="27" t="s">
        <v>304</v>
      </c>
      <c r="C143" s="13" t="s">
        <v>226</v>
      </c>
      <c r="D143" s="13">
        <v>302</v>
      </c>
      <c r="E143" s="13"/>
      <c r="F143" s="13" t="s">
        <v>103</v>
      </c>
      <c r="G143" s="432">
        <v>151</v>
      </c>
      <c r="H143" s="440">
        <v>10</v>
      </c>
      <c r="I143" s="28">
        <v>1</v>
      </c>
      <c r="J143" s="441">
        <f t="shared" si="28"/>
        <v>0.066225165562913912</v>
      </c>
      <c r="K143" s="28">
        <v>44</v>
      </c>
      <c r="L143" s="267">
        <f t="shared" si="29"/>
        <v>2.9139072847682121</v>
      </c>
      <c r="M143" s="433">
        <f t="shared" si="30"/>
        <v>512.84768211920539</v>
      </c>
      <c r="N143" s="434">
        <v>176</v>
      </c>
      <c r="O143" s="435">
        <f t="shared" si="31"/>
        <v>2.9139072847682121</v>
      </c>
      <c r="P143" s="22"/>
    </row>
    <row r="144" spans="1:16" ht="15">
      <c r="A144" s="13" t="s">
        <v>293</v>
      </c>
      <c r="B144" s="27" t="s">
        <v>102</v>
      </c>
      <c r="C144" s="13" t="s">
        <v>33</v>
      </c>
      <c r="D144" s="13">
        <v>219</v>
      </c>
      <c r="E144" s="13"/>
      <c r="F144" s="13" t="s">
        <v>103</v>
      </c>
      <c r="G144" s="28">
        <f>10*60/1</f>
        <v>600</v>
      </c>
      <c r="H144" s="440">
        <v>10</v>
      </c>
      <c r="I144" s="28">
        <v>1</v>
      </c>
      <c r="J144" s="441">
        <f t="shared" si="28"/>
        <v>0.016666666666666666</v>
      </c>
      <c r="K144" s="28">
        <v>44</v>
      </c>
      <c r="L144" s="267">
        <f t="shared" si="29"/>
        <v>0.73333333333333328</v>
      </c>
      <c r="M144" s="433">
        <f t="shared" si="30"/>
        <v>111.46666666666665</v>
      </c>
      <c r="N144" s="434">
        <v>152</v>
      </c>
      <c r="O144" s="435">
        <f t="shared" si="31"/>
        <v>0.73333333333333328</v>
      </c>
      <c r="P144" s="22"/>
    </row>
    <row r="145" spans="1:16" ht="15">
      <c r="A145" s="13" t="s">
        <v>305</v>
      </c>
      <c r="B145" s="27" t="s">
        <v>343</v>
      </c>
      <c r="C145" s="13" t="s">
        <v>14</v>
      </c>
      <c r="D145" s="13">
        <v>226</v>
      </c>
      <c r="E145" s="13"/>
      <c r="F145" s="13" t="s">
        <v>58</v>
      </c>
      <c r="G145" s="28">
        <v>55.20</v>
      </c>
      <c r="H145" s="440">
        <v>10</v>
      </c>
      <c r="I145" s="28">
        <v>1</v>
      </c>
      <c r="J145" s="441">
        <f t="shared" si="28"/>
        <v>0.18115942028985507</v>
      </c>
      <c r="K145" s="28">
        <v>1.53</v>
      </c>
      <c r="L145" s="435">
        <f t="shared" si="29"/>
        <v>0.27717391304347827</v>
      </c>
      <c r="M145" s="266">
        <f t="shared" si="30"/>
        <v>55.434782608695656</v>
      </c>
      <c r="N145" s="433">
        <v>200</v>
      </c>
      <c r="O145" s="435">
        <f t="shared" si="31"/>
        <v>0.27717391304347827</v>
      </c>
      <c r="P145" s="22"/>
    </row>
    <row r="146" spans="1:16" ht="30">
      <c r="A146" s="13" t="s">
        <v>306</v>
      </c>
      <c r="B146" s="27" t="s">
        <v>307</v>
      </c>
      <c r="C146" s="13" t="s">
        <v>14</v>
      </c>
      <c r="D146" s="13">
        <v>226</v>
      </c>
      <c r="E146" s="13"/>
      <c r="F146" s="13" t="s">
        <v>12</v>
      </c>
      <c r="G146" s="28">
        <v>10</v>
      </c>
      <c r="H146" s="440">
        <v>10</v>
      </c>
      <c r="I146" s="28">
        <v>1</v>
      </c>
      <c r="J146" s="441">
        <f t="shared" si="28"/>
        <v>1</v>
      </c>
      <c r="K146" s="28">
        <v>1</v>
      </c>
      <c r="L146" s="435">
        <f t="shared" si="29"/>
        <v>1</v>
      </c>
      <c r="M146" s="266">
        <f t="shared" si="30"/>
        <v>200</v>
      </c>
      <c r="N146" s="433">
        <v>200</v>
      </c>
      <c r="O146" s="435">
        <f t="shared" si="31"/>
        <v>1</v>
      </c>
      <c r="P146" s="22"/>
    </row>
    <row r="147" spans="1:16" ht="15">
      <c r="A147" s="13" t="s">
        <v>296</v>
      </c>
      <c r="B147" s="56" t="s">
        <v>105</v>
      </c>
      <c r="C147" s="13" t="s">
        <v>33</v>
      </c>
      <c r="D147" s="13">
        <v>219</v>
      </c>
      <c r="E147" s="13"/>
      <c r="F147" s="13" t="s">
        <v>96</v>
      </c>
      <c r="G147" s="28">
        <v>11.70</v>
      </c>
      <c r="H147" s="440">
        <v>10</v>
      </c>
      <c r="I147" s="28">
        <v>2</v>
      </c>
      <c r="J147" s="441">
        <f t="shared" si="28"/>
        <v>1.7094017094017095</v>
      </c>
      <c r="K147" s="28">
        <v>1</v>
      </c>
      <c r="L147" s="267">
        <f t="shared" si="29"/>
        <v>1.7094017094017095</v>
      </c>
      <c r="M147" s="433">
        <f t="shared" si="30"/>
        <v>341.88034188034192</v>
      </c>
      <c r="N147" s="434">
        <v>200</v>
      </c>
      <c r="O147" s="435">
        <f t="shared" si="31"/>
        <v>0.85470085470085477</v>
      </c>
      <c r="P147" s="22"/>
    </row>
    <row r="148" spans="1:16" ht="15">
      <c r="A148" s="523" t="s">
        <v>1695</v>
      </c>
      <c r="B148" s="522" t="s">
        <v>1696</v>
      </c>
      <c r="C148" s="523" t="s">
        <v>33</v>
      </c>
      <c r="D148" s="523">
        <v>226</v>
      </c>
      <c r="E148" s="523"/>
      <c r="F148" s="523" t="s">
        <v>12</v>
      </c>
      <c r="G148" s="527">
        <v>20</v>
      </c>
      <c r="H148" s="530">
        <v>10</v>
      </c>
      <c r="I148" s="527">
        <v>1</v>
      </c>
      <c r="J148" s="531">
        <f t="shared" si="28"/>
        <v>0.50</v>
      </c>
      <c r="K148" s="527">
        <v>1</v>
      </c>
      <c r="L148" s="267">
        <f t="shared" si="29"/>
        <v>0.50</v>
      </c>
      <c r="M148" s="433">
        <f t="shared" si="30"/>
        <v>100</v>
      </c>
      <c r="N148" s="434">
        <v>200</v>
      </c>
      <c r="O148" s="435">
        <f t="shared" si="31"/>
        <v>0.50</v>
      </c>
      <c r="P148" s="22"/>
    </row>
    <row r="149" spans="1:16" ht="15">
      <c r="A149" s="13" t="s">
        <v>308</v>
      </c>
      <c r="B149" s="27" t="s">
        <v>309</v>
      </c>
      <c r="C149" s="13" t="s">
        <v>14</v>
      </c>
      <c r="D149" s="13">
        <v>226</v>
      </c>
      <c r="E149" s="13"/>
      <c r="F149" s="13" t="s">
        <v>58</v>
      </c>
      <c r="G149" s="442">
        <v>55</v>
      </c>
      <c r="H149" s="440">
        <v>10</v>
      </c>
      <c r="I149" s="28">
        <v>1</v>
      </c>
      <c r="J149" s="441">
        <f t="shared" si="28"/>
        <v>0.18181818181818182</v>
      </c>
      <c r="K149" s="28">
        <v>3.40</v>
      </c>
      <c r="L149" s="435">
        <f t="shared" si="29"/>
        <v>0.61818181818181817</v>
      </c>
      <c r="M149" s="266">
        <f t="shared" si="30"/>
        <v>93.963636363636368</v>
      </c>
      <c r="N149" s="433">
        <v>152</v>
      </c>
      <c r="O149" s="435">
        <f t="shared" si="31"/>
        <v>0.61818181818181817</v>
      </c>
      <c r="P149" s="22"/>
    </row>
    <row r="150" spans="1:16" ht="15">
      <c r="A150" s="13" t="s">
        <v>294</v>
      </c>
      <c r="B150" s="27" t="s">
        <v>521</v>
      </c>
      <c r="C150" s="13" t="s">
        <v>14</v>
      </c>
      <c r="D150" s="13">
        <v>226</v>
      </c>
      <c r="E150" s="13"/>
      <c r="F150" s="13" t="s">
        <v>58</v>
      </c>
      <c r="G150" s="28">
        <v>23.16</v>
      </c>
      <c r="H150" s="440">
        <v>10</v>
      </c>
      <c r="I150" s="28">
        <v>1</v>
      </c>
      <c r="J150" s="441">
        <f t="shared" si="28"/>
        <v>0.43177892918825561</v>
      </c>
      <c r="K150" s="28">
        <v>5.67</v>
      </c>
      <c r="L150" s="267">
        <f t="shared" si="29"/>
        <v>2.4481865284974091</v>
      </c>
      <c r="M150" s="433">
        <f t="shared" si="30"/>
        <v>489.63730569948183</v>
      </c>
      <c r="N150" s="434">
        <v>200</v>
      </c>
      <c r="O150" s="435">
        <f t="shared" si="31"/>
        <v>2.4481865284974091</v>
      </c>
      <c r="P150" s="22"/>
    </row>
    <row r="151" spans="1:16" ht="15">
      <c r="A151" s="13" t="s">
        <v>1639</v>
      </c>
      <c r="B151" s="27" t="s">
        <v>1640</v>
      </c>
      <c r="C151" s="13" t="s">
        <v>33</v>
      </c>
      <c r="D151" s="13" t="s">
        <v>1333</v>
      </c>
      <c r="E151" s="13"/>
      <c r="F151" s="13" t="s">
        <v>12</v>
      </c>
      <c r="G151" s="442">
        <v>30</v>
      </c>
      <c r="H151" s="440">
        <v>10</v>
      </c>
      <c r="I151" s="28">
        <v>2</v>
      </c>
      <c r="J151" s="441">
        <f t="shared" si="28"/>
        <v>0.66666666666666663</v>
      </c>
      <c r="K151" s="28">
        <v>1</v>
      </c>
      <c r="L151" s="267">
        <f t="shared" si="29"/>
        <v>0.66666666666666663</v>
      </c>
      <c r="M151" s="433">
        <f t="shared" si="30"/>
        <v>101.33333333333333</v>
      </c>
      <c r="N151" s="434">
        <v>152</v>
      </c>
      <c r="O151" s="435">
        <f t="shared" si="31"/>
        <v>0.33333333333333331</v>
      </c>
      <c r="P151" s="21"/>
    </row>
    <row r="152" spans="1:16" ht="15">
      <c r="A152" s="13" t="s">
        <v>295</v>
      </c>
      <c r="B152" s="27" t="s">
        <v>104</v>
      </c>
      <c r="C152" s="13" t="s">
        <v>33</v>
      </c>
      <c r="D152" s="13" t="s">
        <v>1333</v>
      </c>
      <c r="E152" s="13"/>
      <c r="F152" s="13" t="s">
        <v>12</v>
      </c>
      <c r="G152" s="28">
        <v>12.95</v>
      </c>
      <c r="H152" s="440">
        <v>10</v>
      </c>
      <c r="I152" s="28">
        <v>2</v>
      </c>
      <c r="J152" s="441">
        <f t="shared" si="28"/>
        <v>1.5444015444015444</v>
      </c>
      <c r="K152" s="28">
        <v>1</v>
      </c>
      <c r="L152" s="267">
        <f t="shared" si="29"/>
        <v>1.5444015444015444</v>
      </c>
      <c r="M152" s="433">
        <f t="shared" si="30"/>
        <v>234.74903474903476</v>
      </c>
      <c r="N152" s="434">
        <v>152</v>
      </c>
      <c r="O152" s="435">
        <f t="shared" si="31"/>
        <v>0.77220077220077221</v>
      </c>
      <c r="P152" s="21"/>
    </row>
    <row r="153" spans="1:15" s="22" customFormat="1" ht="15">
      <c r="A153" s="443"/>
      <c r="B153" s="495" t="s">
        <v>15</v>
      </c>
      <c r="C153" s="443"/>
      <c r="D153" s="443"/>
      <c r="E153" s="443"/>
      <c r="F153" s="444"/>
      <c r="G153" s="443"/>
      <c r="H153" s="445"/>
      <c r="I153" s="443"/>
      <c r="J153" s="446"/>
      <c r="K153" s="443"/>
      <c r="L153" s="447">
        <f>SUM(L6:L152)</f>
        <v>182.44710615094678</v>
      </c>
      <c r="M153" s="455">
        <f>M19+M48+M61+M74+M85+M131+M81+M5</f>
        <v>36007.883313341277</v>
      </c>
      <c r="N153" s="110"/>
      <c r="O153" s="454">
        <f>O19+O48+O61+O74+O85+O131+O81+O5</f>
        <v>127.86317312218209</v>
      </c>
    </row>
    <row r="154" spans="12:15" ht="15">
      <c r="L154" s="448" t="s">
        <v>16</v>
      </c>
      <c r="O154" s="448" t="s">
        <v>17</v>
      </c>
    </row>
    <row r="155" spans="6:15" ht="15">
      <c r="F155" s="107"/>
      <c r="J155" s="450"/>
      <c r="K155" s="451" t="s">
        <v>18</v>
      </c>
      <c r="L155" s="452">
        <f>L153/G2</f>
        <v>150.65822142935323</v>
      </c>
      <c r="M155" s="450" t="s">
        <v>19</v>
      </c>
      <c r="N155" s="450"/>
      <c r="O155" s="450"/>
    </row>
    <row r="156" spans="6:6" ht="15">
      <c r="F156" s="107"/>
    </row>
    <row r="157" spans="2:8" ht="15">
      <c r="B157" s="493" t="s">
        <v>858</v>
      </c>
      <c r="C157" s="449"/>
      <c r="F157" s="107"/>
      <c r="H157" s="268"/>
    </row>
    <row r="158" spans="6:6" ht="15">
      <c r="F158" s="107"/>
    </row>
    <row r="159" spans="2:3" ht="15">
      <c r="B159" s="493" t="s">
        <v>848</v>
      </c>
      <c r="C159" s="449"/>
    </row>
    <row r="161" spans="2:3" ht="15">
      <c r="B161" s="493" t="s">
        <v>849</v>
      </c>
      <c r="C161" s="449"/>
    </row>
    <row r="164" ht="15" hidden="1"/>
    <row r="165" spans="1:8" ht="15" hidden="1">
      <c r="A165" s="481" t="s">
        <v>328</v>
      </c>
      <c r="B165" s="496" t="s">
        <v>329</v>
      </c>
      <c r="C165" s="481" t="s">
        <v>330</v>
      </c>
      <c r="D165" s="481" t="s">
        <v>331</v>
      </c>
      <c r="E165" s="481" t="s">
        <v>332</v>
      </c>
      <c r="F165" s="481" t="s">
        <v>333</v>
      </c>
      <c r="G165" s="427"/>
      <c r="H165" s="268"/>
    </row>
    <row r="166" spans="1:8" ht="30" hidden="1">
      <c r="A166" s="482">
        <v>1</v>
      </c>
      <c r="B166" s="483" t="s">
        <v>1201</v>
      </c>
      <c r="C166" s="482">
        <v>1.17</v>
      </c>
      <c r="D166" s="482">
        <v>2.34</v>
      </c>
      <c r="E166" s="482" t="s">
        <v>954</v>
      </c>
      <c r="F166" s="484">
        <v>44519</v>
      </c>
      <c r="G166" s="427"/>
      <c r="H166" s="268"/>
    </row>
    <row r="167" spans="1:8" ht="75" hidden="1">
      <c r="A167" s="482">
        <v>2</v>
      </c>
      <c r="B167" s="483" t="s">
        <v>1283</v>
      </c>
      <c r="C167" s="482">
        <v>600</v>
      </c>
      <c r="D167" s="482">
        <v>400</v>
      </c>
      <c r="E167" s="482" t="s">
        <v>954</v>
      </c>
      <c r="F167" s="484">
        <v>44602</v>
      </c>
      <c r="G167" s="427"/>
      <c r="H167" s="268"/>
    </row>
    <row r="168" spans="1:8" ht="30" hidden="1">
      <c r="A168" s="482">
        <v>3</v>
      </c>
      <c r="B168" s="483" t="s">
        <v>1284</v>
      </c>
      <c r="C168" s="485"/>
      <c r="D168" s="485"/>
      <c r="E168" s="482" t="s">
        <v>954</v>
      </c>
      <c r="F168" s="484">
        <v>44602</v>
      </c>
      <c r="G168" s="427"/>
      <c r="H168" s="268"/>
    </row>
    <row r="169" ht="15.75" hidden="1" thickBot="1"/>
    <row r="170" spans="1:15" ht="15" hidden="1">
      <c r="A170" s="500" t="s">
        <v>328</v>
      </c>
      <c r="B170" s="631" t="s">
        <v>1593</v>
      </c>
      <c r="C170" s="632"/>
      <c r="D170" s="633"/>
      <c r="E170" s="501" t="s">
        <v>332</v>
      </c>
      <c r="F170" s="502" t="s">
        <v>333</v>
      </c>
      <c r="G170" s="427"/>
      <c r="H170" s="268"/>
      <c r="O170" s="503"/>
    </row>
    <row r="171" spans="1:15" ht="15.75" hidden="1" thickBot="1">
      <c r="A171" s="504">
        <v>1</v>
      </c>
      <c r="B171" s="634" t="s">
        <v>1594</v>
      </c>
      <c r="C171" s="635"/>
      <c r="D171" s="636"/>
      <c r="E171" s="505" t="s">
        <v>1334</v>
      </c>
      <c r="F171" s="506">
        <v>44677</v>
      </c>
      <c r="G171" s="427"/>
      <c r="H171" s="268"/>
      <c r="O171" s="503"/>
    </row>
    <row r="172" spans="1:15" ht="15" hidden="1">
      <c r="A172" s="54" t="s">
        <v>656</v>
      </c>
      <c r="B172" s="55" t="s">
        <v>1098</v>
      </c>
      <c r="C172" s="13" t="s">
        <v>862</v>
      </c>
      <c r="D172" s="13">
        <v>224</v>
      </c>
      <c r="E172" s="13"/>
      <c r="F172" s="17"/>
      <c r="G172" s="432">
        <f>(600-20)/3</f>
        <v>193.33333333333334</v>
      </c>
      <c r="H172" s="440">
        <v>10</v>
      </c>
      <c r="I172" s="28">
        <v>2</v>
      </c>
      <c r="J172" s="441">
        <f>H172/G172*I172</f>
        <v>0.10344827586206896</v>
      </c>
      <c r="K172" s="28">
        <v>3</v>
      </c>
      <c r="L172" s="267">
        <f>J172*K172</f>
        <v>0.31034482758620691</v>
      </c>
      <c r="M172" s="433">
        <f>L172*N172</f>
        <v>62.068965517241381</v>
      </c>
      <c r="N172" s="434">
        <v>200</v>
      </c>
      <c r="O172" s="435">
        <f>J172/I172*K172</f>
        <v>0.15517241379310345</v>
      </c>
    </row>
    <row r="173" spans="1:15" ht="15" hidden="1">
      <c r="A173" s="645" t="s">
        <v>198</v>
      </c>
      <c r="B173" s="639" t="s">
        <v>889</v>
      </c>
      <c r="C173" s="13" t="s">
        <v>28</v>
      </c>
      <c r="D173" s="13">
        <v>112</v>
      </c>
      <c r="E173" s="13"/>
      <c r="F173" s="4" t="s">
        <v>868</v>
      </c>
      <c r="G173" s="28">
        <v>15</v>
      </c>
      <c r="H173" s="437">
        <v>10</v>
      </c>
      <c r="I173" s="28">
        <v>2</v>
      </c>
      <c r="J173" s="438">
        <f>H173/G173*I173</f>
        <v>1.3333333333333333</v>
      </c>
      <c r="K173" s="28">
        <v>1</v>
      </c>
      <c r="L173" s="267">
        <f>J173*K173</f>
        <v>1.3333333333333333</v>
      </c>
      <c r="M173" s="433">
        <f>L173*N173</f>
        <v>266.66666666666663</v>
      </c>
      <c r="N173" s="434">
        <v>200</v>
      </c>
      <c r="O173" s="435">
        <f>J173/I173*K173</f>
        <v>0.66666666666666663</v>
      </c>
    </row>
    <row r="174" spans="1:15" ht="15.75" hidden="1" thickBot="1">
      <c r="A174" s="647"/>
      <c r="B174" s="641"/>
      <c r="C174" s="13" t="s">
        <v>49</v>
      </c>
      <c r="D174" s="13">
        <v>112</v>
      </c>
      <c r="E174" s="13" t="s">
        <v>869</v>
      </c>
      <c r="F174" s="13" t="s">
        <v>10</v>
      </c>
      <c r="G174" s="28">
        <v>40</v>
      </c>
      <c r="H174" s="437">
        <v>10</v>
      </c>
      <c r="I174" s="28">
        <v>1</v>
      </c>
      <c r="J174" s="438">
        <f>H174/G174*I174</f>
        <v>0.25</v>
      </c>
      <c r="K174" s="436">
        <f>(1240+520*2+400)/1000</f>
        <v>2.68</v>
      </c>
      <c r="L174" s="267">
        <f>J174*K174</f>
        <v>0.67</v>
      </c>
      <c r="M174" s="433">
        <f>L174*N174</f>
        <v>134</v>
      </c>
      <c r="N174" s="434">
        <v>200</v>
      </c>
      <c r="O174" s="435">
        <f>J174/I174*K174</f>
        <v>0.67</v>
      </c>
    </row>
    <row r="175" spans="1:15" ht="15" hidden="1">
      <c r="A175" s="500" t="s">
        <v>328</v>
      </c>
      <c r="B175" s="631" t="s">
        <v>1593</v>
      </c>
      <c r="C175" s="632"/>
      <c r="D175" s="633"/>
      <c r="E175" s="501" t="s">
        <v>332</v>
      </c>
      <c r="F175" s="502" t="s">
        <v>333</v>
      </c>
      <c r="G175" s="427"/>
      <c r="H175" s="268"/>
      <c r="O175" s="503"/>
    </row>
    <row r="176" spans="1:15" ht="15.75" hidden="1" thickBot="1">
      <c r="A176" s="504">
        <v>2</v>
      </c>
      <c r="B176" s="634" t="s">
        <v>1605</v>
      </c>
      <c r="C176" s="635"/>
      <c r="D176" s="636"/>
      <c r="E176" s="505" t="s">
        <v>1334</v>
      </c>
      <c r="F176" s="506">
        <v>44677</v>
      </c>
      <c r="G176" s="427"/>
      <c r="H176" s="268"/>
      <c r="O176" s="503"/>
    </row>
    <row r="177" spans="1:15" ht="15" hidden="1">
      <c r="A177" s="57" t="s">
        <v>1285</v>
      </c>
      <c r="B177" s="56" t="s">
        <v>1595</v>
      </c>
      <c r="C177" s="13" t="s">
        <v>1601</v>
      </c>
      <c r="D177" s="13">
        <v>105</v>
      </c>
      <c r="E177" s="13"/>
      <c r="F177" s="13" t="s">
        <v>353</v>
      </c>
      <c r="G177" s="442">
        <v>24.70</v>
      </c>
      <c r="H177" s="440">
        <v>10</v>
      </c>
      <c r="I177" s="28">
        <v>1</v>
      </c>
      <c r="J177" s="441">
        <f t="shared" si="32" ref="J177:J183">H177/G177*I177</f>
        <v>0.40485829959514169</v>
      </c>
      <c r="K177" s="432">
        <v>1</v>
      </c>
      <c r="L177" s="435">
        <f t="shared" si="33" ref="L177:L183">J177*K177</f>
        <v>0.40485829959514169</v>
      </c>
      <c r="M177" s="266">
        <f t="shared" si="34" ref="M177:M183">L177*N177</f>
        <v>80.97165991902834</v>
      </c>
      <c r="N177" s="433">
        <v>200</v>
      </c>
      <c r="O177" s="435">
        <f t="shared" si="35" ref="O177:O183">J177/I177*K177</f>
        <v>0.40485829959514169</v>
      </c>
    </row>
    <row r="178" spans="1:15" ht="15" hidden="1">
      <c r="A178" s="57" t="s">
        <v>648</v>
      </c>
      <c r="B178" s="508" t="s">
        <v>1596</v>
      </c>
      <c r="C178" s="13" t="s">
        <v>1602</v>
      </c>
      <c r="D178" s="13">
        <v>108</v>
      </c>
      <c r="E178" s="13"/>
      <c r="F178" s="13" t="s">
        <v>10</v>
      </c>
      <c r="G178" s="28">
        <v>40</v>
      </c>
      <c r="H178" s="440">
        <v>10</v>
      </c>
      <c r="I178" s="28">
        <v>1</v>
      </c>
      <c r="J178" s="453">
        <f t="shared" si="32"/>
        <v>0.25</v>
      </c>
      <c r="K178" s="436">
        <f>149*2/1000</f>
        <v>0.29799999999999999</v>
      </c>
      <c r="L178" s="267">
        <f t="shared" si="33"/>
        <v>0.074499999999999997</v>
      </c>
      <c r="M178" s="433">
        <f t="shared" si="34"/>
        <v>14.90</v>
      </c>
      <c r="N178" s="434">
        <v>200</v>
      </c>
      <c r="O178" s="435">
        <f t="shared" si="35"/>
        <v>0.074499999999999997</v>
      </c>
    </row>
    <row r="179" spans="1:15" ht="15" hidden="1">
      <c r="A179" s="57" t="s">
        <v>1288</v>
      </c>
      <c r="B179" s="56" t="s">
        <v>1597</v>
      </c>
      <c r="C179" s="13" t="s">
        <v>1601</v>
      </c>
      <c r="D179" s="13">
        <v>105</v>
      </c>
      <c r="E179" s="13"/>
      <c r="F179" s="13" t="s">
        <v>353</v>
      </c>
      <c r="G179" s="442">
        <f>24.7/0.65</f>
        <v>38</v>
      </c>
      <c r="H179" s="440">
        <v>10</v>
      </c>
      <c r="I179" s="28">
        <v>1</v>
      </c>
      <c r="J179" s="441">
        <f t="shared" si="32"/>
        <v>0.26315789473684209</v>
      </c>
      <c r="K179" s="432">
        <v>1</v>
      </c>
      <c r="L179" s="435">
        <f t="shared" si="33"/>
        <v>0.26315789473684209</v>
      </c>
      <c r="M179" s="266">
        <f t="shared" si="34"/>
        <v>52.631578947368418</v>
      </c>
      <c r="N179" s="433">
        <v>200</v>
      </c>
      <c r="O179" s="435">
        <f t="shared" si="35"/>
        <v>0.26315789473684209</v>
      </c>
    </row>
    <row r="180" spans="1:15" ht="15" hidden="1">
      <c r="A180" s="57" t="s">
        <v>176</v>
      </c>
      <c r="B180" s="56" t="s">
        <v>1598</v>
      </c>
      <c r="C180" s="13" t="s">
        <v>154</v>
      </c>
      <c r="D180" s="13">
        <v>124</v>
      </c>
      <c r="E180" s="13"/>
      <c r="F180" s="13" t="s">
        <v>354</v>
      </c>
      <c r="G180" s="507">
        <v>6.34</v>
      </c>
      <c r="H180" s="440">
        <v>10</v>
      </c>
      <c r="I180" s="28">
        <v>1</v>
      </c>
      <c r="J180" s="441">
        <f t="shared" si="32"/>
        <v>1.5772870662460567</v>
      </c>
      <c r="K180" s="432">
        <v>1</v>
      </c>
      <c r="L180" s="267">
        <f t="shared" si="33"/>
        <v>1.5772870662460567</v>
      </c>
      <c r="M180" s="433">
        <f t="shared" si="34"/>
        <v>315.45741324921136</v>
      </c>
      <c r="N180" s="434">
        <v>200</v>
      </c>
      <c r="O180" s="435">
        <f t="shared" si="35"/>
        <v>1.5772870662460567</v>
      </c>
    </row>
    <row r="181" spans="1:15" ht="30" hidden="1">
      <c r="A181" s="57" t="s">
        <v>1289</v>
      </c>
      <c r="B181" s="56" t="s">
        <v>1607</v>
      </c>
      <c r="C181" s="13" t="s">
        <v>24</v>
      </c>
      <c r="D181" s="13">
        <v>117</v>
      </c>
      <c r="E181" s="13"/>
      <c r="F181" s="4" t="s">
        <v>38</v>
      </c>
      <c r="G181" s="442">
        <v>20</v>
      </c>
      <c r="H181" s="440">
        <v>10</v>
      </c>
      <c r="I181" s="28">
        <v>2</v>
      </c>
      <c r="J181" s="441">
        <f t="shared" si="32"/>
        <v>1</v>
      </c>
      <c r="K181" s="28">
        <v>1</v>
      </c>
      <c r="L181" s="267">
        <f t="shared" si="33"/>
        <v>1</v>
      </c>
      <c r="M181" s="433">
        <f t="shared" si="34"/>
        <v>200</v>
      </c>
      <c r="N181" s="434">
        <v>200</v>
      </c>
      <c r="O181" s="435">
        <f t="shared" si="35"/>
        <v>0.50</v>
      </c>
    </row>
    <row r="182" spans="1:15" ht="30" hidden="1">
      <c r="A182" s="13" t="s">
        <v>1290</v>
      </c>
      <c r="B182" s="56" t="s">
        <v>1608</v>
      </c>
      <c r="C182" s="13" t="s">
        <v>160</v>
      </c>
      <c r="D182" s="13">
        <v>117</v>
      </c>
      <c r="E182" s="13" t="s">
        <v>1603</v>
      </c>
      <c r="F182" s="13" t="s">
        <v>10</v>
      </c>
      <c r="G182" s="28">
        <v>40</v>
      </c>
      <c r="H182" s="440">
        <v>10</v>
      </c>
      <c r="I182" s="28">
        <v>1</v>
      </c>
      <c r="J182" s="441">
        <f t="shared" si="32"/>
        <v>0.25</v>
      </c>
      <c r="K182" s="436">
        <f>544*3.1415*2/1000</f>
        <v>3.4179520000000001</v>
      </c>
      <c r="L182" s="267">
        <f t="shared" si="33"/>
        <v>0.85448800000000003</v>
      </c>
      <c r="M182" s="433">
        <f t="shared" si="34"/>
        <v>170.89760000000001</v>
      </c>
      <c r="N182" s="434">
        <v>200</v>
      </c>
      <c r="O182" s="435">
        <f t="shared" si="35"/>
        <v>0.85448800000000003</v>
      </c>
    </row>
    <row r="183" spans="1:15" ht="30.75" hidden="1" thickBot="1">
      <c r="A183" s="57" t="s">
        <v>1291</v>
      </c>
      <c r="B183" s="56" t="s">
        <v>1599</v>
      </c>
      <c r="C183" s="13" t="s">
        <v>24</v>
      </c>
      <c r="D183" s="13">
        <v>110</v>
      </c>
      <c r="E183" s="13"/>
      <c r="F183" s="4" t="s">
        <v>38</v>
      </c>
      <c r="G183" s="442">
        <v>20</v>
      </c>
      <c r="H183" s="440">
        <v>10</v>
      </c>
      <c r="I183" s="28">
        <v>2</v>
      </c>
      <c r="J183" s="441">
        <f t="shared" si="32"/>
        <v>1</v>
      </c>
      <c r="K183" s="28">
        <v>1</v>
      </c>
      <c r="L183" s="267">
        <f t="shared" si="33"/>
        <v>1</v>
      </c>
      <c r="M183" s="433">
        <f t="shared" si="34"/>
        <v>200</v>
      </c>
      <c r="N183" s="434">
        <v>200</v>
      </c>
      <c r="O183" s="435">
        <f t="shared" si="35"/>
        <v>0.50</v>
      </c>
    </row>
    <row r="184" spans="1:15" ht="15" hidden="1">
      <c r="A184" s="500" t="s">
        <v>328</v>
      </c>
      <c r="B184" s="631" t="s">
        <v>1593</v>
      </c>
      <c r="C184" s="632"/>
      <c r="D184" s="633"/>
      <c r="E184" s="501" t="s">
        <v>332</v>
      </c>
      <c r="F184" s="502" t="s">
        <v>333</v>
      </c>
      <c r="G184" s="427"/>
      <c r="H184" s="268"/>
      <c r="O184" s="503"/>
    </row>
    <row r="185" spans="1:15" ht="15.75" hidden="1" thickBot="1">
      <c r="A185" s="504">
        <v>3</v>
      </c>
      <c r="B185" s="634" t="s">
        <v>1606</v>
      </c>
      <c r="C185" s="635"/>
      <c r="D185" s="636"/>
      <c r="E185" s="505" t="s">
        <v>1334</v>
      </c>
      <c r="F185" s="506">
        <v>44677</v>
      </c>
      <c r="G185" s="427"/>
      <c r="H185" s="268"/>
      <c r="O185" s="503"/>
    </row>
    <row r="186" spans="1:15" ht="15" hidden="1">
      <c r="A186" s="637" t="s">
        <v>177</v>
      </c>
      <c r="B186" s="638" t="s">
        <v>178</v>
      </c>
      <c r="C186" s="13" t="s">
        <v>39</v>
      </c>
      <c r="D186" s="13">
        <v>110</v>
      </c>
      <c r="E186" s="13"/>
      <c r="F186" s="4" t="s">
        <v>179</v>
      </c>
      <c r="G186" s="28">
        <v>22</v>
      </c>
      <c r="H186" s="440">
        <v>10</v>
      </c>
      <c r="I186" s="28">
        <v>2</v>
      </c>
      <c r="J186" s="441">
        <f t="shared" si="36" ref="J186:J188">H186/G186*I186</f>
        <v>0.90909090909090906</v>
      </c>
      <c r="K186" s="28">
        <v>1</v>
      </c>
      <c r="L186" s="435">
        <f t="shared" si="37" ref="L186:L188">J186*K186</f>
        <v>0.90909090909090906</v>
      </c>
      <c r="M186" s="266">
        <f t="shared" si="38" ref="M186:M188">L186*N186</f>
        <v>181.81818181818181</v>
      </c>
      <c r="N186" s="433">
        <v>200</v>
      </c>
      <c r="O186" s="435">
        <f t="shared" si="39" ref="O186:O188">J186/I186*K186</f>
        <v>0.45454545454545453</v>
      </c>
    </row>
    <row r="187" spans="1:15" ht="15" hidden="1">
      <c r="A187" s="637"/>
      <c r="B187" s="638"/>
      <c r="C187" s="13" t="s">
        <v>180</v>
      </c>
      <c r="D187" s="13">
        <v>110</v>
      </c>
      <c r="E187" s="13" t="s">
        <v>65</v>
      </c>
      <c r="F187" s="13" t="s">
        <v>10</v>
      </c>
      <c r="G187" s="28">
        <v>40</v>
      </c>
      <c r="H187" s="440">
        <v>10</v>
      </c>
      <c r="I187" s="28">
        <v>1</v>
      </c>
      <c r="J187" s="441">
        <f t="shared" si="36"/>
        <v>0.25</v>
      </c>
      <c r="K187" s="436">
        <f>202*2/1000</f>
        <v>0.40400000000000003</v>
      </c>
      <c r="L187" s="435">
        <f t="shared" si="37"/>
        <v>0.10100000000000001</v>
      </c>
      <c r="M187" s="266">
        <f t="shared" si="38"/>
        <v>20.200000000000003</v>
      </c>
      <c r="N187" s="433">
        <v>200</v>
      </c>
      <c r="O187" s="435">
        <f t="shared" si="39"/>
        <v>0.10100000000000001</v>
      </c>
    </row>
    <row r="188" spans="1:15" ht="30.75" hidden="1" thickBot="1">
      <c r="A188" s="13" t="s">
        <v>177</v>
      </c>
      <c r="B188" s="56" t="s">
        <v>1600</v>
      </c>
      <c r="C188" s="13" t="s">
        <v>160</v>
      </c>
      <c r="D188" s="13">
        <v>110</v>
      </c>
      <c r="E188" s="13" t="s">
        <v>1604</v>
      </c>
      <c r="F188" s="13" t="s">
        <v>10</v>
      </c>
      <c r="G188" s="28">
        <v>40</v>
      </c>
      <c r="H188" s="440">
        <v>10</v>
      </c>
      <c r="I188" s="28">
        <v>1</v>
      </c>
      <c r="J188" s="441">
        <f t="shared" si="36"/>
        <v>0.25</v>
      </c>
      <c r="K188" s="436">
        <f>560*3.1415/1000</f>
        <v>1.7592399999999999</v>
      </c>
      <c r="L188" s="267">
        <f t="shared" si="37"/>
        <v>0.43980999999999998</v>
      </c>
      <c r="M188" s="433">
        <f t="shared" si="38"/>
        <v>87.961999999999989</v>
      </c>
      <c r="N188" s="434">
        <v>200</v>
      </c>
      <c r="O188" s="435">
        <f t="shared" si="39"/>
        <v>0.43980999999999998</v>
      </c>
    </row>
    <row r="189" spans="1:15" ht="15" hidden="1">
      <c r="A189" s="500" t="s">
        <v>328</v>
      </c>
      <c r="B189" s="631" t="s">
        <v>1593</v>
      </c>
      <c r="C189" s="632"/>
      <c r="D189" s="633"/>
      <c r="E189" s="501" t="s">
        <v>332</v>
      </c>
      <c r="F189" s="502" t="s">
        <v>333</v>
      </c>
      <c r="G189" s="427"/>
      <c r="H189" s="268"/>
      <c r="O189" s="503"/>
    </row>
    <row r="190" spans="1:15" ht="15.75" hidden="1" thickBot="1">
      <c r="A190" s="504">
        <v>4</v>
      </c>
      <c r="B190" s="634" t="s">
        <v>1605</v>
      </c>
      <c r="C190" s="635"/>
      <c r="D190" s="636"/>
      <c r="E190" s="505" t="s">
        <v>1334</v>
      </c>
      <c r="F190" s="506">
        <v>44677</v>
      </c>
      <c r="G190" s="427"/>
      <c r="H190" s="268"/>
      <c r="O190" s="503"/>
    </row>
    <row r="191" spans="1:16" ht="15" hidden="1">
      <c r="A191" s="13" t="s">
        <v>1639</v>
      </c>
      <c r="B191" s="27" t="s">
        <v>1640</v>
      </c>
      <c r="C191" s="13" t="s">
        <v>33</v>
      </c>
      <c r="D191" s="13" t="s">
        <v>1333</v>
      </c>
      <c r="E191" s="13"/>
      <c r="F191" s="13" t="s">
        <v>12</v>
      </c>
      <c r="G191" s="442">
        <v>30</v>
      </c>
      <c r="H191" s="440">
        <v>10</v>
      </c>
      <c r="I191" s="28">
        <v>2</v>
      </c>
      <c r="J191" s="441">
        <f t="shared" si="40" ref="J191">H191/G191*I191</f>
        <v>0.66666666666666663</v>
      </c>
      <c r="K191" s="28">
        <v>1</v>
      </c>
      <c r="L191" s="267">
        <f t="shared" si="41" ref="L191">J191*K191</f>
        <v>0.66666666666666663</v>
      </c>
      <c r="M191" s="433">
        <f t="shared" si="42" ref="M191">L191*N191</f>
        <v>101.33333333333333</v>
      </c>
      <c r="N191" s="434">
        <v>152</v>
      </c>
      <c r="O191" s="435">
        <f t="shared" si="43" ref="O191">J191/I191*K191</f>
        <v>0.33333333333333331</v>
      </c>
      <c r="P191" s="21"/>
    </row>
    <row r="192" ht="15.75" thickBot="1"/>
    <row r="193" spans="1:7" ht="15">
      <c r="A193" s="500" t="s">
        <v>328</v>
      </c>
      <c r="B193" s="631" t="s">
        <v>1593</v>
      </c>
      <c r="C193" s="632"/>
      <c r="D193" s="633"/>
      <c r="E193" s="501" t="s">
        <v>332</v>
      </c>
      <c r="F193" s="502" t="s">
        <v>333</v>
      </c>
      <c r="G193" s="68"/>
    </row>
    <row r="194" spans="1:7" ht="15.75" thickBot="1">
      <c r="A194" s="504">
        <v>5</v>
      </c>
      <c r="B194" s="634" t="s">
        <v>1605</v>
      </c>
      <c r="C194" s="635"/>
      <c r="D194" s="636"/>
      <c r="E194" s="505" t="s">
        <v>1682</v>
      </c>
      <c r="F194" s="506">
        <v>44987</v>
      </c>
      <c r="G194" s="68"/>
    </row>
    <row r="195" spans="1:15" ht="30">
      <c r="A195" s="529" t="s">
        <v>1662</v>
      </c>
      <c r="B195" s="522" t="s">
        <v>1661</v>
      </c>
      <c r="C195" s="523" t="s">
        <v>9</v>
      </c>
      <c r="D195" s="523">
        <v>109</v>
      </c>
      <c r="E195" s="523"/>
      <c r="F195" s="524" t="s">
        <v>10</v>
      </c>
      <c r="G195" s="525">
        <v>33</v>
      </c>
      <c r="H195" s="526">
        <v>10</v>
      </c>
      <c r="I195" s="527">
        <v>1</v>
      </c>
      <c r="J195" s="528">
        <f t="shared" si="44" ref="J195:J199">H195/G195*I195</f>
        <v>0.30303030303030304</v>
      </c>
      <c r="K195" s="525">
        <f>(350*2)/1000</f>
        <v>0.70</v>
      </c>
      <c r="L195" s="267">
        <f t="shared" si="45" ref="L195:L199">J195*K195</f>
        <v>0.21212121212121213</v>
      </c>
      <c r="M195" s="266">
        <f t="shared" si="46" ref="M195:M199">L195*N195</f>
        <v>32.242424242424242</v>
      </c>
      <c r="N195" s="433">
        <v>152</v>
      </c>
      <c r="O195" s="267">
        <f t="shared" si="47" ref="O195:O199">J195/I195*K195</f>
        <v>0.21212121212121213</v>
      </c>
    </row>
    <row r="196" spans="1:15" ht="30">
      <c r="A196" s="523" t="s">
        <v>1668</v>
      </c>
      <c r="B196" s="522" t="s">
        <v>1670</v>
      </c>
      <c r="C196" s="523" t="s">
        <v>33</v>
      </c>
      <c r="D196" s="523">
        <v>116</v>
      </c>
      <c r="E196" s="523"/>
      <c r="F196" s="523" t="s">
        <v>1666</v>
      </c>
      <c r="G196" s="527">
        <v>13.27</v>
      </c>
      <c r="H196" s="530">
        <v>10</v>
      </c>
      <c r="I196" s="527">
        <v>2</v>
      </c>
      <c r="J196" s="531">
        <f t="shared" si="44"/>
        <v>1.5071590052750565</v>
      </c>
      <c r="K196" s="527">
        <v>1</v>
      </c>
      <c r="L196" s="267">
        <f t="shared" si="45"/>
        <v>1.5071590052750565</v>
      </c>
      <c r="M196" s="433">
        <f t="shared" si="46"/>
        <v>301.43180105501131</v>
      </c>
      <c r="N196" s="434">
        <v>200</v>
      </c>
      <c r="O196" s="435">
        <f t="shared" si="47"/>
        <v>0.75357950263752826</v>
      </c>
    </row>
    <row r="197" spans="1:15" ht="30">
      <c r="A197" s="523" t="s">
        <v>1669</v>
      </c>
      <c r="B197" s="522" t="s">
        <v>1671</v>
      </c>
      <c r="C197" s="523" t="s">
        <v>33</v>
      </c>
      <c r="D197" s="523">
        <v>116</v>
      </c>
      <c r="E197" s="523"/>
      <c r="F197" s="523" t="s">
        <v>10</v>
      </c>
      <c r="G197" s="527">
        <v>40</v>
      </c>
      <c r="H197" s="530">
        <v>10</v>
      </c>
      <c r="I197" s="527">
        <v>1</v>
      </c>
      <c r="J197" s="531">
        <f t="shared" si="44"/>
        <v>0.25</v>
      </c>
      <c r="K197" s="525">
        <f>3347/1000</f>
        <v>3.347</v>
      </c>
      <c r="L197" s="267">
        <f t="shared" si="45"/>
        <v>0.83674999999999999</v>
      </c>
      <c r="M197" s="433">
        <f t="shared" si="46"/>
        <v>167.35</v>
      </c>
      <c r="N197" s="434">
        <v>200</v>
      </c>
      <c r="O197" s="435">
        <f t="shared" si="47"/>
        <v>0.83674999999999999</v>
      </c>
    </row>
    <row r="198" spans="1:15" ht="30">
      <c r="A198" s="523" t="s">
        <v>1663</v>
      </c>
      <c r="B198" s="522" t="s">
        <v>1665</v>
      </c>
      <c r="C198" s="523" t="s">
        <v>33</v>
      </c>
      <c r="D198" s="523">
        <v>116</v>
      </c>
      <c r="E198" s="523"/>
      <c r="F198" s="523" t="s">
        <v>1666</v>
      </c>
      <c r="G198" s="527">
        <v>12.86</v>
      </c>
      <c r="H198" s="530">
        <v>10</v>
      </c>
      <c r="I198" s="527">
        <v>2</v>
      </c>
      <c r="J198" s="531">
        <f t="shared" si="44"/>
        <v>1.5552099533437014</v>
      </c>
      <c r="K198" s="527">
        <v>1</v>
      </c>
      <c r="L198" s="267">
        <f t="shared" si="45"/>
        <v>1.5552099533437014</v>
      </c>
      <c r="M198" s="433">
        <f t="shared" si="46"/>
        <v>311.04199066874025</v>
      </c>
      <c r="N198" s="434">
        <v>200</v>
      </c>
      <c r="O198" s="435">
        <f t="shared" si="47"/>
        <v>0.77760497667185069</v>
      </c>
    </row>
    <row r="199" spans="1:15" ht="30">
      <c r="A199" s="523" t="s">
        <v>1664</v>
      </c>
      <c r="B199" s="522" t="s">
        <v>1667</v>
      </c>
      <c r="C199" s="523" t="s">
        <v>33</v>
      </c>
      <c r="D199" s="523">
        <v>116</v>
      </c>
      <c r="E199" s="523"/>
      <c r="F199" s="523" t="s">
        <v>10</v>
      </c>
      <c r="G199" s="527">
        <v>40</v>
      </c>
      <c r="H199" s="530">
        <v>10</v>
      </c>
      <c r="I199" s="527">
        <v>1</v>
      </c>
      <c r="J199" s="531">
        <f t="shared" si="44"/>
        <v>0.25</v>
      </c>
      <c r="K199" s="525">
        <f>3340/1000</f>
        <v>3.34</v>
      </c>
      <c r="L199" s="267">
        <f t="shared" si="45"/>
        <v>0.835</v>
      </c>
      <c r="M199" s="433">
        <f t="shared" si="46"/>
        <v>167</v>
      </c>
      <c r="N199" s="434">
        <v>200</v>
      </c>
      <c r="O199" s="435">
        <f t="shared" si="47"/>
        <v>0.835</v>
      </c>
    </row>
    <row r="200" ht="15.75" thickBot="1"/>
    <row r="201" spans="1:6" ht="15">
      <c r="A201" s="500" t="s">
        <v>328</v>
      </c>
      <c r="B201" s="631" t="s">
        <v>1593</v>
      </c>
      <c r="C201" s="632"/>
      <c r="D201" s="633"/>
      <c r="E201" s="501" t="s">
        <v>332</v>
      </c>
      <c r="F201" s="502" t="s">
        <v>333</v>
      </c>
    </row>
    <row r="202" spans="1:6" ht="15.75" thickBot="1">
      <c r="A202" s="504">
        <v>6</v>
      </c>
      <c r="B202" s="634" t="s">
        <v>1605</v>
      </c>
      <c r="C202" s="635"/>
      <c r="D202" s="636"/>
      <c r="E202" s="505" t="s">
        <v>1682</v>
      </c>
      <c r="F202" s="506">
        <v>45055</v>
      </c>
    </row>
    <row r="203" spans="1:15" ht="15">
      <c r="A203" s="523" t="s">
        <v>1695</v>
      </c>
      <c r="B203" s="522" t="s">
        <v>1696</v>
      </c>
      <c r="C203" s="523" t="s">
        <v>33</v>
      </c>
      <c r="D203" s="523">
        <v>226</v>
      </c>
      <c r="E203" s="523"/>
      <c r="F203" s="523" t="s">
        <v>12</v>
      </c>
      <c r="G203" s="527">
        <v>20</v>
      </c>
      <c r="H203" s="530">
        <v>10</v>
      </c>
      <c r="I203" s="527">
        <v>1</v>
      </c>
      <c r="J203" s="531">
        <f t="shared" si="48" ref="J203">H203/G203*I203</f>
        <v>0.50</v>
      </c>
      <c r="K203" s="527">
        <v>1</v>
      </c>
      <c r="L203" s="267">
        <f t="shared" si="49" ref="L203">J203*K203</f>
        <v>0.50</v>
      </c>
      <c r="M203" s="433">
        <f t="shared" si="50" ref="M203">L203*N203</f>
        <v>100</v>
      </c>
      <c r="N203" s="434">
        <v>200</v>
      </c>
      <c r="O203" s="435">
        <f t="shared" si="51" ref="O203">J203/I203*K203</f>
        <v>0.50</v>
      </c>
    </row>
    <row r="204" ht="15.75" thickBot="1"/>
    <row r="205" spans="1:6" ht="15">
      <c r="A205" s="500" t="s">
        <v>328</v>
      </c>
      <c r="B205" s="631" t="s">
        <v>1593</v>
      </c>
      <c r="C205" s="632"/>
      <c r="D205" s="633"/>
      <c r="E205" s="501" t="s">
        <v>332</v>
      </c>
      <c r="F205" s="502" t="s">
        <v>333</v>
      </c>
    </row>
    <row r="206" spans="1:6" ht="15.75" thickBot="1">
      <c r="A206" s="504">
        <v>7</v>
      </c>
      <c r="B206" s="634" t="s">
        <v>1657</v>
      </c>
      <c r="C206" s="635"/>
      <c r="D206" s="636"/>
      <c r="E206" s="505" t="s">
        <v>1697</v>
      </c>
      <c r="F206" s="506">
        <v>45142</v>
      </c>
    </row>
    <row r="207" spans="1:16" ht="15">
      <c r="A207" s="13" t="s">
        <v>292</v>
      </c>
      <c r="B207" s="27" t="s">
        <v>21</v>
      </c>
      <c r="C207" s="13" t="s">
        <v>33</v>
      </c>
      <c r="D207" s="13">
        <v>219</v>
      </c>
      <c r="E207" s="13"/>
      <c r="F207" s="13" t="s">
        <v>12</v>
      </c>
      <c r="G207" s="436">
        <v>4.22</v>
      </c>
      <c r="H207" s="440">
        <v>10</v>
      </c>
      <c r="I207" s="28">
        <v>2</v>
      </c>
      <c r="J207" s="441">
        <f t="shared" si="52" ref="J207:J208">H207/G207*I207</f>
        <v>4.7393364928909953</v>
      </c>
      <c r="K207" s="28">
        <v>1</v>
      </c>
      <c r="L207" s="267">
        <f t="shared" si="53" ref="L207:L208">J207*K207</f>
        <v>4.7393364928909953</v>
      </c>
      <c r="M207" s="433">
        <f t="shared" si="54" ref="M207:M208">L207*N207</f>
        <v>786.72985781990519</v>
      </c>
      <c r="N207" s="434">
        <v>166</v>
      </c>
      <c r="O207" s="435">
        <f t="shared" si="55" ref="O207:O208">J207/I207*K207</f>
        <v>2.3696682464454977</v>
      </c>
      <c r="P207" s="22"/>
    </row>
    <row r="208" spans="1:16" ht="15">
      <c r="A208" s="13" t="s">
        <v>292</v>
      </c>
      <c r="B208" s="27" t="s">
        <v>21</v>
      </c>
      <c r="C208" s="13" t="s">
        <v>33</v>
      </c>
      <c r="D208" s="13">
        <v>219</v>
      </c>
      <c r="E208" s="13"/>
      <c r="F208" s="13" t="s">
        <v>12</v>
      </c>
      <c r="G208" s="569">
        <f t="shared" si="56" ref="G208">4.22*2</f>
        <v>8.44</v>
      </c>
      <c r="H208" s="440">
        <v>10</v>
      </c>
      <c r="I208" s="28">
        <v>2</v>
      </c>
      <c r="J208" s="441">
        <f t="shared" si="52"/>
        <v>2.3696682464454977</v>
      </c>
      <c r="K208" s="28">
        <v>1</v>
      </c>
      <c r="L208" s="267">
        <f t="shared" si="53"/>
        <v>2.3696682464454977</v>
      </c>
      <c r="M208" s="433">
        <f t="shared" si="54"/>
        <v>393.3649289099526</v>
      </c>
      <c r="N208" s="434">
        <v>166</v>
      </c>
      <c r="O208" s="435">
        <f t="shared" si="55"/>
        <v>1.1848341232227488</v>
      </c>
      <c r="P208" s="22"/>
    </row>
  </sheetData>
  <autoFilter ref="A4:P155"/>
  <mergeCells count="58">
    <mergeCell ref="B189:D189"/>
    <mergeCell ref="B190:D190"/>
    <mergeCell ref="B185:D185"/>
    <mergeCell ref="A173:A174"/>
    <mergeCell ref="B173:B174"/>
    <mergeCell ref="A186:A187"/>
    <mergeCell ref="B186:B187"/>
    <mergeCell ref="B175:D175"/>
    <mergeCell ref="B176:D176"/>
    <mergeCell ref="B184:D184"/>
    <mergeCell ref="A109:A110"/>
    <mergeCell ref="B109:B110"/>
    <mergeCell ref="B131:K131"/>
    <mergeCell ref="B170:D170"/>
    <mergeCell ref="B171:D171"/>
    <mergeCell ref="A105:A106"/>
    <mergeCell ref="B105:B106"/>
    <mergeCell ref="B85:K85"/>
    <mergeCell ref="A107:A108"/>
    <mergeCell ref="B107:B108"/>
    <mergeCell ref="A23:A25"/>
    <mergeCell ref="B23:B25"/>
    <mergeCell ref="B81:K81"/>
    <mergeCell ref="A92:A93"/>
    <mergeCell ref="B92:B93"/>
    <mergeCell ref="A32:A33"/>
    <mergeCell ref="B32:B33"/>
    <mergeCell ref="E32:E33"/>
    <mergeCell ref="A34:A36"/>
    <mergeCell ref="B34:B36"/>
    <mergeCell ref="E34:E36"/>
    <mergeCell ref="B61:K61"/>
    <mergeCell ref="A62:A64"/>
    <mergeCell ref="B62:B64"/>
    <mergeCell ref="B74:K74"/>
    <mergeCell ref="E23:E25"/>
    <mergeCell ref="B5:K5"/>
    <mergeCell ref="B19:K19"/>
    <mergeCell ref="A21:A22"/>
    <mergeCell ref="B21:B22"/>
    <mergeCell ref="E21:E22"/>
    <mergeCell ref="A57:A58"/>
    <mergeCell ref="B57:B58"/>
    <mergeCell ref="A38:A39"/>
    <mergeCell ref="B38:B39"/>
    <mergeCell ref="B48:K48"/>
    <mergeCell ref="A51:A52"/>
    <mergeCell ref="B51:B52"/>
    <mergeCell ref="E51:E52"/>
    <mergeCell ref="A53:A54"/>
    <mergeCell ref="B53:B54"/>
    <mergeCell ref="E53:E54"/>
    <mergeCell ref="B205:D205"/>
    <mergeCell ref="B206:D206"/>
    <mergeCell ref="B201:D201"/>
    <mergeCell ref="B202:D202"/>
    <mergeCell ref="B193:D193"/>
    <mergeCell ref="B194:D19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18"/>
  <sheetViews>
    <sheetView zoomScale="80" zoomScaleNormal="80" workbookViewId="0" topLeftCell="A1">
      <pane ySplit="4" topLeftCell="A205" activePane="bottomLeft" state="frozen"/>
      <selection pane="topLeft" activeCell="A1" sqref="A1"/>
      <selection pane="bottomLeft" activeCell="A215" sqref="A215:XFD216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5.285714285714285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44497</v>
      </c>
    </row>
    <row r="2" spans="2:9" ht="31.5">
      <c r="B2" s="492" t="s">
        <v>928</v>
      </c>
      <c r="F2" s="429" t="s">
        <v>22</v>
      </c>
      <c r="G2" s="268">
        <f>1370/1000</f>
        <v>1.37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SUM(M6:M18)</f>
        <v>635.30133333333345</v>
      </c>
      <c r="N5" s="263"/>
      <c r="O5" s="264">
        <f>SUM(O6:O18)</f>
        <v>3.6096666666666666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8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44</v>
      </c>
      <c r="L6" s="465">
        <f t="shared" si="1" ref="L6:L18">J6*K6</f>
        <v>0.85799999999999998</v>
      </c>
      <c r="M6" s="466">
        <f t="shared" si="2" ref="M6:M18">L6*N6</f>
        <v>151.00800000000001</v>
      </c>
      <c r="N6" s="466">
        <v>176</v>
      </c>
      <c r="O6" s="456">
        <f t="shared" si="3" ref="O6:O18">J6/I6*K6</f>
        <v>0.85799999999999998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2</v>
      </c>
      <c r="L9" s="465">
        <f t="shared" si="1"/>
        <v>0.034333333333333334</v>
      </c>
      <c r="M9" s="466">
        <f t="shared" si="2"/>
        <v>6.0426666666666664</v>
      </c>
      <c r="N9" s="466">
        <v>176</v>
      </c>
      <c r="O9" s="456">
        <f t="shared" si="3"/>
        <v>0.034333333333333334</v>
      </c>
    </row>
    <row r="10" spans="1:15" s="457" customFormat="1" ht="15">
      <c r="A10" s="459" t="s">
        <v>839</v>
      </c>
      <c r="B10" s="494" t="s">
        <v>929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44.477390659747961</v>
      </c>
      <c r="H10" s="462">
        <v>10</v>
      </c>
      <c r="I10" s="463">
        <v>1</v>
      </c>
      <c r="J10" s="464">
        <f>13.49/60</f>
        <v>0.22483333333333333</v>
      </c>
      <c r="K10" s="461">
        <v>1</v>
      </c>
      <c r="L10" s="465">
        <f t="shared" si="1"/>
        <v>0.22483333333333333</v>
      </c>
      <c r="M10" s="466">
        <f t="shared" si="2"/>
        <v>39.570666666666668</v>
      </c>
      <c r="N10" s="466">
        <v>176</v>
      </c>
      <c r="O10" s="456">
        <f t="shared" si="3"/>
        <v>0.22483333333333333</v>
      </c>
    </row>
    <row r="11" spans="1:15" s="457" customFormat="1" ht="15">
      <c r="A11" s="459" t="s">
        <v>840</v>
      </c>
      <c r="B11" s="494" t="s">
        <v>930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550.45871559633019</v>
      </c>
      <c r="H11" s="462">
        <v>10</v>
      </c>
      <c r="I11" s="463">
        <v>1</v>
      </c>
      <c r="J11" s="464">
        <f>1.09/60</f>
        <v>0.018166666666666668</v>
      </c>
      <c r="K11" s="461">
        <v>1</v>
      </c>
      <c r="L11" s="465">
        <f t="shared" si="1"/>
        <v>0.018166666666666668</v>
      </c>
      <c r="M11" s="466">
        <f t="shared" si="2"/>
        <v>3.1973333333333334</v>
      </c>
      <c r="N11" s="466">
        <v>176</v>
      </c>
      <c r="O11" s="456">
        <f t="shared" si="3"/>
        <v>0.018166666666666668</v>
      </c>
    </row>
    <row r="12" spans="1:15" s="457" customFormat="1" ht="15">
      <c r="A12" s="459" t="s">
        <v>841</v>
      </c>
      <c r="B12" s="494" t="s">
        <v>931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419.58041958041963</v>
      </c>
      <c r="H12" s="462">
        <v>10</v>
      </c>
      <c r="I12" s="463">
        <v>1</v>
      </c>
      <c r="J12" s="464">
        <f>1.43/60</f>
        <v>0.023833333333333331</v>
      </c>
      <c r="K12" s="461">
        <v>6</v>
      </c>
      <c r="L12" s="465">
        <f t="shared" si="1"/>
        <v>0.14299999999999999</v>
      </c>
      <c r="M12" s="466">
        <f t="shared" si="2"/>
        <v>25.167999999999999</v>
      </c>
      <c r="N12" s="466">
        <v>176</v>
      </c>
      <c r="O12" s="456">
        <f t="shared" si="3"/>
        <v>0.14299999999999999</v>
      </c>
    </row>
    <row r="13" spans="1:15" s="457" customFormat="1" ht="15">
      <c r="A13" s="459" t="s">
        <v>842</v>
      </c>
      <c r="B13" s="494" t="s">
        <v>857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322.58064516129036</v>
      </c>
      <c r="H13" s="462">
        <v>10</v>
      </c>
      <c r="I13" s="463">
        <v>1</v>
      </c>
      <c r="J13" s="464">
        <f>1.86/60</f>
        <v>0.030999999999999996</v>
      </c>
      <c r="K13" s="461">
        <v>1</v>
      </c>
      <c r="L13" s="465">
        <f t="shared" si="1"/>
        <v>0.030999999999999996</v>
      </c>
      <c r="M13" s="466">
        <f t="shared" si="2"/>
        <v>5.4559999999999995</v>
      </c>
      <c r="N13" s="466">
        <v>176</v>
      </c>
      <c r="O13" s="456">
        <f t="shared" si="3"/>
        <v>0.030999999999999996</v>
      </c>
    </row>
    <row r="14" spans="1:15" s="457" customFormat="1" ht="15">
      <c r="A14" s="459" t="s">
        <v>843</v>
      </c>
      <c r="B14" s="494" t="s">
        <v>856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257.51072961373387</v>
      </c>
      <c r="H14" s="462">
        <v>10</v>
      </c>
      <c r="I14" s="463">
        <v>1</v>
      </c>
      <c r="J14" s="464">
        <f>2.33/60</f>
        <v>0.038833333333333338</v>
      </c>
      <c r="K14" s="461">
        <v>44</v>
      </c>
      <c r="L14" s="465">
        <f t="shared" si="1"/>
        <v>1.7086666666666668</v>
      </c>
      <c r="M14" s="466">
        <f t="shared" si="2"/>
        <v>300.72533333333337</v>
      </c>
      <c r="N14" s="466">
        <v>176</v>
      </c>
      <c r="O14" s="456">
        <f t="shared" si="3"/>
        <v>1.7086666666666668</v>
      </c>
    </row>
    <row r="15" spans="1:15" s="457" customFormat="1" ht="15">
      <c r="A15" s="459" t="s">
        <v>844</v>
      </c>
      <c r="B15" s="494" t="s">
        <v>932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132.45033112582783</v>
      </c>
      <c r="H15" s="462">
        <v>10</v>
      </c>
      <c r="I15" s="463">
        <v>1</v>
      </c>
      <c r="J15" s="464">
        <f>4.53/60</f>
        <v>0.075499999999999998</v>
      </c>
      <c r="K15" s="461">
        <v>2</v>
      </c>
      <c r="L15" s="465">
        <f t="shared" si="1"/>
        <v>0.151</v>
      </c>
      <c r="M15" s="466">
        <f t="shared" si="2"/>
        <v>26.576000000000001</v>
      </c>
      <c r="N15" s="466">
        <v>176</v>
      </c>
      <c r="O15" s="456">
        <f t="shared" si="3"/>
        <v>0.151</v>
      </c>
    </row>
    <row r="16" spans="1:15" s="457" customFormat="1" ht="15">
      <c r="A16" s="459" t="s">
        <v>845</v>
      </c>
      <c r="B16" s="494" t="s">
        <v>854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631.57894736842115</v>
      </c>
      <c r="H16" s="462">
        <v>10</v>
      </c>
      <c r="I16" s="463">
        <v>1</v>
      </c>
      <c r="J16" s="464">
        <f>0.95/60</f>
        <v>0.015833333333333331</v>
      </c>
      <c r="K16" s="461">
        <v>8</v>
      </c>
      <c r="L16" s="465">
        <f t="shared" si="1"/>
        <v>0.12666666666666665</v>
      </c>
      <c r="M16" s="466">
        <f t="shared" si="2"/>
        <v>22.293333333333329</v>
      </c>
      <c r="N16" s="466">
        <v>176</v>
      </c>
      <c r="O16" s="456">
        <f t="shared" si="3"/>
        <v>0.12666666666666665</v>
      </c>
    </row>
    <row r="17" spans="1:15" s="457" customFormat="1" ht="15">
      <c r="A17" s="459" t="s">
        <v>846</v>
      </c>
      <c r="B17" s="494" t="s">
        <v>855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454.5454545454545</v>
      </c>
      <c r="H17" s="462">
        <v>10</v>
      </c>
      <c r="I17" s="463">
        <v>1</v>
      </c>
      <c r="J17" s="464">
        <f>1.32/60</f>
        <v>0.022000000000000002</v>
      </c>
      <c r="K17" s="461">
        <v>4</v>
      </c>
      <c r="L17" s="465">
        <f t="shared" si="1"/>
        <v>0.088000000000000009</v>
      </c>
      <c r="M17" s="466">
        <f t="shared" si="2"/>
        <v>15.488000000000001</v>
      </c>
      <c r="N17" s="466">
        <v>176</v>
      </c>
      <c r="O17" s="456">
        <f t="shared" si="3"/>
        <v>0.088000000000000009</v>
      </c>
    </row>
    <row r="18" spans="1:15" s="457" customFormat="1" ht="15">
      <c r="A18" s="459" t="s">
        <v>847</v>
      </c>
      <c r="B18" s="494" t="s">
        <v>861</v>
      </c>
      <c r="C18" s="460" t="s">
        <v>532</v>
      </c>
      <c r="D18" s="460" t="s">
        <v>1330</v>
      </c>
      <c r="E18" s="460"/>
      <c r="F18" s="460" t="s">
        <v>533</v>
      </c>
      <c r="G18" s="461">
        <f t="shared" si="0"/>
        <v>857.14285714285722</v>
      </c>
      <c r="H18" s="462">
        <v>10</v>
      </c>
      <c r="I18" s="463">
        <v>1</v>
      </c>
      <c r="J18" s="464">
        <f>0.7/60</f>
        <v>0.011666666666666665</v>
      </c>
      <c r="K18" s="461">
        <v>2</v>
      </c>
      <c r="L18" s="465">
        <f t="shared" si="1"/>
        <v>0.023333333333333331</v>
      </c>
      <c r="M18" s="466">
        <f t="shared" si="2"/>
        <v>4.1066666666666665</v>
      </c>
      <c r="N18" s="466">
        <v>176</v>
      </c>
      <c r="O18" s="456">
        <f t="shared" si="3"/>
        <v>0.023333333333333331</v>
      </c>
    </row>
    <row r="19" spans="1:15" ht="15">
      <c r="A19" s="39"/>
      <c r="B19" s="649" t="s">
        <v>130</v>
      </c>
      <c r="C19" s="649"/>
      <c r="D19" s="649"/>
      <c r="E19" s="649"/>
      <c r="F19" s="649"/>
      <c r="G19" s="649"/>
      <c r="H19" s="649"/>
      <c r="I19" s="649"/>
      <c r="J19" s="649"/>
      <c r="K19" s="649"/>
      <c r="L19" s="265"/>
      <c r="M19" s="262">
        <f>SUM(M20:M47)</f>
        <v>3655.2305244531462</v>
      </c>
      <c r="N19" s="430"/>
      <c r="O19" s="264">
        <f>SUM(O20:O47)</f>
        <v>16.037429635812771</v>
      </c>
    </row>
    <row r="20" spans="1:15" s="0" customFormat="1" ht="15">
      <c r="A20" s="57" t="s">
        <v>143</v>
      </c>
      <c r="B20" s="56" t="s">
        <v>144</v>
      </c>
      <c r="C20" s="13" t="s">
        <v>933</v>
      </c>
      <c r="D20" s="13">
        <v>105</v>
      </c>
      <c r="E20" s="13"/>
      <c r="F20" s="17" t="s">
        <v>353</v>
      </c>
      <c r="G20" s="469">
        <v>18.20</v>
      </c>
      <c r="H20" s="252">
        <v>10</v>
      </c>
      <c r="I20" s="16">
        <v>1</v>
      </c>
      <c r="J20" s="253">
        <f>H20/G20*I20</f>
        <v>0.5494505494505495</v>
      </c>
      <c r="K20" s="52">
        <v>1</v>
      </c>
      <c r="L20" s="26">
        <f t="shared" si="4" ref="L20:L47">J20*K20</f>
        <v>0.5494505494505495</v>
      </c>
      <c r="M20" s="37">
        <f>L20*N20</f>
        <v>109.8901098901099</v>
      </c>
      <c r="N20" s="85">
        <v>200</v>
      </c>
      <c r="O20" s="8">
        <f>J20/I20*K20</f>
        <v>0.5494505494505495</v>
      </c>
    </row>
    <row r="21" spans="1:15" s="0" customFormat="1" ht="15">
      <c r="A21" s="642" t="s">
        <v>146</v>
      </c>
      <c r="B21" s="639" t="s">
        <v>411</v>
      </c>
      <c r="C21" s="13" t="s">
        <v>934</v>
      </c>
      <c r="D21" s="54">
        <v>109</v>
      </c>
      <c r="E21" s="645" t="s">
        <v>911</v>
      </c>
      <c r="F21" s="17" t="s">
        <v>10</v>
      </c>
      <c r="G21" s="16">
        <v>40</v>
      </c>
      <c r="H21" s="252">
        <v>10</v>
      </c>
      <c r="I21" s="16">
        <v>1</v>
      </c>
      <c r="J21" s="253">
        <f t="shared" si="5" ref="J21:J47">H21/G21*I21</f>
        <v>0.25</v>
      </c>
      <c r="K21" s="260">
        <f>1121/1000+0.1</f>
        <v>1.2210000000000001</v>
      </c>
      <c r="L21" s="26">
        <f t="shared" si="4"/>
        <v>0.30525000000000002</v>
      </c>
      <c r="M21" s="43">
        <f t="shared" si="6" ref="M21:M47">L21*N21</f>
        <v>61.05</v>
      </c>
      <c r="N21" s="85">
        <v>200</v>
      </c>
      <c r="O21" s="8">
        <f t="shared" si="7" ref="O21:O47">J21/I21*K21</f>
        <v>0.30525000000000002</v>
      </c>
    </row>
    <row r="22" spans="1:15" s="0" customFormat="1" ht="15">
      <c r="A22" s="647"/>
      <c r="B22" s="641"/>
      <c r="C22" s="13" t="s">
        <v>935</v>
      </c>
      <c r="D22" s="90">
        <v>109</v>
      </c>
      <c r="E22" s="647"/>
      <c r="F22" s="17" t="s">
        <v>10</v>
      </c>
      <c r="G22" s="16">
        <v>27</v>
      </c>
      <c r="H22" s="252">
        <v>10</v>
      </c>
      <c r="I22" s="16">
        <v>1</v>
      </c>
      <c r="J22" s="253">
        <f t="shared" si="5"/>
        <v>0.37037037037037035</v>
      </c>
      <c r="K22" s="260">
        <f>1121/1000+0.2</f>
        <v>1.321</v>
      </c>
      <c r="L22" s="26">
        <f t="shared" si="4"/>
        <v>0.48925925925925923</v>
      </c>
      <c r="M22" s="43">
        <f t="shared" si="6"/>
        <v>97.851851851851848</v>
      </c>
      <c r="N22" s="85">
        <v>200</v>
      </c>
      <c r="O22" s="8">
        <f t="shared" si="7"/>
        <v>0.48925925925925923</v>
      </c>
    </row>
    <row r="23" spans="1:15" s="0" customFormat="1" ht="15">
      <c r="A23" s="650" t="s">
        <v>148</v>
      </c>
      <c r="B23" s="638" t="s">
        <v>412</v>
      </c>
      <c r="C23" s="13" t="s">
        <v>936</v>
      </c>
      <c r="D23" s="13">
        <v>107</v>
      </c>
      <c r="E23" s="637" t="s">
        <v>43</v>
      </c>
      <c r="F23" s="17" t="s">
        <v>10</v>
      </c>
      <c r="G23" s="16">
        <v>40</v>
      </c>
      <c r="H23" s="252">
        <v>10</v>
      </c>
      <c r="I23" s="16">
        <v>1</v>
      </c>
      <c r="J23" s="253">
        <f t="shared" si="5"/>
        <v>0.25</v>
      </c>
      <c r="K23" s="30">
        <f>1121/1000+0.1</f>
        <v>1.2210000000000001</v>
      </c>
      <c r="L23" s="26">
        <f t="shared" si="4"/>
        <v>0.30525000000000002</v>
      </c>
      <c r="M23" s="37">
        <f t="shared" si="6"/>
        <v>61.05</v>
      </c>
      <c r="N23" s="85">
        <v>200</v>
      </c>
      <c r="O23" s="8">
        <f t="shared" si="7"/>
        <v>0.30525000000000002</v>
      </c>
    </row>
    <row r="24" spans="1:15" s="0" customFormat="1" ht="15">
      <c r="A24" s="650"/>
      <c r="B24" s="638"/>
      <c r="C24" s="13" t="s">
        <v>937</v>
      </c>
      <c r="D24" s="13">
        <v>107</v>
      </c>
      <c r="E24" s="637"/>
      <c r="F24" s="17" t="s">
        <v>10</v>
      </c>
      <c r="G24" s="16">
        <v>25</v>
      </c>
      <c r="H24" s="252">
        <v>10</v>
      </c>
      <c r="I24" s="16">
        <v>1</v>
      </c>
      <c r="J24" s="253">
        <f t="shared" si="5"/>
        <v>0.40</v>
      </c>
      <c r="K24" s="30">
        <f>1121/1000</f>
        <v>1.121</v>
      </c>
      <c r="L24" s="26">
        <f t="shared" si="4"/>
        <v>0.44840000000000002</v>
      </c>
      <c r="M24" s="37">
        <f t="shared" si="6"/>
        <v>78.918400000000005</v>
      </c>
      <c r="N24" s="85">
        <v>176</v>
      </c>
      <c r="O24" s="8">
        <f t="shared" si="7"/>
        <v>0.44840000000000002</v>
      </c>
    </row>
    <row r="25" spans="1:15" s="0" customFormat="1" ht="15">
      <c r="A25" s="650"/>
      <c r="B25" s="638"/>
      <c r="C25" s="13" t="s">
        <v>938</v>
      </c>
      <c r="D25" s="13">
        <v>107</v>
      </c>
      <c r="E25" s="637"/>
      <c r="F25" s="17" t="s">
        <v>10</v>
      </c>
      <c r="G25" s="16">
        <v>28.50</v>
      </c>
      <c r="H25" s="252">
        <v>10</v>
      </c>
      <c r="I25" s="16">
        <v>1</v>
      </c>
      <c r="J25" s="253">
        <f t="shared" si="5"/>
        <v>0.35087719298245612</v>
      </c>
      <c r="K25" s="30">
        <f>1121/1000+0.1</f>
        <v>1.2210000000000001</v>
      </c>
      <c r="L25" s="26">
        <f t="shared" si="4"/>
        <v>0.42842105263157898</v>
      </c>
      <c r="M25" s="37">
        <f t="shared" si="6"/>
        <v>85.684210526315795</v>
      </c>
      <c r="N25" s="85">
        <v>200</v>
      </c>
      <c r="O25" s="8">
        <f t="shared" si="7"/>
        <v>0.42842105263157898</v>
      </c>
    </row>
    <row r="26" spans="1:15" s="0" customFormat="1" ht="30">
      <c r="A26" s="57" t="s">
        <v>421</v>
      </c>
      <c r="B26" s="91" t="s">
        <v>149</v>
      </c>
      <c r="C26" s="13" t="s">
        <v>933</v>
      </c>
      <c r="D26" s="13">
        <v>105</v>
      </c>
      <c r="E26" s="13"/>
      <c r="F26" s="17" t="s">
        <v>353</v>
      </c>
      <c r="G26" s="469">
        <f>18.2/0.65</f>
        <v>27.999999999999996</v>
      </c>
      <c r="H26" s="252">
        <v>10</v>
      </c>
      <c r="I26" s="16">
        <v>1</v>
      </c>
      <c r="J26" s="253">
        <f t="shared" si="5"/>
        <v>0.35714285714285721</v>
      </c>
      <c r="K26" s="52">
        <v>1</v>
      </c>
      <c r="L26" s="26">
        <f t="shared" si="4"/>
        <v>0.35714285714285721</v>
      </c>
      <c r="M26" s="37">
        <f t="shared" si="6"/>
        <v>71.428571428571445</v>
      </c>
      <c r="N26" s="43">
        <v>200</v>
      </c>
      <c r="O26" s="8">
        <f t="shared" si="7"/>
        <v>0.35714285714285721</v>
      </c>
    </row>
    <row r="27" spans="1:15" s="0" customFormat="1" ht="30">
      <c r="A27" s="529" t="s">
        <v>1662</v>
      </c>
      <c r="B27" s="522" t="s">
        <v>1661</v>
      </c>
      <c r="C27" s="523" t="s">
        <v>9</v>
      </c>
      <c r="D27" s="523">
        <v>109</v>
      </c>
      <c r="E27" s="523"/>
      <c r="F27" s="524" t="s">
        <v>10</v>
      </c>
      <c r="G27" s="525">
        <v>33</v>
      </c>
      <c r="H27" s="526">
        <v>10</v>
      </c>
      <c r="I27" s="527">
        <v>1</v>
      </c>
      <c r="J27" s="528">
        <f t="shared" si="5"/>
        <v>0.30303030303030304</v>
      </c>
      <c r="K27" s="525">
        <f>(350*2)/1000</f>
        <v>0.70</v>
      </c>
      <c r="L27" s="267">
        <f t="shared" si="4"/>
        <v>0.21212121212121213</v>
      </c>
      <c r="M27" s="266">
        <f t="shared" si="6"/>
        <v>32.242424242424242</v>
      </c>
      <c r="N27" s="433">
        <v>152</v>
      </c>
      <c r="O27" s="267">
        <f t="shared" si="7"/>
        <v>0.21212121212121213</v>
      </c>
    </row>
    <row r="28" spans="1:15" ht="15">
      <c r="A28" s="57" t="s">
        <v>152</v>
      </c>
      <c r="B28" s="56" t="s">
        <v>153</v>
      </c>
      <c r="C28" s="13" t="s">
        <v>154</v>
      </c>
      <c r="D28" s="13">
        <v>124</v>
      </c>
      <c r="E28" s="13"/>
      <c r="F28" s="13" t="s">
        <v>354</v>
      </c>
      <c r="G28" s="442">
        <v>13.10</v>
      </c>
      <c r="H28" s="440">
        <v>10</v>
      </c>
      <c r="I28" s="28">
        <v>1</v>
      </c>
      <c r="J28" s="441">
        <f t="shared" si="5"/>
        <v>0.76335877862595425</v>
      </c>
      <c r="K28" s="432">
        <v>1</v>
      </c>
      <c r="L28" s="267">
        <f t="shared" si="4"/>
        <v>0.76335877862595425</v>
      </c>
      <c r="M28" s="433">
        <f t="shared" si="6"/>
        <v>152.67175572519085</v>
      </c>
      <c r="N28" s="434">
        <v>200</v>
      </c>
      <c r="O28" s="435">
        <f t="shared" si="7"/>
        <v>0.76335877862595425</v>
      </c>
    </row>
    <row r="29" spans="1:15" ht="30">
      <c r="A29" s="57" t="s">
        <v>155</v>
      </c>
      <c r="B29" s="56" t="s">
        <v>156</v>
      </c>
      <c r="C29" s="13" t="s">
        <v>157</v>
      </c>
      <c r="D29" s="13" t="s">
        <v>1329</v>
      </c>
      <c r="E29" s="13"/>
      <c r="F29" s="13" t="s">
        <v>354</v>
      </c>
      <c r="G29" s="442">
        <v>5.63</v>
      </c>
      <c r="H29" s="440">
        <v>10</v>
      </c>
      <c r="I29" s="28">
        <v>1</v>
      </c>
      <c r="J29" s="441">
        <f t="shared" si="5"/>
        <v>1.7761989342806395</v>
      </c>
      <c r="K29" s="432">
        <v>1</v>
      </c>
      <c r="L29" s="267">
        <f t="shared" si="4"/>
        <v>1.7761989342806395</v>
      </c>
      <c r="M29" s="433">
        <f t="shared" si="6"/>
        <v>355.23978685612792</v>
      </c>
      <c r="N29" s="434">
        <v>200</v>
      </c>
      <c r="O29" s="435">
        <f t="shared" si="7"/>
        <v>1.7761989342806395</v>
      </c>
    </row>
    <row r="30" spans="1:15" ht="30">
      <c r="A30" s="57" t="s">
        <v>158</v>
      </c>
      <c r="B30" s="56" t="s">
        <v>159</v>
      </c>
      <c r="C30" s="13" t="s">
        <v>160</v>
      </c>
      <c r="D30" s="13" t="s">
        <v>1331</v>
      </c>
      <c r="E30" s="13" t="s">
        <v>161</v>
      </c>
      <c r="F30" s="13" t="s">
        <v>10</v>
      </c>
      <c r="G30" s="439">
        <v>15.40</v>
      </c>
      <c r="H30" s="440">
        <v>10</v>
      </c>
      <c r="I30" s="28">
        <v>1</v>
      </c>
      <c r="J30" s="441">
        <f t="shared" si="5"/>
        <v>0.64935064935064934</v>
      </c>
      <c r="K30" s="436">
        <f>(61/1000)*3.1415*4</f>
        <v>0.76652600000000004</v>
      </c>
      <c r="L30" s="435">
        <f t="shared" si="4"/>
        <v>0.49774415584415588</v>
      </c>
      <c r="M30" s="266">
        <f t="shared" si="6"/>
        <v>99.548831168831171</v>
      </c>
      <c r="N30" s="433">
        <v>200</v>
      </c>
      <c r="O30" s="435">
        <f t="shared" si="7"/>
        <v>0.49774415584415588</v>
      </c>
    </row>
    <row r="31" spans="1:15" ht="15">
      <c r="A31" s="57" t="s">
        <v>427</v>
      </c>
      <c r="B31" s="56" t="s">
        <v>428</v>
      </c>
      <c r="C31" s="13" t="s">
        <v>24</v>
      </c>
      <c r="D31" s="13">
        <v>110</v>
      </c>
      <c r="E31" s="13"/>
      <c r="F31" s="4" t="s">
        <v>38</v>
      </c>
      <c r="G31" s="442">
        <v>13.08</v>
      </c>
      <c r="H31" s="440">
        <v>10</v>
      </c>
      <c r="I31" s="28">
        <v>2</v>
      </c>
      <c r="J31" s="441">
        <f t="shared" si="5"/>
        <v>1.5290519877675841</v>
      </c>
      <c r="K31" s="28">
        <v>1</v>
      </c>
      <c r="L31" s="267">
        <f t="shared" si="4"/>
        <v>1.5290519877675841</v>
      </c>
      <c r="M31" s="433">
        <f t="shared" si="6"/>
        <v>305.81039755351685</v>
      </c>
      <c r="N31" s="434">
        <v>200</v>
      </c>
      <c r="O31" s="435">
        <f t="shared" si="7"/>
        <v>0.76452599388379205</v>
      </c>
    </row>
    <row r="32" spans="1:15" ht="15">
      <c r="A32" s="637" t="s">
        <v>162</v>
      </c>
      <c r="B32" s="638" t="s">
        <v>429</v>
      </c>
      <c r="C32" s="13" t="s">
        <v>160</v>
      </c>
      <c r="D32" s="13">
        <v>109</v>
      </c>
      <c r="E32" s="645" t="s">
        <v>911</v>
      </c>
      <c r="F32" s="13" t="s">
        <v>10</v>
      </c>
      <c r="G32" s="28">
        <v>40</v>
      </c>
      <c r="H32" s="440">
        <v>10</v>
      </c>
      <c r="I32" s="28">
        <v>1</v>
      </c>
      <c r="J32" s="441">
        <f t="shared" si="5"/>
        <v>0.25</v>
      </c>
      <c r="K32" s="436">
        <f>630/1000*3.1415</f>
        <v>1.9791450000000002</v>
      </c>
      <c r="L32" s="267">
        <f t="shared" si="4"/>
        <v>0.49478625000000004</v>
      </c>
      <c r="M32" s="433">
        <f t="shared" si="6"/>
        <v>98.957250000000002</v>
      </c>
      <c r="N32" s="434">
        <v>200</v>
      </c>
      <c r="O32" s="435">
        <f t="shared" si="7"/>
        <v>0.49478625000000004</v>
      </c>
    </row>
    <row r="33" spans="1:15" ht="15">
      <c r="A33" s="637"/>
      <c r="B33" s="638"/>
      <c r="C33" s="13" t="s">
        <v>9</v>
      </c>
      <c r="D33" s="13">
        <v>109</v>
      </c>
      <c r="E33" s="647"/>
      <c r="F33" s="13" t="s">
        <v>10</v>
      </c>
      <c r="G33" s="28">
        <v>27</v>
      </c>
      <c r="H33" s="440">
        <v>10</v>
      </c>
      <c r="I33" s="28">
        <v>1</v>
      </c>
      <c r="J33" s="441">
        <f t="shared" si="5"/>
        <v>0.37037037037037035</v>
      </c>
      <c r="K33" s="436">
        <f>630/1000*3.1415</f>
        <v>1.9791450000000002</v>
      </c>
      <c r="L33" s="267">
        <f t="shared" si="4"/>
        <v>0.73301666666666665</v>
      </c>
      <c r="M33" s="433">
        <f t="shared" si="6"/>
        <v>146.60333333333332</v>
      </c>
      <c r="N33" s="434">
        <v>200</v>
      </c>
      <c r="O33" s="435">
        <f t="shared" si="7"/>
        <v>0.73301666666666665</v>
      </c>
    </row>
    <row r="34" spans="1:15" ht="15">
      <c r="A34" s="642" t="s">
        <v>430</v>
      </c>
      <c r="B34" s="639" t="s">
        <v>431</v>
      </c>
      <c r="C34" s="13" t="s">
        <v>160</v>
      </c>
      <c r="D34" s="54">
        <v>107</v>
      </c>
      <c r="E34" s="645" t="s">
        <v>43</v>
      </c>
      <c r="F34" s="13" t="s">
        <v>10</v>
      </c>
      <c r="G34" s="28">
        <v>40</v>
      </c>
      <c r="H34" s="440">
        <v>10</v>
      </c>
      <c r="I34" s="28">
        <v>1</v>
      </c>
      <c r="J34" s="441">
        <f t="shared" si="5"/>
        <v>0.25</v>
      </c>
      <c r="K34" s="436">
        <f>630/1000*3.1415</f>
        <v>1.9791450000000002</v>
      </c>
      <c r="L34" s="267">
        <f t="shared" si="4"/>
        <v>0.49478625000000004</v>
      </c>
      <c r="M34" s="433">
        <f t="shared" si="6"/>
        <v>98.957250000000002</v>
      </c>
      <c r="N34" s="434">
        <v>200</v>
      </c>
      <c r="O34" s="435">
        <f t="shared" si="7"/>
        <v>0.49478625000000004</v>
      </c>
    </row>
    <row r="35" spans="1:15" ht="15">
      <c r="A35" s="643"/>
      <c r="B35" s="640"/>
      <c r="C35" s="13" t="s">
        <v>511</v>
      </c>
      <c r="D35" s="274">
        <v>107</v>
      </c>
      <c r="E35" s="646"/>
      <c r="F35" s="13" t="s">
        <v>10</v>
      </c>
      <c r="G35" s="28">
        <v>25</v>
      </c>
      <c r="H35" s="440">
        <v>10</v>
      </c>
      <c r="I35" s="28">
        <v>1</v>
      </c>
      <c r="J35" s="453">
        <f t="shared" si="5"/>
        <v>0.40</v>
      </c>
      <c r="K35" s="436">
        <f>630*3.1415/1000</f>
        <v>1.9791450000000002</v>
      </c>
      <c r="L35" s="267">
        <f t="shared" si="4"/>
        <v>0.79165800000000008</v>
      </c>
      <c r="M35" s="433">
        <f t="shared" si="6"/>
        <v>139.33180800000002</v>
      </c>
      <c r="N35" s="434">
        <v>176</v>
      </c>
      <c r="O35" s="435">
        <f t="shared" si="7"/>
        <v>0.79165800000000008</v>
      </c>
    </row>
    <row r="36" spans="1:15" ht="15">
      <c r="A36" s="644"/>
      <c r="B36" s="641"/>
      <c r="C36" s="13" t="s">
        <v>313</v>
      </c>
      <c r="D36" s="90">
        <v>107</v>
      </c>
      <c r="E36" s="647"/>
      <c r="F36" s="13" t="s">
        <v>10</v>
      </c>
      <c r="G36" s="28">
        <v>28.50</v>
      </c>
      <c r="H36" s="440">
        <v>10</v>
      </c>
      <c r="I36" s="28">
        <v>1</v>
      </c>
      <c r="J36" s="453">
        <f t="shared" si="5"/>
        <v>0.35087719298245612</v>
      </c>
      <c r="K36" s="436">
        <f>630*3.1415/1000</f>
        <v>1.9791450000000002</v>
      </c>
      <c r="L36" s="267">
        <f t="shared" si="4"/>
        <v>0.69443684210526313</v>
      </c>
      <c r="M36" s="433">
        <f t="shared" si="6"/>
        <v>138.88736842105263</v>
      </c>
      <c r="N36" s="434">
        <v>200</v>
      </c>
      <c r="O36" s="435">
        <f t="shared" si="7"/>
        <v>0.69443684210526313</v>
      </c>
    </row>
    <row r="37" spans="1:15" ht="15">
      <c r="A37" s="57" t="s">
        <v>629</v>
      </c>
      <c r="B37" s="56" t="s">
        <v>939</v>
      </c>
      <c r="C37" s="13" t="s">
        <v>862</v>
      </c>
      <c r="D37" s="13">
        <v>224</v>
      </c>
      <c r="E37" s="13"/>
      <c r="F37" s="17"/>
      <c r="G37" s="28">
        <f>(600-25)/10</f>
        <v>57.50</v>
      </c>
      <c r="H37" s="440">
        <v>10</v>
      </c>
      <c r="I37" s="28">
        <v>2</v>
      </c>
      <c r="J37" s="441">
        <f t="shared" si="5"/>
        <v>0.34782608695652173</v>
      </c>
      <c r="K37" s="28">
        <v>1</v>
      </c>
      <c r="L37" s="267">
        <f t="shared" si="4"/>
        <v>0.34782608695652173</v>
      </c>
      <c r="M37" s="433">
        <f t="shared" si="6"/>
        <v>69.565217391304344</v>
      </c>
      <c r="N37" s="434">
        <v>200</v>
      </c>
      <c r="O37" s="435">
        <f t="shared" si="7"/>
        <v>0.17391304347826086</v>
      </c>
    </row>
    <row r="38" spans="1:15" ht="15">
      <c r="A38" s="637" t="s">
        <v>314</v>
      </c>
      <c r="B38" s="638" t="s">
        <v>107</v>
      </c>
      <c r="C38" s="13" t="s">
        <v>24</v>
      </c>
      <c r="D38" s="13">
        <v>110</v>
      </c>
      <c r="E38" s="13"/>
      <c r="F38" s="4" t="s">
        <v>40</v>
      </c>
      <c r="G38" s="442">
        <v>20</v>
      </c>
      <c r="H38" s="440">
        <v>10</v>
      </c>
      <c r="I38" s="28">
        <v>2</v>
      </c>
      <c r="J38" s="441">
        <f t="shared" si="5"/>
        <v>1</v>
      </c>
      <c r="K38" s="28">
        <v>1</v>
      </c>
      <c r="L38" s="267">
        <f t="shared" si="4"/>
        <v>1</v>
      </c>
      <c r="M38" s="433">
        <f t="shared" si="6"/>
        <v>200</v>
      </c>
      <c r="N38" s="434">
        <v>200</v>
      </c>
      <c r="O38" s="435">
        <f t="shared" si="7"/>
        <v>0.50</v>
      </c>
    </row>
    <row r="39" spans="1:15" ht="15">
      <c r="A39" s="637"/>
      <c r="B39" s="638"/>
      <c r="C39" s="13" t="s">
        <v>25</v>
      </c>
      <c r="D39" s="13">
        <v>110</v>
      </c>
      <c r="E39" s="13" t="s">
        <v>41</v>
      </c>
      <c r="F39" s="13" t="s">
        <v>10</v>
      </c>
      <c r="G39" s="28">
        <v>40</v>
      </c>
      <c r="H39" s="440">
        <v>10</v>
      </c>
      <c r="I39" s="28">
        <v>1</v>
      </c>
      <c r="J39" s="441">
        <f t="shared" si="5"/>
        <v>0.25</v>
      </c>
      <c r="K39" s="436">
        <f>630/1000*3.1415*2</f>
        <v>3.9582900000000003</v>
      </c>
      <c r="L39" s="267">
        <f t="shared" si="4"/>
        <v>0.98957250000000008</v>
      </c>
      <c r="M39" s="433">
        <f t="shared" si="6"/>
        <v>197.9145</v>
      </c>
      <c r="N39" s="434">
        <v>200</v>
      </c>
      <c r="O39" s="435">
        <f t="shared" si="7"/>
        <v>0.98957250000000008</v>
      </c>
    </row>
    <row r="40" spans="1:15" ht="15">
      <c r="A40" s="57" t="s">
        <v>1285</v>
      </c>
      <c r="B40" s="56" t="s">
        <v>1481</v>
      </c>
      <c r="C40" s="13" t="s">
        <v>1313</v>
      </c>
      <c r="D40" s="13">
        <v>105</v>
      </c>
      <c r="E40" s="13"/>
      <c r="F40" s="13" t="s">
        <v>353</v>
      </c>
      <c r="G40" s="436">
        <v>20</v>
      </c>
      <c r="H40" s="440">
        <v>10</v>
      </c>
      <c r="I40" s="28">
        <v>1</v>
      </c>
      <c r="J40" s="441">
        <f t="shared" si="5"/>
        <v>0.50</v>
      </c>
      <c r="K40" s="432">
        <v>1</v>
      </c>
      <c r="L40" s="435">
        <f t="shared" si="4"/>
        <v>0.50</v>
      </c>
      <c r="M40" s="266">
        <f t="shared" si="6"/>
        <v>100</v>
      </c>
      <c r="N40" s="433">
        <v>200</v>
      </c>
      <c r="O40" s="435">
        <f t="shared" si="7"/>
        <v>0.50</v>
      </c>
    </row>
    <row r="41" spans="1:15" ht="15">
      <c r="A41" s="57" t="s">
        <v>648</v>
      </c>
      <c r="B41" s="567" t="s">
        <v>1482</v>
      </c>
      <c r="C41" s="13" t="s">
        <v>1314</v>
      </c>
      <c r="D41" s="13">
        <v>108</v>
      </c>
      <c r="E41" s="13"/>
      <c r="F41" s="13" t="s">
        <v>10</v>
      </c>
      <c r="G41" s="28">
        <v>40</v>
      </c>
      <c r="H41" s="440">
        <v>10</v>
      </c>
      <c r="I41" s="28">
        <v>1</v>
      </c>
      <c r="J41" s="453">
        <f t="shared" si="5"/>
        <v>0.25</v>
      </c>
      <c r="K41" s="436">
        <f>178*2/1000</f>
        <v>0.35599999999999998</v>
      </c>
      <c r="L41" s="267">
        <f t="shared" si="4"/>
        <v>0.088999999999999996</v>
      </c>
      <c r="M41" s="433">
        <f t="shared" si="6"/>
        <v>17.80</v>
      </c>
      <c r="N41" s="434">
        <v>200</v>
      </c>
      <c r="O41" s="435">
        <f t="shared" si="7"/>
        <v>0.088999999999999996</v>
      </c>
    </row>
    <row r="42" spans="1:15" ht="15">
      <c r="A42" s="57" t="s">
        <v>1288</v>
      </c>
      <c r="B42" s="56" t="s">
        <v>1483</v>
      </c>
      <c r="C42" s="13" t="s">
        <v>1313</v>
      </c>
      <c r="D42" s="13">
        <v>105</v>
      </c>
      <c r="E42" s="13"/>
      <c r="F42" s="13" t="s">
        <v>353</v>
      </c>
      <c r="G42" s="436">
        <f>20/0.65</f>
        <v>30.769230769230766</v>
      </c>
      <c r="H42" s="440">
        <v>10</v>
      </c>
      <c r="I42" s="28">
        <v>1</v>
      </c>
      <c r="J42" s="441">
        <f t="shared" si="5"/>
        <v>0.325</v>
      </c>
      <c r="K42" s="432">
        <v>1</v>
      </c>
      <c r="L42" s="435">
        <f t="shared" si="4"/>
        <v>0.325</v>
      </c>
      <c r="M42" s="266">
        <f t="shared" si="6"/>
        <v>65</v>
      </c>
      <c r="N42" s="433">
        <v>200</v>
      </c>
      <c r="O42" s="435">
        <f t="shared" si="7"/>
        <v>0.325</v>
      </c>
    </row>
    <row r="43" spans="1:15" ht="15">
      <c r="A43" s="57" t="s">
        <v>176</v>
      </c>
      <c r="B43" s="56" t="s">
        <v>1484</v>
      </c>
      <c r="C43" s="13" t="s">
        <v>154</v>
      </c>
      <c r="D43" s="13">
        <v>124</v>
      </c>
      <c r="E43" s="13"/>
      <c r="F43" s="13" t="s">
        <v>354</v>
      </c>
      <c r="G43" s="442">
        <v>15.50</v>
      </c>
      <c r="H43" s="440">
        <v>10</v>
      </c>
      <c r="I43" s="28">
        <v>1</v>
      </c>
      <c r="J43" s="441">
        <f t="shared" si="5"/>
        <v>0.64516129032258063</v>
      </c>
      <c r="K43" s="432">
        <v>1</v>
      </c>
      <c r="L43" s="267">
        <f t="shared" si="4"/>
        <v>0.64516129032258063</v>
      </c>
      <c r="M43" s="433">
        <f t="shared" si="6"/>
        <v>129.03225806451613</v>
      </c>
      <c r="N43" s="434">
        <v>200</v>
      </c>
      <c r="O43" s="435">
        <f t="shared" si="7"/>
        <v>0.64516129032258063</v>
      </c>
    </row>
    <row r="44" spans="1:15" ht="30">
      <c r="A44" s="57" t="s">
        <v>1289</v>
      </c>
      <c r="B44" s="56" t="s">
        <v>1485</v>
      </c>
      <c r="C44" s="13" t="s">
        <v>24</v>
      </c>
      <c r="D44" s="13">
        <v>117</v>
      </c>
      <c r="E44" s="13"/>
      <c r="F44" s="4" t="s">
        <v>38</v>
      </c>
      <c r="G44" s="442">
        <v>20</v>
      </c>
      <c r="H44" s="440">
        <v>10</v>
      </c>
      <c r="I44" s="28">
        <v>2</v>
      </c>
      <c r="J44" s="441">
        <f t="shared" si="5"/>
        <v>1</v>
      </c>
      <c r="K44" s="28">
        <v>1</v>
      </c>
      <c r="L44" s="267">
        <f t="shared" si="4"/>
        <v>1</v>
      </c>
      <c r="M44" s="433">
        <f t="shared" si="6"/>
        <v>200</v>
      </c>
      <c r="N44" s="434">
        <v>200</v>
      </c>
      <c r="O44" s="435">
        <f t="shared" si="7"/>
        <v>0.50</v>
      </c>
    </row>
    <row r="45" spans="1:15" ht="30">
      <c r="A45" s="13" t="s">
        <v>1290</v>
      </c>
      <c r="B45" s="56" t="s">
        <v>1486</v>
      </c>
      <c r="C45" s="13" t="s">
        <v>160</v>
      </c>
      <c r="D45" s="13">
        <v>117</v>
      </c>
      <c r="E45" s="13" t="s">
        <v>869</v>
      </c>
      <c r="F45" s="13" t="s">
        <v>10</v>
      </c>
      <c r="G45" s="28">
        <v>40</v>
      </c>
      <c r="H45" s="440">
        <v>10</v>
      </c>
      <c r="I45" s="28">
        <v>1</v>
      </c>
      <c r="J45" s="441">
        <f t="shared" si="5"/>
        <v>0.25</v>
      </c>
      <c r="K45" s="436">
        <f>544*3.1415*2/1000</f>
        <v>3.4179520000000001</v>
      </c>
      <c r="L45" s="267">
        <f t="shared" si="4"/>
        <v>0.85448800000000003</v>
      </c>
      <c r="M45" s="433">
        <f t="shared" si="6"/>
        <v>170.89760000000001</v>
      </c>
      <c r="N45" s="434">
        <v>200</v>
      </c>
      <c r="O45" s="435">
        <f t="shared" si="7"/>
        <v>0.85448800000000003</v>
      </c>
    </row>
    <row r="46" spans="1:15" ht="30">
      <c r="A46" s="57" t="s">
        <v>1291</v>
      </c>
      <c r="B46" s="56" t="s">
        <v>1487</v>
      </c>
      <c r="C46" s="13" t="s">
        <v>24</v>
      </c>
      <c r="D46" s="13">
        <v>110</v>
      </c>
      <c r="E46" s="13"/>
      <c r="F46" s="4" t="s">
        <v>38</v>
      </c>
      <c r="G46" s="442">
        <v>20</v>
      </c>
      <c r="H46" s="440">
        <v>10</v>
      </c>
      <c r="I46" s="28">
        <v>2</v>
      </c>
      <c r="J46" s="441">
        <f t="shared" si="5"/>
        <v>1</v>
      </c>
      <c r="K46" s="28">
        <v>1</v>
      </c>
      <c r="L46" s="267">
        <f t="shared" si="4"/>
        <v>1</v>
      </c>
      <c r="M46" s="433">
        <f t="shared" si="6"/>
        <v>200</v>
      </c>
      <c r="N46" s="434">
        <v>200</v>
      </c>
      <c r="O46" s="435">
        <f t="shared" si="7"/>
        <v>0.50</v>
      </c>
    </row>
    <row r="47" spans="1:15" ht="30">
      <c r="A47" s="13" t="s">
        <v>177</v>
      </c>
      <c r="B47" s="56" t="s">
        <v>1488</v>
      </c>
      <c r="C47" s="13" t="s">
        <v>160</v>
      </c>
      <c r="D47" s="13">
        <v>110</v>
      </c>
      <c r="E47" s="13" t="s">
        <v>869</v>
      </c>
      <c r="F47" s="13" t="s">
        <v>10</v>
      </c>
      <c r="G47" s="28">
        <v>40</v>
      </c>
      <c r="H47" s="440">
        <v>10</v>
      </c>
      <c r="I47" s="28">
        <v>1</v>
      </c>
      <c r="J47" s="441">
        <f t="shared" si="5"/>
        <v>0.25</v>
      </c>
      <c r="K47" s="436">
        <f>544*3.1415*2/1000</f>
        <v>3.4179520000000001</v>
      </c>
      <c r="L47" s="267">
        <f t="shared" si="4"/>
        <v>0.85448800000000003</v>
      </c>
      <c r="M47" s="433">
        <f t="shared" si="6"/>
        <v>170.89760000000001</v>
      </c>
      <c r="N47" s="434">
        <v>200</v>
      </c>
      <c r="O47" s="435">
        <f t="shared" si="7"/>
        <v>0.85448800000000003</v>
      </c>
    </row>
    <row r="48" spans="1:15" ht="15">
      <c r="A48" s="39"/>
      <c r="B48" s="649" t="s">
        <v>131</v>
      </c>
      <c r="C48" s="649"/>
      <c r="D48" s="649"/>
      <c r="E48" s="649"/>
      <c r="F48" s="649"/>
      <c r="G48" s="649"/>
      <c r="H48" s="649"/>
      <c r="I48" s="649"/>
      <c r="J48" s="649"/>
      <c r="K48" s="649"/>
      <c r="L48" s="267"/>
      <c r="M48" s="262">
        <f>SUM(M49:M60)</f>
        <v>2268.3153262182004</v>
      </c>
      <c r="N48" s="263"/>
      <c r="O48" s="264">
        <f>SUM(O49:O60)</f>
        <v>9.3320369209460772</v>
      </c>
    </row>
    <row r="49" spans="1:15" ht="15">
      <c r="A49" s="57" t="s">
        <v>182</v>
      </c>
      <c r="B49" s="56" t="s">
        <v>183</v>
      </c>
      <c r="C49" s="13" t="s">
        <v>940</v>
      </c>
      <c r="D49" s="13">
        <v>105</v>
      </c>
      <c r="E49" s="13"/>
      <c r="F49" s="13" t="s">
        <v>353</v>
      </c>
      <c r="G49" s="436">
        <v>13.07</v>
      </c>
      <c r="H49" s="440">
        <v>10</v>
      </c>
      <c r="I49" s="28">
        <v>1</v>
      </c>
      <c r="J49" s="441">
        <f t="shared" si="8" ref="J49:J60">H49/G49*I49</f>
        <v>0.7651109410864575</v>
      </c>
      <c r="K49" s="432">
        <v>1</v>
      </c>
      <c r="L49" s="435">
        <f t="shared" si="9" ref="L49:L60">J49*K49</f>
        <v>0.7651109410864575</v>
      </c>
      <c r="M49" s="266">
        <f t="shared" si="10" ref="M49:M60">L49*N49</f>
        <v>153.0221882172915</v>
      </c>
      <c r="N49" s="433">
        <v>200</v>
      </c>
      <c r="O49" s="435">
        <f t="shared" si="11" ref="O49:O60">J49/I49*K49</f>
        <v>0.7651109410864575</v>
      </c>
    </row>
    <row r="50" spans="1:15" ht="30">
      <c r="A50" s="57" t="s">
        <v>185</v>
      </c>
      <c r="B50" s="56" t="s">
        <v>186</v>
      </c>
      <c r="C50" s="13" t="s">
        <v>187</v>
      </c>
      <c r="D50" s="13">
        <v>105</v>
      </c>
      <c r="E50" s="13"/>
      <c r="F50" s="13" t="s">
        <v>522</v>
      </c>
      <c r="G50" s="28">
        <v>55</v>
      </c>
      <c r="H50" s="440">
        <v>10</v>
      </c>
      <c r="I50" s="28">
        <v>1</v>
      </c>
      <c r="J50" s="441">
        <f t="shared" si="8"/>
        <v>0.18181818181818182</v>
      </c>
      <c r="K50" s="432">
        <v>5</v>
      </c>
      <c r="L50" s="435">
        <f t="shared" si="9"/>
        <v>0.90909090909090917</v>
      </c>
      <c r="M50" s="266">
        <f t="shared" si="10"/>
        <v>181.81818181818184</v>
      </c>
      <c r="N50" s="433">
        <v>200</v>
      </c>
      <c r="O50" s="435">
        <f t="shared" si="11"/>
        <v>0.90909090909090917</v>
      </c>
    </row>
    <row r="51" spans="1:15" ht="15">
      <c r="A51" s="650" t="s">
        <v>188</v>
      </c>
      <c r="B51" s="656" t="s">
        <v>438</v>
      </c>
      <c r="C51" s="13" t="s">
        <v>941</v>
      </c>
      <c r="D51" s="13">
        <v>109</v>
      </c>
      <c r="E51" s="637" t="s">
        <v>44</v>
      </c>
      <c r="F51" s="13" t="s">
        <v>10</v>
      </c>
      <c r="G51" s="28">
        <v>40</v>
      </c>
      <c r="H51" s="440">
        <v>10</v>
      </c>
      <c r="I51" s="28">
        <v>1</v>
      </c>
      <c r="J51" s="453">
        <f t="shared" si="8"/>
        <v>0.25</v>
      </c>
      <c r="K51" s="436">
        <f>(1365)/1000</f>
        <v>1.365</v>
      </c>
      <c r="L51" s="267">
        <f t="shared" si="9"/>
        <v>0.34125</v>
      </c>
      <c r="M51" s="433">
        <f t="shared" si="10"/>
        <v>68.25</v>
      </c>
      <c r="N51" s="434">
        <v>200</v>
      </c>
      <c r="O51" s="435">
        <f t="shared" si="11"/>
        <v>0.34125</v>
      </c>
    </row>
    <row r="52" spans="1:15" ht="15">
      <c r="A52" s="652"/>
      <c r="B52" s="654"/>
      <c r="C52" s="13" t="s">
        <v>942</v>
      </c>
      <c r="D52" s="13">
        <v>109</v>
      </c>
      <c r="E52" s="637"/>
      <c r="F52" s="13" t="s">
        <v>10</v>
      </c>
      <c r="G52" s="28">
        <v>27</v>
      </c>
      <c r="H52" s="440">
        <v>10</v>
      </c>
      <c r="I52" s="28">
        <v>1</v>
      </c>
      <c r="J52" s="441">
        <f t="shared" si="8"/>
        <v>0.37037037037037035</v>
      </c>
      <c r="K52" s="436">
        <f>(1365*2)/1000+0.2</f>
        <v>2.93</v>
      </c>
      <c r="L52" s="435">
        <f t="shared" si="9"/>
        <v>1.0851851851851853</v>
      </c>
      <c r="M52" s="266">
        <f t="shared" si="10"/>
        <v>217.03703703703704</v>
      </c>
      <c r="N52" s="433">
        <v>200</v>
      </c>
      <c r="O52" s="435">
        <f t="shared" si="11"/>
        <v>1.0851851851851853</v>
      </c>
    </row>
    <row r="53" spans="1:15" ht="15">
      <c r="A53" s="642" t="s">
        <v>437</v>
      </c>
      <c r="B53" s="639" t="s">
        <v>439</v>
      </c>
      <c r="C53" s="13" t="s">
        <v>943</v>
      </c>
      <c r="D53" s="13">
        <v>107</v>
      </c>
      <c r="E53" s="637" t="s">
        <v>43</v>
      </c>
      <c r="F53" s="13" t="s">
        <v>10</v>
      </c>
      <c r="G53" s="28">
        <v>25</v>
      </c>
      <c r="H53" s="440">
        <v>10</v>
      </c>
      <c r="I53" s="28">
        <v>1</v>
      </c>
      <c r="J53" s="453">
        <f t="shared" si="8"/>
        <v>0.40</v>
      </c>
      <c r="K53" s="436">
        <f>(1365*2)/1000</f>
        <v>2.73</v>
      </c>
      <c r="L53" s="267">
        <f t="shared" si="9"/>
        <v>1.0920000000000001</v>
      </c>
      <c r="M53" s="433">
        <f t="shared" si="10"/>
        <v>192.19200000000001</v>
      </c>
      <c r="N53" s="434">
        <v>176</v>
      </c>
      <c r="O53" s="435">
        <f t="shared" si="11"/>
        <v>1.0920000000000001</v>
      </c>
    </row>
    <row r="54" spans="1:15" ht="15">
      <c r="A54" s="644"/>
      <c r="B54" s="641"/>
      <c r="C54" s="13" t="s">
        <v>944</v>
      </c>
      <c r="D54" s="13">
        <v>107</v>
      </c>
      <c r="E54" s="637"/>
      <c r="F54" s="13" t="s">
        <v>10</v>
      </c>
      <c r="G54" s="28">
        <v>28.50</v>
      </c>
      <c r="H54" s="440">
        <v>10</v>
      </c>
      <c r="I54" s="28">
        <v>1</v>
      </c>
      <c r="J54" s="453">
        <f t="shared" si="8"/>
        <v>0.35087719298245612</v>
      </c>
      <c r="K54" s="436">
        <f>1365*2/1000+0.2</f>
        <v>2.93</v>
      </c>
      <c r="L54" s="267">
        <f t="shared" si="9"/>
        <v>1.0280701754385966</v>
      </c>
      <c r="M54" s="433">
        <f t="shared" si="10"/>
        <v>205.61403508771932</v>
      </c>
      <c r="N54" s="434">
        <v>200</v>
      </c>
      <c r="O54" s="435">
        <f t="shared" si="11"/>
        <v>1.0280701754385966</v>
      </c>
    </row>
    <row r="55" spans="1:15" s="0" customFormat="1" ht="15">
      <c r="A55" s="58" t="s">
        <v>348</v>
      </c>
      <c r="B55" s="55" t="s">
        <v>1102</v>
      </c>
      <c r="C55" s="17" t="s">
        <v>523</v>
      </c>
      <c r="D55" s="17">
        <v>224</v>
      </c>
      <c r="E55" s="13"/>
      <c r="F55" s="17"/>
      <c r="G55" s="16">
        <v>60</v>
      </c>
      <c r="H55" s="18">
        <v>10</v>
      </c>
      <c r="I55" s="16">
        <v>1</v>
      </c>
      <c r="J55" s="20">
        <f t="shared" si="8"/>
        <v>0.16666666666666666</v>
      </c>
      <c r="K55" s="30">
        <v>3</v>
      </c>
      <c r="L55" s="8">
        <f t="shared" si="9"/>
        <v>0.50</v>
      </c>
      <c r="M55" s="42">
        <f t="shared" si="10"/>
        <v>100</v>
      </c>
      <c r="N55" s="43">
        <v>200</v>
      </c>
      <c r="O55" s="8">
        <f t="shared" si="11"/>
        <v>0.50</v>
      </c>
    </row>
    <row r="56" spans="1:15" ht="15">
      <c r="A56" s="57" t="s">
        <v>325</v>
      </c>
      <c r="B56" s="56" t="s">
        <v>327</v>
      </c>
      <c r="C56" s="13" t="s">
        <v>326</v>
      </c>
      <c r="D56" s="13">
        <v>112</v>
      </c>
      <c r="E56" s="13"/>
      <c r="F56" s="13" t="s">
        <v>513</v>
      </c>
      <c r="G56" s="28">
        <v>15</v>
      </c>
      <c r="H56" s="440">
        <v>10</v>
      </c>
      <c r="I56" s="28">
        <v>2</v>
      </c>
      <c r="J56" s="441">
        <f t="shared" si="8"/>
        <v>1.3333333333333333</v>
      </c>
      <c r="K56" s="432">
        <v>1</v>
      </c>
      <c r="L56" s="435">
        <f t="shared" si="9"/>
        <v>1.3333333333333333</v>
      </c>
      <c r="M56" s="266">
        <f t="shared" si="10"/>
        <v>266.66666666666663</v>
      </c>
      <c r="N56" s="433">
        <v>200</v>
      </c>
      <c r="O56" s="435">
        <f t="shared" si="11"/>
        <v>0.66666666666666663</v>
      </c>
    </row>
    <row r="57" spans="1:15" s="0" customFormat="1" ht="15">
      <c r="A57" s="637" t="s">
        <v>197</v>
      </c>
      <c r="B57" s="638" t="s">
        <v>110</v>
      </c>
      <c r="C57" s="13" t="s">
        <v>47</v>
      </c>
      <c r="D57" s="13">
        <v>112</v>
      </c>
      <c r="E57" s="13"/>
      <c r="F57" s="25" t="s">
        <v>111</v>
      </c>
      <c r="G57" s="16">
        <v>20</v>
      </c>
      <c r="H57" s="252">
        <v>10</v>
      </c>
      <c r="I57" s="16">
        <v>2</v>
      </c>
      <c r="J57" s="253">
        <f t="shared" si="8"/>
        <v>1</v>
      </c>
      <c r="K57" s="16">
        <v>1</v>
      </c>
      <c r="L57" s="26">
        <f t="shared" si="9"/>
        <v>1</v>
      </c>
      <c r="M57" s="43">
        <f t="shared" si="10"/>
        <v>200</v>
      </c>
      <c r="N57" s="46">
        <v>200</v>
      </c>
      <c r="O57" s="8">
        <f t="shared" si="11"/>
        <v>0.50</v>
      </c>
    </row>
    <row r="58" spans="1:15" s="0" customFormat="1" ht="30">
      <c r="A58" s="637"/>
      <c r="B58" s="638"/>
      <c r="C58" s="13" t="s">
        <v>48</v>
      </c>
      <c r="D58" s="13">
        <v>112</v>
      </c>
      <c r="E58" s="4" t="s">
        <v>520</v>
      </c>
      <c r="F58" s="17" t="s">
        <v>10</v>
      </c>
      <c r="G58" s="16">
        <v>40</v>
      </c>
      <c r="H58" s="252">
        <v>10</v>
      </c>
      <c r="I58" s="16">
        <v>1</v>
      </c>
      <c r="J58" s="253">
        <f t="shared" si="8"/>
        <v>0.25</v>
      </c>
      <c r="K58" s="30">
        <f>((1590*2+270*2)+(1442)+(721))/1000</f>
        <v>5.883</v>
      </c>
      <c r="L58" s="26">
        <f t="shared" si="9"/>
        <v>1.47075</v>
      </c>
      <c r="M58" s="43">
        <f t="shared" si="10"/>
        <v>294.14999999999998</v>
      </c>
      <c r="N58" s="46">
        <v>200</v>
      </c>
      <c r="O58" s="8">
        <f t="shared" si="11"/>
        <v>1.47075</v>
      </c>
    </row>
    <row r="59" spans="1:15" ht="15">
      <c r="A59" s="54" t="s">
        <v>888</v>
      </c>
      <c r="B59" s="56" t="s">
        <v>945</v>
      </c>
      <c r="C59" s="13" t="s">
        <v>862</v>
      </c>
      <c r="D59" s="13">
        <v>224</v>
      </c>
      <c r="E59" s="13"/>
      <c r="F59" s="17"/>
      <c r="G59" s="28">
        <f>(600-25)/10</f>
        <v>57.50</v>
      </c>
      <c r="H59" s="440">
        <v>10</v>
      </c>
      <c r="I59" s="28">
        <v>2</v>
      </c>
      <c r="J59" s="441">
        <f t="shared" si="8"/>
        <v>0.34782608695652173</v>
      </c>
      <c r="K59" s="28">
        <v>1</v>
      </c>
      <c r="L59" s="267">
        <f t="shared" si="9"/>
        <v>0.34782608695652173</v>
      </c>
      <c r="M59" s="433">
        <f t="shared" si="10"/>
        <v>69.565217391304344</v>
      </c>
      <c r="N59" s="434">
        <v>200</v>
      </c>
      <c r="O59" s="435">
        <f t="shared" si="11"/>
        <v>0.17391304347826086</v>
      </c>
    </row>
    <row r="60" spans="1:15" ht="15">
      <c r="A60" s="13" t="s">
        <v>199</v>
      </c>
      <c r="B60" s="27" t="s">
        <v>890</v>
      </c>
      <c r="C60" s="13" t="s">
        <v>47</v>
      </c>
      <c r="D60" s="13">
        <v>112</v>
      </c>
      <c r="E60" s="13"/>
      <c r="F60" s="4" t="s">
        <v>870</v>
      </c>
      <c r="G60" s="28">
        <v>12.50</v>
      </c>
      <c r="H60" s="440">
        <v>10</v>
      </c>
      <c r="I60" s="28">
        <v>2</v>
      </c>
      <c r="J60" s="441">
        <f t="shared" si="8"/>
        <v>1.60</v>
      </c>
      <c r="K60" s="28">
        <v>1</v>
      </c>
      <c r="L60" s="267">
        <f t="shared" si="9"/>
        <v>1.60</v>
      </c>
      <c r="M60" s="433">
        <f t="shared" si="10"/>
        <v>320</v>
      </c>
      <c r="N60" s="434">
        <v>200</v>
      </c>
      <c r="O60" s="435">
        <f t="shared" si="11"/>
        <v>0.80</v>
      </c>
    </row>
    <row r="61" spans="1:15" ht="15">
      <c r="A61" s="39"/>
      <c r="B61" s="649" t="s">
        <v>132</v>
      </c>
      <c r="C61" s="649"/>
      <c r="D61" s="649"/>
      <c r="E61" s="649"/>
      <c r="F61" s="649"/>
      <c r="G61" s="649"/>
      <c r="H61" s="649"/>
      <c r="I61" s="649"/>
      <c r="J61" s="649"/>
      <c r="K61" s="649"/>
      <c r="L61" s="267"/>
      <c r="M61" s="262">
        <f>SUM(M62:M73)</f>
        <v>5776.082405590264</v>
      </c>
      <c r="N61" s="263"/>
      <c r="O61" s="264">
        <f>SUM(O62:O73)</f>
        <v>21.65955744362908</v>
      </c>
    </row>
    <row r="62" spans="1:15" ht="15">
      <c r="A62" s="650" t="s">
        <v>200</v>
      </c>
      <c r="B62" s="638" t="s">
        <v>871</v>
      </c>
      <c r="C62" s="13" t="s">
        <v>946</v>
      </c>
      <c r="D62" s="13">
        <v>224</v>
      </c>
      <c r="E62" s="13"/>
      <c r="F62" s="13" t="s">
        <v>353</v>
      </c>
      <c r="G62" s="442">
        <f>600/10</f>
        <v>60</v>
      </c>
      <c r="H62" s="440">
        <v>10</v>
      </c>
      <c r="I62" s="28">
        <v>1</v>
      </c>
      <c r="J62" s="441">
        <f t="shared" si="12" ref="J62:J73">H62/G62*I62</f>
        <v>0.16666666666666666</v>
      </c>
      <c r="K62" s="432">
        <v>2</v>
      </c>
      <c r="L62" s="435">
        <f t="shared" si="13" ref="L62:L65">J62*K62</f>
        <v>0.33333333333333331</v>
      </c>
      <c r="M62" s="266">
        <f t="shared" si="14" ref="M62:M73">L62*N62</f>
        <v>66.666666666666657</v>
      </c>
      <c r="N62" s="433">
        <v>200</v>
      </c>
      <c r="O62" s="435">
        <f t="shared" si="15" ref="O62:O73">J62/I62*K62</f>
        <v>0.33333333333333331</v>
      </c>
    </row>
    <row r="63" spans="1:15" ht="15">
      <c r="A63" s="650"/>
      <c r="B63" s="638"/>
      <c r="C63" s="13" t="s">
        <v>947</v>
      </c>
      <c r="D63" s="13">
        <v>224</v>
      </c>
      <c r="E63" s="13"/>
      <c r="F63" s="13" t="s">
        <v>353</v>
      </c>
      <c r="G63" s="442">
        <v>120</v>
      </c>
      <c r="H63" s="440">
        <v>10</v>
      </c>
      <c r="I63" s="28">
        <v>1</v>
      </c>
      <c r="J63" s="441">
        <f t="shared" si="12"/>
        <v>0.083333333333333329</v>
      </c>
      <c r="K63" s="432">
        <v>2</v>
      </c>
      <c r="L63" s="435">
        <f t="shared" si="13"/>
        <v>0.16666666666666666</v>
      </c>
      <c r="M63" s="266">
        <f t="shared" si="14"/>
        <v>33.333333333333329</v>
      </c>
      <c r="N63" s="433">
        <v>200</v>
      </c>
      <c r="O63" s="435">
        <f t="shared" si="15"/>
        <v>0.16666666666666666</v>
      </c>
    </row>
    <row r="64" spans="1:15" ht="15">
      <c r="A64" s="650"/>
      <c r="B64" s="638"/>
      <c r="C64" s="13" t="s">
        <v>873</v>
      </c>
      <c r="D64" s="13">
        <v>224</v>
      </c>
      <c r="E64" s="13"/>
      <c r="F64" s="13" t="s">
        <v>353</v>
      </c>
      <c r="G64" s="442">
        <f>600/5</f>
        <v>120</v>
      </c>
      <c r="H64" s="440">
        <v>10</v>
      </c>
      <c r="I64" s="28">
        <v>1</v>
      </c>
      <c r="J64" s="441">
        <f t="shared" si="12"/>
        <v>0.083333333333333329</v>
      </c>
      <c r="K64" s="432">
        <v>2</v>
      </c>
      <c r="L64" s="435">
        <f t="shared" si="13"/>
        <v>0.16666666666666666</v>
      </c>
      <c r="M64" s="266">
        <f t="shared" si="14"/>
        <v>33.333333333333329</v>
      </c>
      <c r="N64" s="433">
        <v>200</v>
      </c>
      <c r="O64" s="435">
        <f t="shared" si="15"/>
        <v>0.16666666666666666</v>
      </c>
    </row>
    <row r="65" spans="1:15" ht="15">
      <c r="A65" s="57" t="s">
        <v>662</v>
      </c>
      <c r="B65" s="56" t="s">
        <v>948</v>
      </c>
      <c r="C65" s="13" t="s">
        <v>862</v>
      </c>
      <c r="D65" s="13">
        <v>224</v>
      </c>
      <c r="E65" s="13"/>
      <c r="F65" s="17"/>
      <c r="G65" s="442">
        <f>(600-25)/10</f>
        <v>57.50</v>
      </c>
      <c r="H65" s="440">
        <v>10</v>
      </c>
      <c r="I65" s="28">
        <v>2</v>
      </c>
      <c r="J65" s="441">
        <f t="shared" si="12"/>
        <v>0.34782608695652173</v>
      </c>
      <c r="K65" s="28">
        <v>1</v>
      </c>
      <c r="L65" s="267">
        <f t="shared" si="13"/>
        <v>0.34782608695652173</v>
      </c>
      <c r="M65" s="433">
        <f t="shared" si="14"/>
        <v>69.565217391304344</v>
      </c>
      <c r="N65" s="434">
        <v>200</v>
      </c>
      <c r="O65" s="435">
        <f t="shared" si="15"/>
        <v>0.17391304347826086</v>
      </c>
    </row>
    <row r="66" spans="1:15" ht="15">
      <c r="A66" s="13" t="s">
        <v>205</v>
      </c>
      <c r="B66" s="27" t="s">
        <v>875</v>
      </c>
      <c r="C66" s="13" t="s">
        <v>138</v>
      </c>
      <c r="D66" s="13">
        <v>117</v>
      </c>
      <c r="E66" s="13"/>
      <c r="F66" s="4" t="s">
        <v>13</v>
      </c>
      <c r="G66" s="442">
        <f>1.6*1.4</f>
        <v>2.2399999999999998</v>
      </c>
      <c r="H66" s="440">
        <v>10</v>
      </c>
      <c r="I66" s="28">
        <v>2</v>
      </c>
      <c r="J66" s="441">
        <f t="shared" si="12"/>
        <v>8.9285714285714288</v>
      </c>
      <c r="K66" s="28">
        <v>1</v>
      </c>
      <c r="L66" s="267">
        <f>J66*K66</f>
        <v>8.9285714285714288</v>
      </c>
      <c r="M66" s="433">
        <f t="shared" si="14"/>
        <v>1785.7142857142858</v>
      </c>
      <c r="N66" s="434">
        <v>200</v>
      </c>
      <c r="O66" s="435">
        <f t="shared" si="15"/>
        <v>4.4642857142857144</v>
      </c>
    </row>
    <row r="67" spans="1:15" ht="15">
      <c r="A67" s="13" t="s">
        <v>877</v>
      </c>
      <c r="B67" s="27" t="s">
        <v>876</v>
      </c>
      <c r="C67" s="13" t="s">
        <v>160</v>
      </c>
      <c r="D67" s="13">
        <v>117</v>
      </c>
      <c r="E67" s="13"/>
      <c r="F67" s="4" t="s">
        <v>13</v>
      </c>
      <c r="G67" s="442">
        <v>40</v>
      </c>
      <c r="H67" s="440">
        <v>10</v>
      </c>
      <c r="I67" s="28">
        <v>1</v>
      </c>
      <c r="J67" s="441">
        <f t="shared" si="12"/>
        <v>0.25</v>
      </c>
      <c r="K67" s="442">
        <f>(3465+3108+3070+950*2+16*3.1415*16+325*3.1415+30*3)/1000</f>
        <v>13.458211499999999</v>
      </c>
      <c r="L67" s="267">
        <f>J67*K67</f>
        <v>3.3645528749999998</v>
      </c>
      <c r="M67" s="433">
        <f t="shared" si="14"/>
        <v>672.91057499999999</v>
      </c>
      <c r="N67" s="434">
        <v>200</v>
      </c>
      <c r="O67" s="435">
        <f t="shared" si="15"/>
        <v>3.3645528749999998</v>
      </c>
    </row>
    <row r="68" spans="1:15" ht="15">
      <c r="A68" s="13" t="s">
        <v>206</v>
      </c>
      <c r="B68" s="27" t="s">
        <v>94</v>
      </c>
      <c r="C68" s="13" t="s">
        <v>160</v>
      </c>
      <c r="D68" s="13">
        <v>114</v>
      </c>
      <c r="E68" s="13"/>
      <c r="F68" s="4" t="s">
        <v>13</v>
      </c>
      <c r="G68" s="442">
        <v>40</v>
      </c>
      <c r="H68" s="440">
        <v>10</v>
      </c>
      <c r="I68" s="28">
        <v>1</v>
      </c>
      <c r="J68" s="441">
        <f t="shared" si="12"/>
        <v>0.25</v>
      </c>
      <c r="K68" s="442">
        <f>(3465*2+120*3+16*3.1415*16+325*3.1415+3108+3278+3114+19*3.1415*2+23*3.1415*2+3050)/1000</f>
        <v>21.929097499999997</v>
      </c>
      <c r="L68" s="267">
        <f>J68*K68</f>
        <v>5.4822743749999994</v>
      </c>
      <c r="M68" s="433">
        <f t="shared" si="14"/>
        <v>1096.4548749999999</v>
      </c>
      <c r="N68" s="434">
        <v>200</v>
      </c>
      <c r="O68" s="435">
        <f t="shared" si="15"/>
        <v>5.4822743749999994</v>
      </c>
    </row>
    <row r="69" spans="1:15" ht="15">
      <c r="A69" s="13" t="s">
        <v>207</v>
      </c>
      <c r="B69" s="56" t="s">
        <v>55</v>
      </c>
      <c r="C69" s="13" t="s">
        <v>29</v>
      </c>
      <c r="D69" s="13">
        <v>120</v>
      </c>
      <c r="E69" s="13"/>
      <c r="F69" s="13" t="s">
        <v>13</v>
      </c>
      <c r="G69" s="31">
        <v>12.30</v>
      </c>
      <c r="H69" s="440">
        <v>10</v>
      </c>
      <c r="I69" s="28">
        <v>1</v>
      </c>
      <c r="J69" s="441">
        <f t="shared" si="12"/>
        <v>0.81300813008130079</v>
      </c>
      <c r="K69" s="28">
        <v>1</v>
      </c>
      <c r="L69" s="267">
        <f t="shared" si="16" ref="L69:L72">J69*K69</f>
        <v>0.81300813008130079</v>
      </c>
      <c r="M69" s="433">
        <f t="shared" si="14"/>
        <v>143.08943089430895</v>
      </c>
      <c r="N69" s="434">
        <v>176</v>
      </c>
      <c r="O69" s="435">
        <f t="shared" si="15"/>
        <v>0.81300813008130079</v>
      </c>
    </row>
    <row r="70" spans="1:15" ht="15">
      <c r="A70" s="13" t="s">
        <v>208</v>
      </c>
      <c r="B70" s="56" t="s">
        <v>56</v>
      </c>
      <c r="C70" s="13" t="s">
        <v>29</v>
      </c>
      <c r="D70" s="13">
        <v>120</v>
      </c>
      <c r="E70" s="13"/>
      <c r="F70" s="13" t="s">
        <v>13</v>
      </c>
      <c r="G70" s="31">
        <v>12.30</v>
      </c>
      <c r="H70" s="440">
        <v>10</v>
      </c>
      <c r="I70" s="28">
        <v>1</v>
      </c>
      <c r="J70" s="441">
        <f t="shared" si="12"/>
        <v>0.81300813008130079</v>
      </c>
      <c r="K70" s="28">
        <v>1</v>
      </c>
      <c r="L70" s="267">
        <f t="shared" si="16"/>
        <v>0.81300813008130079</v>
      </c>
      <c r="M70" s="433">
        <f t="shared" si="14"/>
        <v>143.08943089430895</v>
      </c>
      <c r="N70" s="434">
        <v>176</v>
      </c>
      <c r="O70" s="435">
        <f t="shared" si="15"/>
        <v>0.81300813008130079</v>
      </c>
    </row>
    <row r="71" spans="1:16" ht="30">
      <c r="A71" s="13" t="s">
        <v>209</v>
      </c>
      <c r="B71" s="27" t="s">
        <v>892</v>
      </c>
      <c r="C71" s="13" t="s">
        <v>14</v>
      </c>
      <c r="D71" s="13">
        <v>119</v>
      </c>
      <c r="E71" s="13"/>
      <c r="F71" s="13" t="s">
        <v>58</v>
      </c>
      <c r="G71" s="16">
        <v>61</v>
      </c>
      <c r="H71" s="440">
        <v>10</v>
      </c>
      <c r="I71" s="28">
        <v>1</v>
      </c>
      <c r="J71" s="441">
        <f t="shared" si="12"/>
        <v>0.16393442622950818</v>
      </c>
      <c r="K71" s="28">
        <v>1.80</v>
      </c>
      <c r="L71" s="267">
        <f t="shared" si="16"/>
        <v>0.29508196721311475</v>
      </c>
      <c r="M71" s="433">
        <f t="shared" si="14"/>
        <v>59.016393442622949</v>
      </c>
      <c r="N71" s="434">
        <v>200</v>
      </c>
      <c r="O71" s="435">
        <f t="shared" si="15"/>
        <v>0.29508196721311475</v>
      </c>
      <c r="P71" s="22"/>
    </row>
    <row r="72" spans="1:16" ht="30">
      <c r="A72" s="13" t="s">
        <v>210</v>
      </c>
      <c r="B72" s="27" t="s">
        <v>114</v>
      </c>
      <c r="C72" s="13" t="s">
        <v>54</v>
      </c>
      <c r="D72" s="13">
        <v>116</v>
      </c>
      <c r="E72" s="13"/>
      <c r="F72" s="13" t="s">
        <v>13</v>
      </c>
      <c r="G72" s="469">
        <v>3.60</v>
      </c>
      <c r="H72" s="440">
        <v>10</v>
      </c>
      <c r="I72" s="28">
        <v>2</v>
      </c>
      <c r="J72" s="441">
        <f t="shared" si="12"/>
        <v>5.5555555555555554</v>
      </c>
      <c r="K72" s="28">
        <v>1</v>
      </c>
      <c r="L72" s="267">
        <f t="shared" si="16"/>
        <v>5.5555555555555554</v>
      </c>
      <c r="M72" s="433">
        <f t="shared" si="14"/>
        <v>1111.1111111111111</v>
      </c>
      <c r="N72" s="434">
        <v>200</v>
      </c>
      <c r="O72" s="435">
        <f t="shared" si="15"/>
        <v>2.7777777777777777</v>
      </c>
      <c r="P72" s="22"/>
    </row>
    <row r="73" spans="1:15" ht="30">
      <c r="A73" s="13" t="s">
        <v>211</v>
      </c>
      <c r="B73" s="56" t="s">
        <v>60</v>
      </c>
      <c r="C73" s="13" t="s">
        <v>14</v>
      </c>
      <c r="D73" s="13">
        <v>226</v>
      </c>
      <c r="E73" s="13"/>
      <c r="F73" s="4" t="s">
        <v>58</v>
      </c>
      <c r="G73" s="470">
        <v>3.56</v>
      </c>
      <c r="H73" s="440">
        <v>10</v>
      </c>
      <c r="I73" s="28">
        <v>1</v>
      </c>
      <c r="J73" s="441">
        <f t="shared" si="12"/>
        <v>2.8089887640449436</v>
      </c>
      <c r="K73" s="28">
        <v>1</v>
      </c>
      <c r="L73" s="267">
        <f>J73*K73</f>
        <v>2.8089887640449436</v>
      </c>
      <c r="M73" s="433">
        <f t="shared" si="14"/>
        <v>561.79775280898866</v>
      </c>
      <c r="N73" s="434">
        <v>200</v>
      </c>
      <c r="O73" s="435">
        <f t="shared" si="15"/>
        <v>2.8089887640449436</v>
      </c>
    </row>
    <row r="74" spans="1:15" ht="15">
      <c r="A74" s="39"/>
      <c r="B74" s="649" t="s">
        <v>140</v>
      </c>
      <c r="C74" s="649"/>
      <c r="D74" s="649"/>
      <c r="E74" s="649"/>
      <c r="F74" s="649"/>
      <c r="G74" s="649"/>
      <c r="H74" s="649"/>
      <c r="I74" s="649"/>
      <c r="J74" s="649"/>
      <c r="K74" s="649"/>
      <c r="L74" s="267"/>
      <c r="M74" s="262">
        <f>SUM(M75:M80)</f>
        <v>2242.7366167918381</v>
      </c>
      <c r="N74" s="263"/>
      <c r="O74" s="264">
        <f>SUM(O75:O80)</f>
        <v>7.4147700404809296</v>
      </c>
    </row>
    <row r="75" spans="1:15" ht="15">
      <c r="A75" s="57" t="s">
        <v>893</v>
      </c>
      <c r="B75" s="27" t="s">
        <v>881</v>
      </c>
      <c r="C75" s="13" t="s">
        <v>880</v>
      </c>
      <c r="D75" s="13">
        <v>224</v>
      </c>
      <c r="E75" s="13"/>
      <c r="F75" s="13" t="s">
        <v>353</v>
      </c>
      <c r="G75" s="436">
        <f>600/20</f>
        <v>30</v>
      </c>
      <c r="H75" s="440">
        <v>10</v>
      </c>
      <c r="I75" s="28">
        <v>1</v>
      </c>
      <c r="J75" s="441">
        <f t="shared" si="17" ref="J75:J80">H75/G75*I75</f>
        <v>0.33333333333333331</v>
      </c>
      <c r="K75" s="432">
        <v>1</v>
      </c>
      <c r="L75" s="435">
        <f t="shared" si="18" ref="L75:L80">J75*K75</f>
        <v>0.33333333333333331</v>
      </c>
      <c r="M75" s="266">
        <f t="shared" si="19" ref="M75:M80">L75*N75</f>
        <v>66.666666666666657</v>
      </c>
      <c r="N75" s="433">
        <v>200</v>
      </c>
      <c r="O75" s="435">
        <f t="shared" si="20" ref="O75:O80">J75/I75*K75</f>
        <v>0.33333333333333331</v>
      </c>
    </row>
    <row r="76" spans="1:15" ht="15">
      <c r="A76" s="57" t="s">
        <v>212</v>
      </c>
      <c r="B76" s="56" t="s">
        <v>1415</v>
      </c>
      <c r="C76" s="13" t="s">
        <v>862</v>
      </c>
      <c r="D76" s="13">
        <v>224</v>
      </c>
      <c r="E76" s="13"/>
      <c r="F76" s="17"/>
      <c r="G76" s="28">
        <f>(600-25)/10</f>
        <v>57.50</v>
      </c>
      <c r="H76" s="440">
        <v>10</v>
      </c>
      <c r="I76" s="28">
        <v>2</v>
      </c>
      <c r="J76" s="441">
        <f t="shared" si="17"/>
        <v>0.34782608695652173</v>
      </c>
      <c r="K76" s="28">
        <v>1</v>
      </c>
      <c r="L76" s="267">
        <f t="shared" si="18"/>
        <v>0.34782608695652173</v>
      </c>
      <c r="M76" s="433">
        <f t="shared" si="19"/>
        <v>69.565217391304344</v>
      </c>
      <c r="N76" s="434">
        <v>200</v>
      </c>
      <c r="O76" s="435">
        <f t="shared" si="20"/>
        <v>0.17391304347826086</v>
      </c>
    </row>
    <row r="77" spans="1:15" ht="15">
      <c r="A77" s="57" t="s">
        <v>878</v>
      </c>
      <c r="B77" s="27" t="s">
        <v>882</v>
      </c>
      <c r="C77" s="13" t="s">
        <v>949</v>
      </c>
      <c r="D77" s="13">
        <v>117</v>
      </c>
      <c r="E77" s="13"/>
      <c r="F77" s="13" t="s">
        <v>353</v>
      </c>
      <c r="G77" s="28">
        <v>46.10</v>
      </c>
      <c r="H77" s="440">
        <v>10</v>
      </c>
      <c r="I77" s="28">
        <v>1</v>
      </c>
      <c r="J77" s="441">
        <f t="shared" si="17"/>
        <v>0.21691973969631237</v>
      </c>
      <c r="K77" s="432">
        <v>1</v>
      </c>
      <c r="L77" s="435">
        <f t="shared" si="18"/>
        <v>0.21691973969631237</v>
      </c>
      <c r="M77" s="266">
        <f t="shared" si="19"/>
        <v>43.383947939262477</v>
      </c>
      <c r="N77" s="433">
        <v>200</v>
      </c>
      <c r="O77" s="435">
        <f t="shared" si="20"/>
        <v>0.21691973969631237</v>
      </c>
    </row>
    <row r="78" spans="1:15" ht="15">
      <c r="A78" s="57" t="s">
        <v>214</v>
      </c>
      <c r="B78" s="56" t="s">
        <v>883</v>
      </c>
      <c r="C78" s="13" t="s">
        <v>33</v>
      </c>
      <c r="D78" s="13">
        <v>118</v>
      </c>
      <c r="E78" s="13"/>
      <c r="F78" s="13" t="s">
        <v>510</v>
      </c>
      <c r="G78" s="28">
        <v>40</v>
      </c>
      <c r="H78" s="440">
        <v>10</v>
      </c>
      <c r="I78" s="28">
        <v>2</v>
      </c>
      <c r="J78" s="441">
        <f t="shared" si="17"/>
        <v>0.50</v>
      </c>
      <c r="K78" s="432">
        <v>2</v>
      </c>
      <c r="L78" s="267">
        <f t="shared" si="18"/>
        <v>1</v>
      </c>
      <c r="M78" s="433">
        <f t="shared" si="19"/>
        <v>200</v>
      </c>
      <c r="N78" s="434">
        <v>200</v>
      </c>
      <c r="O78" s="435">
        <f t="shared" si="20"/>
        <v>0.50</v>
      </c>
    </row>
    <row r="79" spans="1:15" ht="15">
      <c r="A79" s="13" t="s">
        <v>219</v>
      </c>
      <c r="B79" s="56" t="s">
        <v>91</v>
      </c>
      <c r="C79" s="13" t="s">
        <v>54</v>
      </c>
      <c r="D79" s="13">
        <v>118</v>
      </c>
      <c r="E79" s="13"/>
      <c r="F79" s="4" t="s">
        <v>59</v>
      </c>
      <c r="G79" s="30">
        <v>3.20</v>
      </c>
      <c r="H79" s="440">
        <v>10</v>
      </c>
      <c r="I79" s="28">
        <v>2</v>
      </c>
      <c r="J79" s="441">
        <f t="shared" si="17"/>
        <v>6.25</v>
      </c>
      <c r="K79" s="432">
        <v>1</v>
      </c>
      <c r="L79" s="267">
        <f t="shared" si="18"/>
        <v>6.25</v>
      </c>
      <c r="M79" s="433">
        <f t="shared" si="19"/>
        <v>1250</v>
      </c>
      <c r="N79" s="434">
        <v>200</v>
      </c>
      <c r="O79" s="435">
        <f t="shared" si="20"/>
        <v>3.125</v>
      </c>
    </row>
    <row r="80" spans="1:15" ht="15">
      <c r="A80" s="13" t="s">
        <v>220</v>
      </c>
      <c r="B80" s="56" t="s">
        <v>92</v>
      </c>
      <c r="C80" s="13" t="s">
        <v>54</v>
      </c>
      <c r="D80" s="13">
        <v>118</v>
      </c>
      <c r="E80" s="13"/>
      <c r="F80" s="4" t="s">
        <v>59</v>
      </c>
      <c r="G80" s="30">
        <v>3.262</v>
      </c>
      <c r="H80" s="440">
        <v>10</v>
      </c>
      <c r="I80" s="28">
        <v>1</v>
      </c>
      <c r="J80" s="441">
        <f t="shared" si="17"/>
        <v>3.0656039239730228</v>
      </c>
      <c r="K80" s="432">
        <v>1</v>
      </c>
      <c r="L80" s="267">
        <f t="shared" si="18"/>
        <v>3.0656039239730228</v>
      </c>
      <c r="M80" s="433">
        <f t="shared" si="19"/>
        <v>613.12078479460456</v>
      </c>
      <c r="N80" s="434">
        <v>200</v>
      </c>
      <c r="O80" s="435">
        <f t="shared" si="20"/>
        <v>3.0656039239730228</v>
      </c>
    </row>
    <row r="81" spans="1:15" ht="15">
      <c r="A81" s="39"/>
      <c r="B81" s="649" t="s">
        <v>135</v>
      </c>
      <c r="C81" s="649"/>
      <c r="D81" s="649"/>
      <c r="E81" s="649"/>
      <c r="F81" s="649"/>
      <c r="G81" s="649"/>
      <c r="H81" s="649"/>
      <c r="I81" s="649"/>
      <c r="J81" s="649"/>
      <c r="K81" s="649"/>
      <c r="L81" s="435"/>
      <c r="M81" s="262">
        <f>SUM(M82:M84)</f>
        <v>542.1416234887738</v>
      </c>
      <c r="N81" s="263"/>
      <c r="O81" s="264">
        <f>SUM(O82:O84)</f>
        <v>1.4607081174438687</v>
      </c>
    </row>
    <row r="82" spans="1:15" ht="15">
      <c r="A82" s="13" t="s">
        <v>136</v>
      </c>
      <c r="B82" s="56" t="s">
        <v>137</v>
      </c>
      <c r="C82" s="13" t="s">
        <v>138</v>
      </c>
      <c r="D82" s="13">
        <v>117</v>
      </c>
      <c r="E82" s="13"/>
      <c r="F82" s="4" t="s">
        <v>139</v>
      </c>
      <c r="G82" s="28">
        <v>10</v>
      </c>
      <c r="H82" s="440">
        <v>10</v>
      </c>
      <c r="I82" s="28">
        <v>2</v>
      </c>
      <c r="J82" s="441">
        <f>H82/G82*I82</f>
        <v>2</v>
      </c>
      <c r="K82" s="28">
        <v>1</v>
      </c>
      <c r="L82" s="435">
        <f t="shared" si="21" ref="L82:L84">J82*K82</f>
        <v>2</v>
      </c>
      <c r="M82" s="266">
        <f>L82*N82</f>
        <v>400</v>
      </c>
      <c r="N82" s="433">
        <v>200</v>
      </c>
      <c r="O82" s="435">
        <f>J82/I82*K82</f>
        <v>1</v>
      </c>
    </row>
    <row r="83" spans="1:15" ht="15">
      <c r="A83" s="13" t="s">
        <v>346</v>
      </c>
      <c r="B83" s="56" t="s">
        <v>347</v>
      </c>
      <c r="C83" s="13" t="s">
        <v>14</v>
      </c>
      <c r="D83" s="13">
        <v>226</v>
      </c>
      <c r="E83" s="13"/>
      <c r="F83" s="13" t="s">
        <v>58</v>
      </c>
      <c r="G83" s="28">
        <v>23.16</v>
      </c>
      <c r="H83" s="440">
        <v>10</v>
      </c>
      <c r="I83" s="28">
        <v>1</v>
      </c>
      <c r="J83" s="441">
        <f>H83/G83*I83</f>
        <v>0.43177892918825561</v>
      </c>
      <c r="K83" s="28">
        <f>0.122*4</f>
        <v>0.48799999999999999</v>
      </c>
      <c r="L83" s="435">
        <f t="shared" si="21"/>
        <v>0.21070811744386872</v>
      </c>
      <c r="M83" s="266">
        <f>L83*N83</f>
        <v>42.141623488773746</v>
      </c>
      <c r="N83" s="433">
        <v>200</v>
      </c>
      <c r="O83" s="435">
        <f>J83/I83*K83</f>
        <v>0.21070811744386872</v>
      </c>
    </row>
    <row r="84" spans="1:15" ht="15">
      <c r="A84" s="13" t="s">
        <v>344</v>
      </c>
      <c r="B84" s="56" t="s">
        <v>345</v>
      </c>
      <c r="C84" s="13" t="s">
        <v>24</v>
      </c>
      <c r="D84" s="13">
        <v>219</v>
      </c>
      <c r="E84" s="13"/>
      <c r="F84" s="4" t="s">
        <v>139</v>
      </c>
      <c r="G84" s="28">
        <v>40</v>
      </c>
      <c r="H84" s="440">
        <v>10</v>
      </c>
      <c r="I84" s="28">
        <v>2</v>
      </c>
      <c r="J84" s="441">
        <f>H84/G84*I84</f>
        <v>0.50</v>
      </c>
      <c r="K84" s="28">
        <v>1</v>
      </c>
      <c r="L84" s="435">
        <f t="shared" si="21"/>
        <v>0.50</v>
      </c>
      <c r="M84" s="266">
        <f>L84*N84</f>
        <v>100</v>
      </c>
      <c r="N84" s="433">
        <v>200</v>
      </c>
      <c r="O84" s="435">
        <f>J84/I84*K84</f>
        <v>0.25</v>
      </c>
    </row>
    <row r="85" spans="1:15" ht="15">
      <c r="A85" s="39"/>
      <c r="B85" s="649" t="s">
        <v>133</v>
      </c>
      <c r="C85" s="649"/>
      <c r="D85" s="649"/>
      <c r="E85" s="649"/>
      <c r="F85" s="649"/>
      <c r="G85" s="649"/>
      <c r="H85" s="649"/>
      <c r="I85" s="649"/>
      <c r="J85" s="649"/>
      <c r="K85" s="649"/>
      <c r="L85" s="267"/>
      <c r="M85" s="262">
        <f>SUM(M86:M132)</f>
        <v>16424.698614985631</v>
      </c>
      <c r="N85" s="263"/>
      <c r="O85" s="264">
        <f>SUM(O86:O132)</f>
        <v>52.644338797210459</v>
      </c>
    </row>
    <row r="86" spans="1:15" ht="15">
      <c r="A86" s="13" t="s">
        <v>221</v>
      </c>
      <c r="B86" s="56" t="s">
        <v>715</v>
      </c>
      <c r="C86" s="13" t="s">
        <v>24</v>
      </c>
      <c r="D86" s="13">
        <v>112</v>
      </c>
      <c r="E86" s="13"/>
      <c r="F86" s="13" t="s">
        <v>11</v>
      </c>
      <c r="G86" s="432">
        <v>9</v>
      </c>
      <c r="H86" s="440">
        <v>10</v>
      </c>
      <c r="I86" s="28">
        <v>2</v>
      </c>
      <c r="J86" s="441">
        <f t="shared" si="22" ref="J86:J132">H86/G86*I86</f>
        <v>2.2222222222222223</v>
      </c>
      <c r="K86" s="28">
        <v>1</v>
      </c>
      <c r="L86" s="267">
        <f t="shared" si="23" ref="L86:L132">J86*K86</f>
        <v>2.2222222222222223</v>
      </c>
      <c r="M86" s="433">
        <f t="shared" si="24" ref="M86:M132">L86*N86</f>
        <v>444.44444444444446</v>
      </c>
      <c r="N86" s="434">
        <v>200</v>
      </c>
      <c r="O86" s="435">
        <f t="shared" si="25" ref="O86:O132">J86/I86*K86</f>
        <v>1.1111111111111112</v>
      </c>
    </row>
    <row r="87" spans="1:15" ht="15">
      <c r="A87" s="54" t="s">
        <v>1293</v>
      </c>
      <c r="B87" s="55" t="s">
        <v>1294</v>
      </c>
      <c r="C87" s="13" t="s">
        <v>160</v>
      </c>
      <c r="D87" s="13">
        <v>112</v>
      </c>
      <c r="E87" s="13" t="s">
        <v>53</v>
      </c>
      <c r="F87" s="13" t="s">
        <v>1295</v>
      </c>
      <c r="G87" s="28">
        <v>40</v>
      </c>
      <c r="H87" s="431">
        <v>10</v>
      </c>
      <c r="I87" s="28">
        <v>1</v>
      </c>
      <c r="J87" s="473">
        <f t="shared" si="22"/>
        <v>0.25</v>
      </c>
      <c r="K87" s="442">
        <f>560*3.1415*2/1000</f>
        <v>3.5184799999999998</v>
      </c>
      <c r="L87" s="267">
        <f t="shared" si="23"/>
        <v>0.87961999999999996</v>
      </c>
      <c r="M87" s="474">
        <f t="shared" si="24"/>
        <v>175.92399999999998</v>
      </c>
      <c r="N87" s="488">
        <v>200</v>
      </c>
      <c r="O87" s="435">
        <f t="shared" si="25"/>
        <v>0.87961999999999996</v>
      </c>
    </row>
    <row r="88" spans="1:15" ht="30">
      <c r="A88" s="13" t="s">
        <v>225</v>
      </c>
      <c r="B88" s="27" t="s">
        <v>230</v>
      </c>
      <c r="C88" s="13" t="s">
        <v>226</v>
      </c>
      <c r="D88" s="13">
        <v>302</v>
      </c>
      <c r="E88" s="13"/>
      <c r="F88" s="13" t="s">
        <v>227</v>
      </c>
      <c r="G88" s="28">
        <f>600/2.5</f>
        <v>240</v>
      </c>
      <c r="H88" s="440">
        <v>10</v>
      </c>
      <c r="I88" s="28">
        <v>2</v>
      </c>
      <c r="J88" s="441">
        <f t="shared" si="22"/>
        <v>0.083333333333333329</v>
      </c>
      <c r="K88" s="28">
        <v>44</v>
      </c>
      <c r="L88" s="435">
        <f t="shared" si="23"/>
        <v>3.6666666666666665</v>
      </c>
      <c r="M88" s="433">
        <f t="shared" si="24"/>
        <v>733.33333333333326</v>
      </c>
      <c r="N88" s="433">
        <v>200</v>
      </c>
      <c r="O88" s="435">
        <f t="shared" si="25"/>
        <v>1.8333333333333333</v>
      </c>
    </row>
    <row r="89" spans="1:15" ht="30">
      <c r="A89" s="13" t="s">
        <v>228</v>
      </c>
      <c r="B89" s="27" t="s">
        <v>1282</v>
      </c>
      <c r="C89" s="13" t="s">
        <v>24</v>
      </c>
      <c r="D89" s="13">
        <v>110</v>
      </c>
      <c r="E89" s="13"/>
      <c r="F89" s="13" t="s">
        <v>63</v>
      </c>
      <c r="G89" s="28">
        <f>10*40</f>
        <v>400</v>
      </c>
      <c r="H89" s="440">
        <v>10</v>
      </c>
      <c r="I89" s="28">
        <v>2</v>
      </c>
      <c r="J89" s="441">
        <f t="shared" si="22"/>
        <v>0.05</v>
      </c>
      <c r="K89" s="28">
        <v>44</v>
      </c>
      <c r="L89" s="435">
        <f t="shared" si="23"/>
        <v>2.2000000000000002</v>
      </c>
      <c r="M89" s="433">
        <f t="shared" si="24"/>
        <v>334.40</v>
      </c>
      <c r="N89" s="433">
        <v>152</v>
      </c>
      <c r="O89" s="435">
        <f t="shared" si="25"/>
        <v>1.1000000000000001</v>
      </c>
    </row>
    <row r="90" spans="1:15" ht="15">
      <c r="A90" s="13" t="s">
        <v>232</v>
      </c>
      <c r="B90" s="27" t="s">
        <v>61</v>
      </c>
      <c r="C90" s="13" t="s">
        <v>62</v>
      </c>
      <c r="D90" s="13">
        <v>112</v>
      </c>
      <c r="E90" s="13"/>
      <c r="F90" s="13" t="s">
        <v>63</v>
      </c>
      <c r="G90" s="28">
        <v>200</v>
      </c>
      <c r="H90" s="440">
        <v>10</v>
      </c>
      <c r="I90" s="28">
        <v>2</v>
      </c>
      <c r="J90" s="441">
        <f t="shared" si="22"/>
        <v>0.10000000000000001</v>
      </c>
      <c r="K90" s="28">
        <v>44</v>
      </c>
      <c r="L90" s="267">
        <f t="shared" si="23"/>
        <v>4.4000000000000004</v>
      </c>
      <c r="M90" s="433">
        <f t="shared" si="24"/>
        <v>668.80</v>
      </c>
      <c r="N90" s="434">
        <v>152</v>
      </c>
      <c r="O90" s="435">
        <f t="shared" si="25"/>
        <v>2.2000000000000002</v>
      </c>
    </row>
    <row r="91" spans="1:15" ht="15">
      <c r="A91" s="13" t="s">
        <v>536</v>
      </c>
      <c r="B91" s="27" t="s">
        <v>537</v>
      </c>
      <c r="C91" s="13" t="s">
        <v>538</v>
      </c>
      <c r="D91" s="13">
        <v>115</v>
      </c>
      <c r="E91" s="13"/>
      <c r="F91" s="13" t="s">
        <v>63</v>
      </c>
      <c r="G91" s="28">
        <v>1200</v>
      </c>
      <c r="H91" s="440">
        <v>10</v>
      </c>
      <c r="I91" s="28">
        <v>1</v>
      </c>
      <c r="J91" s="441">
        <f t="shared" si="22"/>
        <v>0.0083333333333333332</v>
      </c>
      <c r="K91" s="28">
        <v>44</v>
      </c>
      <c r="L91" s="267">
        <f t="shared" si="23"/>
        <v>0.36666666666666664</v>
      </c>
      <c r="M91" s="433">
        <f t="shared" si="24"/>
        <v>73.333333333333329</v>
      </c>
      <c r="N91" s="434">
        <v>200</v>
      </c>
      <c r="O91" s="435">
        <f t="shared" si="25"/>
        <v>0.36666666666666664</v>
      </c>
    </row>
    <row r="92" spans="1:15" ht="30">
      <c r="A92" s="13" t="s">
        <v>233</v>
      </c>
      <c r="B92" s="27" t="s">
        <v>66</v>
      </c>
      <c r="C92" s="13" t="s">
        <v>48</v>
      </c>
      <c r="D92" s="13">
        <v>112</v>
      </c>
      <c r="E92" s="13"/>
      <c r="F92" s="13" t="s">
        <v>67</v>
      </c>
      <c r="G92" s="28">
        <v>80</v>
      </c>
      <c r="H92" s="440">
        <v>10</v>
      </c>
      <c r="I92" s="28">
        <v>2</v>
      </c>
      <c r="J92" s="441">
        <f t="shared" si="22"/>
        <v>0.25</v>
      </c>
      <c r="K92" s="28">
        <v>4</v>
      </c>
      <c r="L92" s="267">
        <f t="shared" si="23"/>
        <v>1</v>
      </c>
      <c r="M92" s="433">
        <f t="shared" si="24"/>
        <v>200</v>
      </c>
      <c r="N92" s="434">
        <v>200</v>
      </c>
      <c r="O92" s="435">
        <f t="shared" si="25"/>
        <v>0.50</v>
      </c>
    </row>
    <row r="93" spans="1:15" ht="15">
      <c r="A93" s="637" t="s">
        <v>234</v>
      </c>
      <c r="B93" s="648" t="s">
        <v>235</v>
      </c>
      <c r="C93" s="13" t="s">
        <v>72</v>
      </c>
      <c r="D93" s="13">
        <v>115</v>
      </c>
      <c r="E93" s="13"/>
      <c r="F93" s="13" t="s">
        <v>236</v>
      </c>
      <c r="G93" s="28">
        <v>30</v>
      </c>
      <c r="H93" s="440">
        <v>10</v>
      </c>
      <c r="I93" s="28">
        <v>2</v>
      </c>
      <c r="J93" s="441">
        <f t="shared" si="22"/>
        <v>0.66666666666666663</v>
      </c>
      <c r="K93" s="28">
        <v>5</v>
      </c>
      <c r="L93" s="267">
        <f t="shared" si="23"/>
        <v>3.333333333333333</v>
      </c>
      <c r="M93" s="433">
        <f t="shared" si="24"/>
        <v>666.66666666666663</v>
      </c>
      <c r="N93" s="434">
        <v>200</v>
      </c>
      <c r="O93" s="435">
        <f t="shared" si="25"/>
        <v>1.6666666666666665</v>
      </c>
    </row>
    <row r="94" spans="1:15" ht="15">
      <c r="A94" s="637"/>
      <c r="B94" s="648"/>
      <c r="C94" s="13" t="s">
        <v>48</v>
      </c>
      <c r="D94" s="13">
        <v>115</v>
      </c>
      <c r="E94" s="13" t="s">
        <v>73</v>
      </c>
      <c r="F94" s="13" t="s">
        <v>10</v>
      </c>
      <c r="G94" s="28">
        <v>40</v>
      </c>
      <c r="H94" s="440">
        <v>10</v>
      </c>
      <c r="I94" s="28">
        <v>1</v>
      </c>
      <c r="J94" s="441">
        <f t="shared" si="22"/>
        <v>0.25</v>
      </c>
      <c r="K94" s="442">
        <f>(975+1231+1478+428+822)*2/1000</f>
        <v>9.8680000000000003</v>
      </c>
      <c r="L94" s="267">
        <f t="shared" si="23"/>
        <v>2.4670000000000001</v>
      </c>
      <c r="M94" s="433">
        <f t="shared" si="24"/>
        <v>493.40</v>
      </c>
      <c r="N94" s="434">
        <v>200</v>
      </c>
      <c r="O94" s="435">
        <f t="shared" si="25"/>
        <v>2.4670000000000001</v>
      </c>
    </row>
    <row r="95" spans="1:15" ht="15">
      <c r="A95" s="13" t="s">
        <v>237</v>
      </c>
      <c r="B95" s="56" t="s">
        <v>238</v>
      </c>
      <c r="C95" s="13" t="s">
        <v>69</v>
      </c>
      <c r="D95" s="13">
        <v>110</v>
      </c>
      <c r="E95" s="13"/>
      <c r="F95" s="13" t="s">
        <v>34</v>
      </c>
      <c r="G95" s="28">
        <v>10</v>
      </c>
      <c r="H95" s="440">
        <v>10</v>
      </c>
      <c r="I95" s="28">
        <v>2</v>
      </c>
      <c r="J95" s="441">
        <f t="shared" si="22"/>
        <v>2</v>
      </c>
      <c r="K95" s="28">
        <v>1</v>
      </c>
      <c r="L95" s="267">
        <f t="shared" si="23"/>
        <v>2</v>
      </c>
      <c r="M95" s="433">
        <f t="shared" si="24"/>
        <v>400</v>
      </c>
      <c r="N95" s="434">
        <v>200</v>
      </c>
      <c r="O95" s="435">
        <f t="shared" si="25"/>
        <v>1</v>
      </c>
    </row>
    <row r="96" spans="1:15" ht="30">
      <c r="A96" s="13" t="s">
        <v>896</v>
      </c>
      <c r="B96" s="56" t="s">
        <v>894</v>
      </c>
      <c r="C96" s="13" t="s">
        <v>138</v>
      </c>
      <c r="D96" s="13">
        <v>110</v>
      </c>
      <c r="E96" s="13"/>
      <c r="F96" s="13" t="s">
        <v>12</v>
      </c>
      <c r="G96" s="28">
        <v>20</v>
      </c>
      <c r="H96" s="440">
        <v>10</v>
      </c>
      <c r="I96" s="28">
        <v>2</v>
      </c>
      <c r="J96" s="441">
        <f t="shared" si="22"/>
        <v>1</v>
      </c>
      <c r="K96" s="28">
        <v>1</v>
      </c>
      <c r="L96" s="267">
        <f t="shared" si="23"/>
        <v>1</v>
      </c>
      <c r="M96" s="433">
        <f t="shared" si="24"/>
        <v>200</v>
      </c>
      <c r="N96" s="434">
        <v>200</v>
      </c>
      <c r="O96" s="435">
        <f t="shared" si="25"/>
        <v>0.50</v>
      </c>
    </row>
    <row r="97" spans="1:15" ht="30">
      <c r="A97" s="13" t="s">
        <v>243</v>
      </c>
      <c r="B97" s="56" t="s">
        <v>244</v>
      </c>
      <c r="C97" s="13" t="s">
        <v>25</v>
      </c>
      <c r="D97" s="13">
        <v>110</v>
      </c>
      <c r="E97" s="13" t="s">
        <v>53</v>
      </c>
      <c r="F97" s="13" t="s">
        <v>10</v>
      </c>
      <c r="G97" s="28">
        <v>40</v>
      </c>
      <c r="H97" s="440">
        <v>10</v>
      </c>
      <c r="I97" s="28">
        <v>1</v>
      </c>
      <c r="J97" s="441">
        <f t="shared" si="22"/>
        <v>0.25</v>
      </c>
      <c r="K97" s="28">
        <f>3338*2/1000</f>
        <v>6.6760000000000002</v>
      </c>
      <c r="L97" s="267">
        <f t="shared" si="23"/>
        <v>1.669</v>
      </c>
      <c r="M97" s="433">
        <f t="shared" si="24"/>
        <v>333.80</v>
      </c>
      <c r="N97" s="434">
        <v>200</v>
      </c>
      <c r="O97" s="435">
        <f t="shared" si="25"/>
        <v>1.669</v>
      </c>
    </row>
    <row r="98" spans="1:15" ht="15">
      <c r="A98" s="13" t="s">
        <v>237</v>
      </c>
      <c r="B98" s="56" t="s">
        <v>71</v>
      </c>
      <c r="C98" s="13" t="s">
        <v>68</v>
      </c>
      <c r="D98" s="13">
        <v>110</v>
      </c>
      <c r="E98" s="13"/>
      <c r="F98" s="13" t="s">
        <v>34</v>
      </c>
      <c r="G98" s="28">
        <v>20</v>
      </c>
      <c r="H98" s="440">
        <v>10</v>
      </c>
      <c r="I98" s="28">
        <v>2</v>
      </c>
      <c r="J98" s="441">
        <f t="shared" si="22"/>
        <v>1</v>
      </c>
      <c r="K98" s="28">
        <v>1</v>
      </c>
      <c r="L98" s="267">
        <f t="shared" si="23"/>
        <v>1</v>
      </c>
      <c r="M98" s="433">
        <f t="shared" si="24"/>
        <v>200</v>
      </c>
      <c r="N98" s="434">
        <v>200</v>
      </c>
      <c r="O98" s="435">
        <f t="shared" si="25"/>
        <v>0.50</v>
      </c>
    </row>
    <row r="99" spans="1:15" ht="30">
      <c r="A99" s="13" t="s">
        <v>897</v>
      </c>
      <c r="B99" s="56" t="s">
        <v>895</v>
      </c>
      <c r="C99" s="13" t="s">
        <v>138</v>
      </c>
      <c r="D99" s="13">
        <v>110</v>
      </c>
      <c r="E99" s="13"/>
      <c r="F99" s="13" t="s">
        <v>12</v>
      </c>
      <c r="G99" s="28">
        <v>20</v>
      </c>
      <c r="H99" s="440">
        <v>10</v>
      </c>
      <c r="I99" s="28">
        <v>2</v>
      </c>
      <c r="J99" s="441">
        <f t="shared" si="22"/>
        <v>1</v>
      </c>
      <c r="K99" s="28">
        <v>1</v>
      </c>
      <c r="L99" s="267">
        <f t="shared" si="23"/>
        <v>1</v>
      </c>
      <c r="M99" s="433">
        <f t="shared" si="24"/>
        <v>200</v>
      </c>
      <c r="N99" s="434">
        <v>200</v>
      </c>
      <c r="O99" s="435">
        <f t="shared" si="25"/>
        <v>0.50</v>
      </c>
    </row>
    <row r="100" spans="1:15" ht="30">
      <c r="A100" s="13" t="s">
        <v>249</v>
      </c>
      <c r="B100" s="56" t="s">
        <v>248</v>
      </c>
      <c r="C100" s="13" t="s">
        <v>25</v>
      </c>
      <c r="D100" s="13">
        <v>110</v>
      </c>
      <c r="E100" s="13" t="s">
        <v>53</v>
      </c>
      <c r="F100" s="13" t="s">
        <v>10</v>
      </c>
      <c r="G100" s="28">
        <v>40</v>
      </c>
      <c r="H100" s="440">
        <v>10</v>
      </c>
      <c r="I100" s="28">
        <v>1</v>
      </c>
      <c r="J100" s="441">
        <f t="shared" si="22"/>
        <v>0.25</v>
      </c>
      <c r="K100" s="28">
        <f>3338*2/1000</f>
        <v>6.6760000000000002</v>
      </c>
      <c r="L100" s="267">
        <f t="shared" si="23"/>
        <v>1.669</v>
      </c>
      <c r="M100" s="433">
        <f t="shared" si="24"/>
        <v>333.80</v>
      </c>
      <c r="N100" s="434">
        <v>200</v>
      </c>
      <c r="O100" s="435">
        <f t="shared" si="25"/>
        <v>1.669</v>
      </c>
    </row>
    <row r="101" spans="1:15" ht="15">
      <c r="A101" s="13" t="s">
        <v>237</v>
      </c>
      <c r="B101" s="56" t="s">
        <v>71</v>
      </c>
      <c r="C101" s="13" t="s">
        <v>68</v>
      </c>
      <c r="D101" s="13">
        <v>110</v>
      </c>
      <c r="E101" s="13"/>
      <c r="F101" s="13" t="s">
        <v>34</v>
      </c>
      <c r="G101" s="28">
        <v>20</v>
      </c>
      <c r="H101" s="440">
        <v>10</v>
      </c>
      <c r="I101" s="28">
        <v>2</v>
      </c>
      <c r="J101" s="441">
        <f t="shared" si="22"/>
        <v>1</v>
      </c>
      <c r="K101" s="28">
        <v>1</v>
      </c>
      <c r="L101" s="267">
        <f t="shared" si="23"/>
        <v>1</v>
      </c>
      <c r="M101" s="433">
        <f t="shared" si="24"/>
        <v>200</v>
      </c>
      <c r="N101" s="434">
        <v>200</v>
      </c>
      <c r="O101" s="435">
        <f t="shared" si="25"/>
        <v>0.50</v>
      </c>
    </row>
    <row r="102" spans="1:15" ht="30">
      <c r="A102" s="13" t="s">
        <v>239</v>
      </c>
      <c r="B102" s="56" t="s">
        <v>240</v>
      </c>
      <c r="C102" s="13" t="s">
        <v>25</v>
      </c>
      <c r="D102" s="13">
        <v>113</v>
      </c>
      <c r="E102" s="13"/>
      <c r="F102" s="13" t="s">
        <v>63</v>
      </c>
      <c r="G102" s="432">
        <v>112</v>
      </c>
      <c r="H102" s="440">
        <v>10</v>
      </c>
      <c r="I102" s="28">
        <v>1</v>
      </c>
      <c r="J102" s="441">
        <f t="shared" si="22"/>
        <v>0.089285714285714288</v>
      </c>
      <c r="K102" s="28">
        <v>44</v>
      </c>
      <c r="L102" s="267">
        <f t="shared" si="23"/>
        <v>3.9285714285714288</v>
      </c>
      <c r="M102" s="433">
        <f t="shared" si="24"/>
        <v>1021.4285714285714</v>
      </c>
      <c r="N102" s="434">
        <v>260</v>
      </c>
      <c r="O102" s="435">
        <f t="shared" si="25"/>
        <v>3.9285714285714288</v>
      </c>
    </row>
    <row r="103" spans="1:15" ht="30">
      <c r="A103" s="13" t="s">
        <v>317</v>
      </c>
      <c r="B103" s="56" t="s">
        <v>316</v>
      </c>
      <c r="C103" s="13" t="s">
        <v>25</v>
      </c>
      <c r="D103" s="13">
        <v>113</v>
      </c>
      <c r="E103" s="13" t="s">
        <v>70</v>
      </c>
      <c r="F103" s="13" t="s">
        <v>10</v>
      </c>
      <c r="G103" s="28">
        <v>40</v>
      </c>
      <c r="H103" s="440">
        <v>10</v>
      </c>
      <c r="I103" s="28">
        <v>1</v>
      </c>
      <c r="J103" s="441">
        <f t="shared" si="22"/>
        <v>0.25</v>
      </c>
      <c r="K103" s="436">
        <f>630/1000*3.1415</f>
        <v>1.9791450000000002</v>
      </c>
      <c r="L103" s="267">
        <f t="shared" si="23"/>
        <v>0.49478625000000004</v>
      </c>
      <c r="M103" s="433">
        <f t="shared" si="24"/>
        <v>98.957250000000002</v>
      </c>
      <c r="N103" s="434">
        <v>200</v>
      </c>
      <c r="O103" s="435">
        <f t="shared" si="25"/>
        <v>0.49478625000000004</v>
      </c>
    </row>
    <row r="104" spans="1:15" ht="30">
      <c r="A104" s="13" t="s">
        <v>245</v>
      </c>
      <c r="B104" s="56" t="s">
        <v>246</v>
      </c>
      <c r="C104" s="13" t="s">
        <v>25</v>
      </c>
      <c r="D104" s="13">
        <v>113</v>
      </c>
      <c r="E104" s="13"/>
      <c r="F104" s="13" t="s">
        <v>63</v>
      </c>
      <c r="G104" s="432">
        <v>112</v>
      </c>
      <c r="H104" s="440">
        <v>10</v>
      </c>
      <c r="I104" s="28">
        <v>1</v>
      </c>
      <c r="J104" s="441">
        <f t="shared" si="22"/>
        <v>0.089285714285714288</v>
      </c>
      <c r="K104" s="28">
        <v>44</v>
      </c>
      <c r="L104" s="267">
        <f t="shared" si="23"/>
        <v>3.9285714285714288</v>
      </c>
      <c r="M104" s="433">
        <f t="shared" si="24"/>
        <v>1021.4285714285714</v>
      </c>
      <c r="N104" s="434">
        <v>260</v>
      </c>
      <c r="O104" s="435">
        <f t="shared" si="25"/>
        <v>3.9285714285714288</v>
      </c>
    </row>
    <row r="105" spans="1:15" ht="15">
      <c r="A105" s="13" t="s">
        <v>741</v>
      </c>
      <c r="B105" s="56" t="s">
        <v>1281</v>
      </c>
      <c r="C105" s="13" t="s">
        <v>33</v>
      </c>
      <c r="D105" s="13">
        <v>115</v>
      </c>
      <c r="E105" s="13"/>
      <c r="F105" s="13"/>
      <c r="G105" s="28">
        <v>10</v>
      </c>
      <c r="H105" s="440">
        <v>10</v>
      </c>
      <c r="I105" s="28">
        <v>1</v>
      </c>
      <c r="J105" s="441">
        <f t="shared" si="22"/>
        <v>1</v>
      </c>
      <c r="K105" s="28">
        <v>1.50</v>
      </c>
      <c r="L105" s="267">
        <f t="shared" si="23"/>
        <v>1.50</v>
      </c>
      <c r="M105" s="433">
        <f t="shared" si="24"/>
        <v>300</v>
      </c>
      <c r="N105" s="434">
        <v>200</v>
      </c>
      <c r="O105" s="435">
        <f t="shared" si="25"/>
        <v>1.50</v>
      </c>
    </row>
    <row r="106" spans="1:15" ht="15">
      <c r="A106" s="645" t="s">
        <v>254</v>
      </c>
      <c r="B106" s="639" t="s">
        <v>884</v>
      </c>
      <c r="C106" s="13" t="s">
        <v>76</v>
      </c>
      <c r="D106" s="13">
        <v>115</v>
      </c>
      <c r="E106" s="13"/>
      <c r="F106" s="13" t="s">
        <v>78</v>
      </c>
      <c r="G106" s="28">
        <v>20</v>
      </c>
      <c r="H106" s="440">
        <v>10</v>
      </c>
      <c r="I106" s="28">
        <v>2</v>
      </c>
      <c r="J106" s="441">
        <f t="shared" si="22"/>
        <v>1</v>
      </c>
      <c r="K106" s="28">
        <v>2</v>
      </c>
      <c r="L106" s="267">
        <f t="shared" si="23"/>
        <v>2</v>
      </c>
      <c r="M106" s="433">
        <f t="shared" si="24"/>
        <v>400</v>
      </c>
      <c r="N106" s="434">
        <v>200</v>
      </c>
      <c r="O106" s="435">
        <f t="shared" si="25"/>
        <v>1</v>
      </c>
    </row>
    <row r="107" spans="1:15" ht="15">
      <c r="A107" s="647"/>
      <c r="B107" s="641"/>
      <c r="C107" s="13" t="s">
        <v>77</v>
      </c>
      <c r="D107" s="13">
        <v>115</v>
      </c>
      <c r="E107" s="13" t="s">
        <v>79</v>
      </c>
      <c r="F107" s="13" t="s">
        <v>10</v>
      </c>
      <c r="G107" s="28">
        <v>40</v>
      </c>
      <c r="H107" s="440">
        <v>10</v>
      </c>
      <c r="I107" s="28">
        <v>1</v>
      </c>
      <c r="J107" s="441">
        <f t="shared" si="22"/>
        <v>0.25</v>
      </c>
      <c r="K107" s="442">
        <f>(116*2*4+130*4)/1000</f>
        <v>1.448</v>
      </c>
      <c r="L107" s="267">
        <f t="shared" si="23"/>
        <v>0.36199999999999999</v>
      </c>
      <c r="M107" s="433">
        <f t="shared" si="24"/>
        <v>72.399999999999991</v>
      </c>
      <c r="N107" s="434">
        <v>200</v>
      </c>
      <c r="O107" s="435">
        <f t="shared" si="25"/>
        <v>0.36199999999999999</v>
      </c>
    </row>
    <row r="108" spans="1:15" ht="15">
      <c r="A108" s="637" t="s">
        <v>257</v>
      </c>
      <c r="B108" s="638" t="s">
        <v>258</v>
      </c>
      <c r="C108" s="13" t="s">
        <v>950</v>
      </c>
      <c r="D108" s="13">
        <v>107</v>
      </c>
      <c r="E108" s="13" t="s">
        <v>260</v>
      </c>
      <c r="F108" s="13" t="s">
        <v>261</v>
      </c>
      <c r="G108" s="442">
        <f>9*2</f>
        <v>18</v>
      </c>
      <c r="H108" s="468">
        <v>11</v>
      </c>
      <c r="I108" s="432">
        <v>2</v>
      </c>
      <c r="J108" s="468">
        <f t="shared" si="22"/>
        <v>1.2222222222222223</v>
      </c>
      <c r="K108" s="442">
        <v>1</v>
      </c>
      <c r="L108" s="435">
        <f t="shared" si="23"/>
        <v>1.2222222222222223</v>
      </c>
      <c r="M108" s="266">
        <f t="shared" si="24"/>
        <v>244.44444444444446</v>
      </c>
      <c r="N108" s="433">
        <v>200</v>
      </c>
      <c r="O108" s="435">
        <f t="shared" si="25"/>
        <v>0.61111111111111116</v>
      </c>
    </row>
    <row r="109" spans="1:15" ht="15">
      <c r="A109" s="637"/>
      <c r="B109" s="638"/>
      <c r="C109" s="13" t="s">
        <v>951</v>
      </c>
      <c r="D109" s="13">
        <v>107</v>
      </c>
      <c r="E109" s="13" t="s">
        <v>260</v>
      </c>
      <c r="F109" s="17" t="s">
        <v>261</v>
      </c>
      <c r="G109" s="31">
        <v>44</v>
      </c>
      <c r="H109" s="252">
        <v>10</v>
      </c>
      <c r="I109" s="16">
        <v>2</v>
      </c>
      <c r="J109" s="253">
        <f t="shared" si="22"/>
        <v>0.45454545454545453</v>
      </c>
      <c r="K109" s="31">
        <v>2</v>
      </c>
      <c r="L109" s="8">
        <f t="shared" si="23"/>
        <v>0.90909090909090906</v>
      </c>
      <c r="M109" s="42">
        <f t="shared" si="24"/>
        <v>181.81818181818181</v>
      </c>
      <c r="N109" s="43">
        <v>200</v>
      </c>
      <c r="O109" s="8">
        <f t="shared" si="25"/>
        <v>0.45454545454545453</v>
      </c>
    </row>
    <row r="110" spans="1:15" ht="15">
      <c r="A110" s="637"/>
      <c r="B110" s="638"/>
      <c r="C110" s="13" t="s">
        <v>952</v>
      </c>
      <c r="D110" s="13">
        <v>107</v>
      </c>
      <c r="E110" s="13" t="s">
        <v>260</v>
      </c>
      <c r="F110" s="17" t="s">
        <v>261</v>
      </c>
      <c r="G110" s="31">
        <v>109</v>
      </c>
      <c r="H110" s="18">
        <v>10</v>
      </c>
      <c r="I110" s="16">
        <v>2</v>
      </c>
      <c r="J110" s="20">
        <f t="shared" si="22"/>
        <v>0.1834862385321101</v>
      </c>
      <c r="K110" s="31">
        <v>2</v>
      </c>
      <c r="L110" s="8">
        <f t="shared" si="23"/>
        <v>0.3669724770642202</v>
      </c>
      <c r="M110" s="42">
        <f t="shared" si="24"/>
        <v>73.394495412844037</v>
      </c>
      <c r="N110" s="43">
        <v>200</v>
      </c>
      <c r="O110" s="8">
        <f t="shared" si="25"/>
        <v>0.1834862385321101</v>
      </c>
    </row>
    <row r="111" spans="1:15" ht="15">
      <c r="A111" s="637" t="s">
        <v>265</v>
      </c>
      <c r="B111" s="638" t="s">
        <v>266</v>
      </c>
      <c r="C111" s="13" t="s">
        <v>76</v>
      </c>
      <c r="D111" s="13">
        <v>116</v>
      </c>
      <c r="E111" s="13"/>
      <c r="F111" s="13" t="s">
        <v>82</v>
      </c>
      <c r="G111" s="28">
        <v>9</v>
      </c>
      <c r="H111" s="440">
        <v>10</v>
      </c>
      <c r="I111" s="28">
        <v>2</v>
      </c>
      <c r="J111" s="441">
        <f t="shared" si="22"/>
        <v>2.2222222222222223</v>
      </c>
      <c r="K111" s="28">
        <v>1</v>
      </c>
      <c r="L111" s="267">
        <f t="shared" si="23"/>
        <v>2.2222222222222223</v>
      </c>
      <c r="M111" s="433">
        <f t="shared" si="24"/>
        <v>444.44444444444446</v>
      </c>
      <c r="N111" s="434">
        <v>200</v>
      </c>
      <c r="O111" s="435">
        <f t="shared" si="25"/>
        <v>1.1111111111111112</v>
      </c>
    </row>
    <row r="112" spans="1:15" ht="15">
      <c r="A112" s="637"/>
      <c r="B112" s="638"/>
      <c r="C112" s="13" t="s">
        <v>77</v>
      </c>
      <c r="D112" s="13">
        <v>116</v>
      </c>
      <c r="E112" s="13" t="s">
        <v>264</v>
      </c>
      <c r="F112" s="13" t="s">
        <v>10</v>
      </c>
      <c r="G112" s="28">
        <v>40</v>
      </c>
      <c r="H112" s="440">
        <v>10</v>
      </c>
      <c r="I112" s="28">
        <v>1</v>
      </c>
      <c r="J112" s="441">
        <f t="shared" si="22"/>
        <v>0.25</v>
      </c>
      <c r="K112" s="442">
        <f>(89*3.1415*3)*2/1000</f>
        <v>1.6775610000000001</v>
      </c>
      <c r="L112" s="267">
        <f t="shared" si="23"/>
        <v>0.41939025000000002</v>
      </c>
      <c r="M112" s="433">
        <f t="shared" si="24"/>
        <v>83.878050000000002</v>
      </c>
      <c r="N112" s="434">
        <v>200</v>
      </c>
      <c r="O112" s="435">
        <f t="shared" si="25"/>
        <v>0.41939025000000002</v>
      </c>
    </row>
    <row r="113" spans="1:15" ht="30">
      <c r="A113" s="13" t="s">
        <v>267</v>
      </c>
      <c r="B113" s="27" t="s">
        <v>519</v>
      </c>
      <c r="C113" s="13" t="s">
        <v>77</v>
      </c>
      <c r="D113" s="13">
        <v>116</v>
      </c>
      <c r="E113" s="13"/>
      <c r="F113" s="13" t="s">
        <v>67</v>
      </c>
      <c r="G113" s="28">
        <v>10</v>
      </c>
      <c r="H113" s="440">
        <v>10</v>
      </c>
      <c r="I113" s="28">
        <v>2</v>
      </c>
      <c r="J113" s="441">
        <f t="shared" si="22"/>
        <v>2</v>
      </c>
      <c r="K113" s="28">
        <v>1</v>
      </c>
      <c r="L113" s="267">
        <f t="shared" si="23"/>
        <v>2</v>
      </c>
      <c r="M113" s="433">
        <f t="shared" si="24"/>
        <v>400</v>
      </c>
      <c r="N113" s="434">
        <v>200</v>
      </c>
      <c r="O113" s="435">
        <f t="shared" si="25"/>
        <v>1</v>
      </c>
    </row>
    <row r="114" spans="1:15" ht="15">
      <c r="A114" s="13" t="s">
        <v>268</v>
      </c>
      <c r="B114" s="27" t="s">
        <v>334</v>
      </c>
      <c r="C114" s="13" t="s">
        <v>83</v>
      </c>
      <c r="D114" s="13">
        <v>116</v>
      </c>
      <c r="E114" s="13"/>
      <c r="F114" s="4" t="s">
        <v>84</v>
      </c>
      <c r="G114" s="16">
        <v>11.40</v>
      </c>
      <c r="H114" s="440">
        <v>10</v>
      </c>
      <c r="I114" s="28">
        <v>2</v>
      </c>
      <c r="J114" s="441">
        <f t="shared" si="22"/>
        <v>1.7543859649122806</v>
      </c>
      <c r="K114" s="28">
        <v>1</v>
      </c>
      <c r="L114" s="267">
        <f t="shared" si="23"/>
        <v>1.7543859649122806</v>
      </c>
      <c r="M114" s="433">
        <f t="shared" si="24"/>
        <v>350.87719298245611</v>
      </c>
      <c r="N114" s="434">
        <v>200</v>
      </c>
      <c r="O114" s="435">
        <f t="shared" si="25"/>
        <v>0.8771929824561403</v>
      </c>
    </row>
    <row r="115" spans="1:15" ht="15">
      <c r="A115" s="13" t="s">
        <v>335</v>
      </c>
      <c r="B115" s="27" t="s">
        <v>336</v>
      </c>
      <c r="C115" s="13" t="s">
        <v>83</v>
      </c>
      <c r="D115" s="13">
        <v>116</v>
      </c>
      <c r="E115" s="13"/>
      <c r="F115" s="4" t="s">
        <v>84</v>
      </c>
      <c r="G115" s="16">
        <v>4.49</v>
      </c>
      <c r="H115" s="440">
        <v>10</v>
      </c>
      <c r="I115" s="28">
        <v>2</v>
      </c>
      <c r="J115" s="441">
        <f t="shared" si="22"/>
        <v>4.4543429844097995</v>
      </c>
      <c r="K115" s="28">
        <v>1</v>
      </c>
      <c r="L115" s="267">
        <f t="shared" si="23"/>
        <v>4.4543429844097995</v>
      </c>
      <c r="M115" s="433">
        <f t="shared" si="24"/>
        <v>890.86859688195989</v>
      </c>
      <c r="N115" s="434">
        <v>200</v>
      </c>
      <c r="O115" s="435">
        <f t="shared" si="25"/>
        <v>2.2271714922048997</v>
      </c>
    </row>
    <row r="116" spans="1:15" ht="15">
      <c r="A116" s="13" t="s">
        <v>526</v>
      </c>
      <c r="B116" s="56" t="s">
        <v>524</v>
      </c>
      <c r="C116" s="13" t="s">
        <v>523</v>
      </c>
      <c r="D116" s="13">
        <v>224</v>
      </c>
      <c r="E116" s="13"/>
      <c r="F116" s="4" t="s">
        <v>525</v>
      </c>
      <c r="G116" s="28">
        <v>600</v>
      </c>
      <c r="H116" s="431">
        <v>10</v>
      </c>
      <c r="I116" s="28">
        <v>1</v>
      </c>
      <c r="J116" s="441">
        <f t="shared" si="22"/>
        <v>0.016666666666666666</v>
      </c>
      <c r="K116" s="28">
        <v>4</v>
      </c>
      <c r="L116" s="267">
        <f t="shared" si="23"/>
        <v>0.066666666666666666</v>
      </c>
      <c r="M116" s="433">
        <f t="shared" si="24"/>
        <v>11.733333333333333</v>
      </c>
      <c r="N116" s="434">
        <v>176</v>
      </c>
      <c r="O116" s="435">
        <f t="shared" si="25"/>
        <v>0.066666666666666666</v>
      </c>
    </row>
    <row r="117" spans="1:15" ht="15">
      <c r="A117" s="13" t="s">
        <v>269</v>
      </c>
      <c r="B117" s="56" t="s">
        <v>270</v>
      </c>
      <c r="C117" s="13" t="s">
        <v>523</v>
      </c>
      <c r="D117" s="13">
        <v>224</v>
      </c>
      <c r="E117" s="13"/>
      <c r="F117" s="4" t="s">
        <v>88</v>
      </c>
      <c r="G117" s="28">
        <v>300</v>
      </c>
      <c r="H117" s="431">
        <v>10</v>
      </c>
      <c r="I117" s="28">
        <v>1</v>
      </c>
      <c r="J117" s="441">
        <f t="shared" si="22"/>
        <v>0.033333333333333333</v>
      </c>
      <c r="K117" s="28">
        <v>2</v>
      </c>
      <c r="L117" s="267">
        <f t="shared" si="23"/>
        <v>0.066666666666666666</v>
      </c>
      <c r="M117" s="433">
        <f t="shared" si="24"/>
        <v>11.733333333333333</v>
      </c>
      <c r="N117" s="434">
        <v>176</v>
      </c>
      <c r="O117" s="435">
        <f t="shared" si="25"/>
        <v>0.066666666666666666</v>
      </c>
    </row>
    <row r="118" spans="1:15" ht="15">
      <c r="A118" s="13" t="s">
        <v>918</v>
      </c>
      <c r="B118" s="56" t="s">
        <v>898</v>
      </c>
      <c r="C118" s="13" t="s">
        <v>523</v>
      </c>
      <c r="D118" s="13">
        <v>224</v>
      </c>
      <c r="E118" s="13"/>
      <c r="F118" s="4" t="s">
        <v>88</v>
      </c>
      <c r="G118" s="28">
        <v>600</v>
      </c>
      <c r="H118" s="431">
        <v>10</v>
      </c>
      <c r="I118" s="28">
        <v>1</v>
      </c>
      <c r="J118" s="441">
        <f t="shared" si="22"/>
        <v>0.016666666666666666</v>
      </c>
      <c r="K118" s="28">
        <v>1</v>
      </c>
      <c r="L118" s="267">
        <f t="shared" si="23"/>
        <v>0.016666666666666666</v>
      </c>
      <c r="M118" s="433">
        <f t="shared" si="24"/>
        <v>2.9333333333333331</v>
      </c>
      <c r="N118" s="434">
        <v>176</v>
      </c>
      <c r="O118" s="435">
        <f t="shared" si="25"/>
        <v>0.016666666666666666</v>
      </c>
    </row>
    <row r="119" spans="1:15" ht="30">
      <c r="A119" s="13" t="s">
        <v>271</v>
      </c>
      <c r="B119" s="56" t="s">
        <v>85</v>
      </c>
      <c r="C119" s="13" t="s">
        <v>83</v>
      </c>
      <c r="D119" s="13">
        <v>116</v>
      </c>
      <c r="E119" s="13"/>
      <c r="F119" s="13" t="s">
        <v>12</v>
      </c>
      <c r="G119" s="28">
        <v>2.50</v>
      </c>
      <c r="H119" s="440">
        <v>10</v>
      </c>
      <c r="I119" s="28">
        <v>2</v>
      </c>
      <c r="J119" s="441">
        <f t="shared" si="22"/>
        <v>8</v>
      </c>
      <c r="K119" s="28">
        <v>1</v>
      </c>
      <c r="L119" s="267">
        <f t="shared" si="23"/>
        <v>8</v>
      </c>
      <c r="M119" s="433">
        <f t="shared" si="24"/>
        <v>1600</v>
      </c>
      <c r="N119" s="434">
        <v>200</v>
      </c>
      <c r="O119" s="435">
        <f t="shared" si="25"/>
        <v>4</v>
      </c>
    </row>
    <row r="120" spans="1:15" ht="15">
      <c r="A120" s="13" t="s">
        <v>272</v>
      </c>
      <c r="B120" s="27" t="s">
        <v>337</v>
      </c>
      <c r="C120" s="13" t="s">
        <v>83</v>
      </c>
      <c r="D120" s="13">
        <v>116</v>
      </c>
      <c r="E120" s="13"/>
      <c r="F120" s="4" t="s">
        <v>89</v>
      </c>
      <c r="G120" s="28">
        <v>13.185</v>
      </c>
      <c r="H120" s="440">
        <v>10</v>
      </c>
      <c r="I120" s="28">
        <v>2</v>
      </c>
      <c r="J120" s="441">
        <f t="shared" si="22"/>
        <v>1.5168752370117558</v>
      </c>
      <c r="K120" s="28">
        <v>1</v>
      </c>
      <c r="L120" s="267">
        <f t="shared" si="23"/>
        <v>1.5168752370117558</v>
      </c>
      <c r="M120" s="433">
        <f t="shared" si="24"/>
        <v>303.37504740235113</v>
      </c>
      <c r="N120" s="434">
        <v>200</v>
      </c>
      <c r="O120" s="435">
        <f t="shared" si="25"/>
        <v>0.75843761850587788</v>
      </c>
    </row>
    <row r="121" spans="1:15" ht="30">
      <c r="A121" s="13" t="s">
        <v>339</v>
      </c>
      <c r="B121" s="27" t="s">
        <v>338</v>
      </c>
      <c r="C121" s="13" t="s">
        <v>83</v>
      </c>
      <c r="D121" s="13">
        <v>116</v>
      </c>
      <c r="E121" s="13"/>
      <c r="F121" s="4" t="s">
        <v>89</v>
      </c>
      <c r="G121" s="28">
        <v>6.5970000000000004</v>
      </c>
      <c r="H121" s="440">
        <v>10</v>
      </c>
      <c r="I121" s="28">
        <v>2</v>
      </c>
      <c r="J121" s="441">
        <f t="shared" si="22"/>
        <v>3.0316810671517356</v>
      </c>
      <c r="K121" s="28">
        <v>1</v>
      </c>
      <c r="L121" s="267">
        <f t="shared" si="23"/>
        <v>3.0316810671517356</v>
      </c>
      <c r="M121" s="433">
        <f t="shared" si="24"/>
        <v>606.33621343034713</v>
      </c>
      <c r="N121" s="434">
        <v>200</v>
      </c>
      <c r="O121" s="435">
        <f t="shared" si="25"/>
        <v>1.5158405335758678</v>
      </c>
    </row>
    <row r="122" spans="1:15" ht="30">
      <c r="A122" s="13" t="s">
        <v>273</v>
      </c>
      <c r="B122" s="27" t="s">
        <v>125</v>
      </c>
      <c r="C122" s="13" t="s">
        <v>54</v>
      </c>
      <c r="D122" s="13">
        <v>116</v>
      </c>
      <c r="E122" s="13"/>
      <c r="F122" s="4" t="s">
        <v>88</v>
      </c>
      <c r="G122" s="28">
        <v>16.60</v>
      </c>
      <c r="H122" s="440">
        <v>10</v>
      </c>
      <c r="I122" s="28">
        <v>2</v>
      </c>
      <c r="J122" s="441">
        <f t="shared" si="22"/>
        <v>1.2048192771084336</v>
      </c>
      <c r="K122" s="28">
        <v>2</v>
      </c>
      <c r="L122" s="267">
        <f t="shared" si="23"/>
        <v>2.4096385542168672</v>
      </c>
      <c r="M122" s="433">
        <f t="shared" si="24"/>
        <v>481.92771084337346</v>
      </c>
      <c r="N122" s="434">
        <v>200</v>
      </c>
      <c r="O122" s="435">
        <f t="shared" si="25"/>
        <v>1.2048192771084336</v>
      </c>
    </row>
    <row r="123" spans="1:15" ht="30">
      <c r="A123" s="523" t="s">
        <v>1668</v>
      </c>
      <c r="B123" s="522" t="s">
        <v>1670</v>
      </c>
      <c r="C123" s="523" t="s">
        <v>33</v>
      </c>
      <c r="D123" s="523">
        <v>116</v>
      </c>
      <c r="E123" s="523"/>
      <c r="F123" s="523" t="s">
        <v>1666</v>
      </c>
      <c r="G123" s="527">
        <v>13.16</v>
      </c>
      <c r="H123" s="530">
        <v>10</v>
      </c>
      <c r="I123" s="527">
        <v>2</v>
      </c>
      <c r="J123" s="531">
        <f t="shared" si="22"/>
        <v>1.519756838905775</v>
      </c>
      <c r="K123" s="527">
        <v>1</v>
      </c>
      <c r="L123" s="267">
        <f t="shared" si="23"/>
        <v>1.519756838905775</v>
      </c>
      <c r="M123" s="433">
        <f t="shared" si="24"/>
        <v>303.951367781155</v>
      </c>
      <c r="N123" s="434">
        <v>200</v>
      </c>
      <c r="O123" s="435">
        <f t="shared" si="25"/>
        <v>0.75987841945288748</v>
      </c>
    </row>
    <row r="124" spans="1:15" ht="30">
      <c r="A124" s="523" t="s">
        <v>1669</v>
      </c>
      <c r="B124" s="522" t="s">
        <v>1671</v>
      </c>
      <c r="C124" s="523" t="s">
        <v>33</v>
      </c>
      <c r="D124" s="523">
        <v>116</v>
      </c>
      <c r="E124" s="523"/>
      <c r="F124" s="523" t="s">
        <v>10</v>
      </c>
      <c r="G124" s="527">
        <v>40</v>
      </c>
      <c r="H124" s="530">
        <v>10</v>
      </c>
      <c r="I124" s="527">
        <v>1</v>
      </c>
      <c r="J124" s="531">
        <f t="shared" si="22"/>
        <v>0.25</v>
      </c>
      <c r="K124" s="525">
        <f>3374/1000</f>
        <v>3.3740000000000001</v>
      </c>
      <c r="L124" s="267">
        <f t="shared" si="23"/>
        <v>0.84350000000000003</v>
      </c>
      <c r="M124" s="433">
        <f t="shared" si="24"/>
        <v>168.70000000000002</v>
      </c>
      <c r="N124" s="434">
        <v>200</v>
      </c>
      <c r="O124" s="435">
        <f t="shared" si="25"/>
        <v>0.84350000000000003</v>
      </c>
    </row>
    <row r="125" spans="1:15" ht="15">
      <c r="A125" s="13" t="s">
        <v>274</v>
      </c>
      <c r="B125" s="27" t="s">
        <v>275</v>
      </c>
      <c r="C125" s="13" t="s">
        <v>83</v>
      </c>
      <c r="D125" s="13">
        <v>116</v>
      </c>
      <c r="E125" s="13"/>
      <c r="F125" s="4" t="s">
        <v>276</v>
      </c>
      <c r="G125" s="28">
        <v>20</v>
      </c>
      <c r="H125" s="440">
        <v>10</v>
      </c>
      <c r="I125" s="28">
        <v>2</v>
      </c>
      <c r="J125" s="441">
        <f t="shared" si="22"/>
        <v>1</v>
      </c>
      <c r="K125" s="28">
        <v>1</v>
      </c>
      <c r="L125" s="267">
        <f t="shared" si="23"/>
        <v>1</v>
      </c>
      <c r="M125" s="433">
        <f t="shared" si="24"/>
        <v>200</v>
      </c>
      <c r="N125" s="434">
        <v>200</v>
      </c>
      <c r="O125" s="435">
        <f t="shared" si="25"/>
        <v>0.50</v>
      </c>
    </row>
    <row r="126" spans="1:15" ht="15">
      <c r="A126" s="13" t="s">
        <v>277</v>
      </c>
      <c r="B126" s="27" t="s">
        <v>278</v>
      </c>
      <c r="C126" s="13" t="s">
        <v>83</v>
      </c>
      <c r="D126" s="13">
        <v>116</v>
      </c>
      <c r="E126" s="13"/>
      <c r="F126" s="4" t="s">
        <v>90</v>
      </c>
      <c r="G126" s="28">
        <v>14</v>
      </c>
      <c r="H126" s="440">
        <v>10</v>
      </c>
      <c r="I126" s="28">
        <v>2</v>
      </c>
      <c r="J126" s="441">
        <f t="shared" si="22"/>
        <v>1.4285714285714286</v>
      </c>
      <c r="K126" s="28">
        <v>1</v>
      </c>
      <c r="L126" s="267">
        <f t="shared" si="23"/>
        <v>1.4285714285714286</v>
      </c>
      <c r="M126" s="433">
        <f t="shared" si="24"/>
        <v>285.71428571428572</v>
      </c>
      <c r="N126" s="434">
        <v>200</v>
      </c>
      <c r="O126" s="435">
        <f t="shared" si="25"/>
        <v>0.7142857142857143</v>
      </c>
    </row>
    <row r="127" spans="1:15" ht="15">
      <c r="A127" s="13" t="s">
        <v>279</v>
      </c>
      <c r="B127" s="27" t="s">
        <v>280</v>
      </c>
      <c r="C127" s="13" t="s">
        <v>29</v>
      </c>
      <c r="D127" s="13">
        <v>120</v>
      </c>
      <c r="E127" s="13"/>
      <c r="F127" s="13" t="s">
        <v>12</v>
      </c>
      <c r="G127" s="28">
        <v>11</v>
      </c>
      <c r="H127" s="440">
        <v>10</v>
      </c>
      <c r="I127" s="28">
        <v>1</v>
      </c>
      <c r="J127" s="441">
        <f t="shared" si="22"/>
        <v>0.90909090909090906</v>
      </c>
      <c r="K127" s="28">
        <v>1</v>
      </c>
      <c r="L127" s="435">
        <f t="shared" si="23"/>
        <v>0.90909090909090906</v>
      </c>
      <c r="M127" s="266">
        <f t="shared" si="24"/>
        <v>160</v>
      </c>
      <c r="N127" s="433">
        <v>176</v>
      </c>
      <c r="O127" s="435">
        <f t="shared" si="25"/>
        <v>0.90909090909090906</v>
      </c>
    </row>
    <row r="128" spans="1:15" ht="15">
      <c r="A128" s="13" t="s">
        <v>281</v>
      </c>
      <c r="B128" s="56" t="s">
        <v>30</v>
      </c>
      <c r="C128" s="13" t="s">
        <v>29</v>
      </c>
      <c r="D128" s="13">
        <v>120</v>
      </c>
      <c r="E128" s="13"/>
      <c r="F128" s="13" t="s">
        <v>12</v>
      </c>
      <c r="G128" s="436">
        <v>6.60</v>
      </c>
      <c r="H128" s="440">
        <v>10</v>
      </c>
      <c r="I128" s="28">
        <v>1</v>
      </c>
      <c r="J128" s="441">
        <f t="shared" si="22"/>
        <v>1.5151515151515151</v>
      </c>
      <c r="K128" s="28">
        <v>1</v>
      </c>
      <c r="L128" s="267">
        <f t="shared" si="23"/>
        <v>1.5151515151515151</v>
      </c>
      <c r="M128" s="433">
        <f t="shared" si="24"/>
        <v>266.66666666666669</v>
      </c>
      <c r="N128" s="434">
        <v>176</v>
      </c>
      <c r="O128" s="435">
        <f t="shared" si="25"/>
        <v>1.5151515151515151</v>
      </c>
    </row>
    <row r="129" spans="1:15" ht="30">
      <c r="A129" s="13" t="s">
        <v>282</v>
      </c>
      <c r="B129" s="56" t="s">
        <v>283</v>
      </c>
      <c r="C129" s="13" t="s">
        <v>29</v>
      </c>
      <c r="D129" s="13">
        <v>120</v>
      </c>
      <c r="E129" s="13"/>
      <c r="F129" s="13" t="s">
        <v>12</v>
      </c>
      <c r="G129" s="436">
        <v>8.83</v>
      </c>
      <c r="H129" s="440">
        <v>10</v>
      </c>
      <c r="I129" s="28">
        <v>1</v>
      </c>
      <c r="J129" s="441">
        <f t="shared" si="22"/>
        <v>1.1325028312570782</v>
      </c>
      <c r="K129" s="28">
        <v>1</v>
      </c>
      <c r="L129" s="267">
        <f t="shared" si="23"/>
        <v>1.1325028312570782</v>
      </c>
      <c r="M129" s="433">
        <f t="shared" si="24"/>
        <v>199.32049830124575</v>
      </c>
      <c r="N129" s="434">
        <v>176</v>
      </c>
      <c r="O129" s="435">
        <f t="shared" si="25"/>
        <v>1.1325028312570782</v>
      </c>
    </row>
    <row r="130" spans="1:15" ht="15">
      <c r="A130" s="13" t="s">
        <v>902</v>
      </c>
      <c r="B130" s="56" t="s">
        <v>953</v>
      </c>
      <c r="C130" s="13" t="s">
        <v>523</v>
      </c>
      <c r="D130" s="13">
        <v>224</v>
      </c>
      <c r="E130" s="13"/>
      <c r="F130" s="4" t="s">
        <v>900</v>
      </c>
      <c r="G130" s="28">
        <v>600</v>
      </c>
      <c r="H130" s="431">
        <v>10</v>
      </c>
      <c r="I130" s="28">
        <v>1</v>
      </c>
      <c r="J130" s="441">
        <f t="shared" si="22"/>
        <v>0.016666666666666666</v>
      </c>
      <c r="K130" s="28">
        <v>1</v>
      </c>
      <c r="L130" s="267">
        <f t="shared" si="23"/>
        <v>0.016666666666666666</v>
      </c>
      <c r="M130" s="433">
        <f t="shared" si="24"/>
        <v>2.9333333333333331</v>
      </c>
      <c r="N130" s="434">
        <v>176</v>
      </c>
      <c r="O130" s="435">
        <f t="shared" si="25"/>
        <v>0.016666666666666666</v>
      </c>
    </row>
    <row r="131" spans="1:15" ht="15">
      <c r="A131" s="13" t="s">
        <v>285</v>
      </c>
      <c r="B131" s="56" t="s">
        <v>901</v>
      </c>
      <c r="C131" s="13" t="s">
        <v>83</v>
      </c>
      <c r="D131" s="13">
        <v>116</v>
      </c>
      <c r="E131" s="13"/>
      <c r="F131" s="13" t="s">
        <v>12</v>
      </c>
      <c r="G131" s="28">
        <v>9.40</v>
      </c>
      <c r="H131" s="440">
        <v>10</v>
      </c>
      <c r="I131" s="28">
        <v>2</v>
      </c>
      <c r="J131" s="441">
        <f t="shared" si="22"/>
        <v>2.1276595744680851</v>
      </c>
      <c r="K131" s="28">
        <v>1</v>
      </c>
      <c r="L131" s="267">
        <f t="shared" si="23"/>
        <v>2.1276595744680851</v>
      </c>
      <c r="M131" s="433">
        <f t="shared" si="24"/>
        <v>425.531914893617</v>
      </c>
      <c r="N131" s="434">
        <v>200</v>
      </c>
      <c r="O131" s="435">
        <f t="shared" si="25"/>
        <v>1.0638297872340425</v>
      </c>
    </row>
    <row r="132" spans="1:15" ht="15">
      <c r="A132" s="13" t="s">
        <v>286</v>
      </c>
      <c r="B132" s="27" t="s">
        <v>288</v>
      </c>
      <c r="C132" s="13" t="s">
        <v>287</v>
      </c>
      <c r="D132" s="13">
        <v>116</v>
      </c>
      <c r="E132" s="13"/>
      <c r="F132" s="13" t="s">
        <v>67</v>
      </c>
      <c r="G132" s="28">
        <v>40</v>
      </c>
      <c r="H132" s="440">
        <v>10</v>
      </c>
      <c r="I132" s="28">
        <v>1</v>
      </c>
      <c r="J132" s="441">
        <f t="shared" si="22"/>
        <v>0.25</v>
      </c>
      <c r="K132" s="28">
        <v>4</v>
      </c>
      <c r="L132" s="267">
        <f t="shared" si="23"/>
        <v>1</v>
      </c>
      <c r="M132" s="433">
        <f t="shared" si="24"/>
        <v>152</v>
      </c>
      <c r="N132" s="434">
        <v>152</v>
      </c>
      <c r="O132" s="435">
        <f t="shared" si="25"/>
        <v>1</v>
      </c>
    </row>
    <row r="133" spans="1:15" ht="15">
      <c r="A133" s="39"/>
      <c r="B133" s="649" t="s">
        <v>134</v>
      </c>
      <c r="C133" s="649"/>
      <c r="D133" s="649"/>
      <c r="E133" s="649"/>
      <c r="F133" s="649"/>
      <c r="G133" s="649"/>
      <c r="H133" s="649"/>
      <c r="I133" s="649"/>
      <c r="J133" s="649"/>
      <c r="K133" s="649"/>
      <c r="L133" s="267"/>
      <c r="M133" s="262">
        <f>SUM(M134:M154)</f>
        <v>6208.8838856577577</v>
      </c>
      <c r="N133" s="263"/>
      <c r="O133" s="264">
        <f>SUM(O134:O154)</f>
        <v>22.338495006074609</v>
      </c>
    </row>
    <row r="134" spans="1:16" ht="30">
      <c r="A134" s="13" t="s">
        <v>297</v>
      </c>
      <c r="B134" s="56" t="s">
        <v>298</v>
      </c>
      <c r="C134" s="13" t="s">
        <v>33</v>
      </c>
      <c r="D134" s="13">
        <v>116</v>
      </c>
      <c r="E134" s="13"/>
      <c r="F134" s="13" t="s">
        <v>96</v>
      </c>
      <c r="G134" s="432">
        <v>10</v>
      </c>
      <c r="H134" s="440">
        <v>10</v>
      </c>
      <c r="I134" s="28">
        <v>2</v>
      </c>
      <c r="J134" s="441">
        <f t="shared" si="26" ref="J134:J154">H134/G134*I134</f>
        <v>2</v>
      </c>
      <c r="K134" s="28">
        <v>1</v>
      </c>
      <c r="L134" s="267">
        <f t="shared" si="27" ref="L134:L154">J134*K134</f>
        <v>2</v>
      </c>
      <c r="M134" s="433">
        <f t="shared" si="28" ref="M134:M154">L134*N134</f>
        <v>400</v>
      </c>
      <c r="N134" s="434">
        <v>200</v>
      </c>
      <c r="O134" s="435">
        <f t="shared" si="29" ref="O134:O154">J134/I134*K134</f>
        <v>1</v>
      </c>
      <c r="P134" s="22"/>
    </row>
    <row r="135" spans="1:16" ht="30">
      <c r="A135" s="523" t="s">
        <v>1663</v>
      </c>
      <c r="B135" s="522" t="s">
        <v>1665</v>
      </c>
      <c r="C135" s="523" t="s">
        <v>33</v>
      </c>
      <c r="D135" s="523">
        <v>116</v>
      </c>
      <c r="E135" s="523"/>
      <c r="F135" s="523" t="s">
        <v>1666</v>
      </c>
      <c r="G135" s="527">
        <v>12.47</v>
      </c>
      <c r="H135" s="530">
        <v>10</v>
      </c>
      <c r="I135" s="527">
        <v>2</v>
      </c>
      <c r="J135" s="531">
        <f t="shared" si="26"/>
        <v>1.6038492381716118</v>
      </c>
      <c r="K135" s="527">
        <v>1</v>
      </c>
      <c r="L135" s="267">
        <f t="shared" si="27"/>
        <v>1.6038492381716118</v>
      </c>
      <c r="M135" s="433">
        <f t="shared" si="28"/>
        <v>320.76984763432239</v>
      </c>
      <c r="N135" s="434">
        <v>200</v>
      </c>
      <c r="O135" s="435">
        <f t="shared" si="29"/>
        <v>0.80192461908580592</v>
      </c>
      <c r="P135" s="22"/>
    </row>
    <row r="136" spans="1:16" ht="30">
      <c r="A136" s="523" t="s">
        <v>1664</v>
      </c>
      <c r="B136" s="522" t="s">
        <v>1667</v>
      </c>
      <c r="C136" s="523" t="s">
        <v>33</v>
      </c>
      <c r="D136" s="523">
        <v>116</v>
      </c>
      <c r="E136" s="523"/>
      <c r="F136" s="523" t="s">
        <v>10</v>
      </c>
      <c r="G136" s="527">
        <v>40</v>
      </c>
      <c r="H136" s="530">
        <v>10</v>
      </c>
      <c r="I136" s="527">
        <v>1</v>
      </c>
      <c r="J136" s="531">
        <f t="shared" si="26"/>
        <v>0.25</v>
      </c>
      <c r="K136" s="525">
        <f>3444/1000</f>
        <v>3.444</v>
      </c>
      <c r="L136" s="267">
        <f t="shared" si="27"/>
        <v>0.86099999999999999</v>
      </c>
      <c r="M136" s="433">
        <f t="shared" si="28"/>
        <v>172.20</v>
      </c>
      <c r="N136" s="434">
        <v>200</v>
      </c>
      <c r="O136" s="435">
        <f t="shared" si="29"/>
        <v>0.86099999999999999</v>
      </c>
      <c r="P136" s="22"/>
    </row>
    <row r="137" spans="1:16" ht="30">
      <c r="A137" s="13" t="s">
        <v>299</v>
      </c>
      <c r="B137" s="56" t="s">
        <v>300</v>
      </c>
      <c r="C137" s="13" t="s">
        <v>33</v>
      </c>
      <c r="D137" s="13">
        <v>119</v>
      </c>
      <c r="E137" s="13"/>
      <c r="F137" s="13" t="s">
        <v>96</v>
      </c>
      <c r="G137" s="442">
        <v>7.11</v>
      </c>
      <c r="H137" s="440">
        <v>10</v>
      </c>
      <c r="I137" s="28">
        <v>2</v>
      </c>
      <c r="J137" s="441">
        <f t="shared" si="26"/>
        <v>2.8129395218002813</v>
      </c>
      <c r="K137" s="28">
        <v>1</v>
      </c>
      <c r="L137" s="267">
        <f t="shared" si="27"/>
        <v>2.8129395218002813</v>
      </c>
      <c r="M137" s="433">
        <f t="shared" si="28"/>
        <v>562.5879043600562</v>
      </c>
      <c r="N137" s="434">
        <v>200</v>
      </c>
      <c r="O137" s="435">
        <f t="shared" si="29"/>
        <v>1.4064697609001406</v>
      </c>
      <c r="P137" s="22"/>
    </row>
    <row r="138" spans="1:16" ht="30">
      <c r="A138" s="13" t="s">
        <v>301</v>
      </c>
      <c r="B138" s="27" t="s">
        <v>97</v>
      </c>
      <c r="C138" s="13" t="s">
        <v>83</v>
      </c>
      <c r="D138" s="13">
        <v>119</v>
      </c>
      <c r="E138" s="13"/>
      <c r="F138" s="13" t="s">
        <v>12</v>
      </c>
      <c r="G138" s="442">
        <v>4.16</v>
      </c>
      <c r="H138" s="440">
        <v>10</v>
      </c>
      <c r="I138" s="28">
        <v>2</v>
      </c>
      <c r="J138" s="441">
        <f t="shared" si="26"/>
        <v>4.8076923076923075</v>
      </c>
      <c r="K138" s="28">
        <v>1</v>
      </c>
      <c r="L138" s="267">
        <f t="shared" si="27"/>
        <v>4.8076923076923075</v>
      </c>
      <c r="M138" s="433">
        <f t="shared" si="28"/>
        <v>961.53846153846155</v>
      </c>
      <c r="N138" s="434">
        <v>200</v>
      </c>
      <c r="O138" s="435">
        <f t="shared" si="29"/>
        <v>2.4038461538461537</v>
      </c>
      <c r="P138" s="22"/>
    </row>
    <row r="139" spans="1:15" ht="15">
      <c r="A139" s="57" t="s">
        <v>530</v>
      </c>
      <c r="B139" s="269" t="s">
        <v>531</v>
      </c>
      <c r="C139" s="13" t="s">
        <v>33</v>
      </c>
      <c r="D139" s="13">
        <v>226</v>
      </c>
      <c r="E139" s="13"/>
      <c r="F139" s="13" t="s">
        <v>12</v>
      </c>
      <c r="G139" s="28">
        <v>10</v>
      </c>
      <c r="H139" s="440">
        <v>10</v>
      </c>
      <c r="I139" s="28">
        <v>1</v>
      </c>
      <c r="J139" s="441">
        <f t="shared" si="26"/>
        <v>1</v>
      </c>
      <c r="K139" s="442">
        <v>1</v>
      </c>
      <c r="L139" s="267">
        <f t="shared" si="27"/>
        <v>1</v>
      </c>
      <c r="M139" s="266">
        <f t="shared" si="28"/>
        <v>200</v>
      </c>
      <c r="N139" s="433">
        <v>200</v>
      </c>
      <c r="O139" s="435">
        <f t="shared" si="29"/>
        <v>1</v>
      </c>
    </row>
    <row r="140" spans="1:16" ht="15">
      <c r="A140" s="13" t="s">
        <v>290</v>
      </c>
      <c r="B140" s="27" t="s">
        <v>31</v>
      </c>
      <c r="C140" s="13" t="s">
        <v>14</v>
      </c>
      <c r="D140" s="13">
        <v>226</v>
      </c>
      <c r="E140" s="13"/>
      <c r="F140" s="13" t="s">
        <v>58</v>
      </c>
      <c r="G140" s="28">
        <v>61</v>
      </c>
      <c r="H140" s="440">
        <v>10</v>
      </c>
      <c r="I140" s="28">
        <v>1</v>
      </c>
      <c r="J140" s="441">
        <f t="shared" si="26"/>
        <v>0.16393442622950818</v>
      </c>
      <c r="K140" s="28">
        <v>6.70</v>
      </c>
      <c r="L140" s="267">
        <f t="shared" si="27"/>
        <v>1.0983606557377048</v>
      </c>
      <c r="M140" s="433">
        <f t="shared" si="28"/>
        <v>219.67213114754097</v>
      </c>
      <c r="N140" s="434">
        <v>200</v>
      </c>
      <c r="O140" s="435">
        <f t="shared" si="29"/>
        <v>1.0983606557377048</v>
      </c>
      <c r="P140" s="22"/>
    </row>
    <row r="141" spans="1:16" ht="15">
      <c r="A141" s="13" t="s">
        <v>302</v>
      </c>
      <c r="B141" s="27" t="s">
        <v>903</v>
      </c>
      <c r="C141" s="13" t="s">
        <v>523</v>
      </c>
      <c r="D141" s="13">
        <v>224</v>
      </c>
      <c r="E141" s="13"/>
      <c r="F141" s="13" t="s">
        <v>400</v>
      </c>
      <c r="G141" s="442">
        <v>50</v>
      </c>
      <c r="H141" s="440">
        <v>10</v>
      </c>
      <c r="I141" s="28">
        <v>2</v>
      </c>
      <c r="J141" s="441">
        <f t="shared" si="26"/>
        <v>0.40</v>
      </c>
      <c r="K141" s="28">
        <v>2</v>
      </c>
      <c r="L141" s="267">
        <f t="shared" si="27"/>
        <v>0.80</v>
      </c>
      <c r="M141" s="433">
        <f t="shared" si="28"/>
        <v>140.80000000000001</v>
      </c>
      <c r="N141" s="434">
        <v>176</v>
      </c>
      <c r="O141" s="435">
        <f t="shared" si="29"/>
        <v>0.40</v>
      </c>
      <c r="P141" s="22"/>
    </row>
    <row r="142" spans="1:16" ht="15">
      <c r="A142" s="13" t="s">
        <v>292</v>
      </c>
      <c r="B142" s="27" t="s">
        <v>21</v>
      </c>
      <c r="C142" s="13" t="s">
        <v>33</v>
      </c>
      <c r="D142" s="13">
        <v>219</v>
      </c>
      <c r="E142" s="13"/>
      <c r="F142" s="13" t="s">
        <v>12</v>
      </c>
      <c r="G142" s="569">
        <f>3.86*2</f>
        <v>7.72</v>
      </c>
      <c r="H142" s="440">
        <v>10</v>
      </c>
      <c r="I142" s="28">
        <v>2</v>
      </c>
      <c r="J142" s="441">
        <f t="shared" si="26"/>
        <v>2.5906735751295336</v>
      </c>
      <c r="K142" s="28">
        <v>1</v>
      </c>
      <c r="L142" s="267">
        <f t="shared" si="27"/>
        <v>2.5906735751295336</v>
      </c>
      <c r="M142" s="433">
        <f t="shared" si="28"/>
        <v>430.05181347150256</v>
      </c>
      <c r="N142" s="434">
        <v>166</v>
      </c>
      <c r="O142" s="435">
        <f t="shared" si="29"/>
        <v>1.2953367875647668</v>
      </c>
      <c r="P142" s="22"/>
    </row>
    <row r="143" spans="1:16" ht="30">
      <c r="A143" s="13" t="s">
        <v>406</v>
      </c>
      <c r="B143" s="27" t="s">
        <v>407</v>
      </c>
      <c r="C143" s="13" t="s">
        <v>14</v>
      </c>
      <c r="D143" s="13">
        <v>226</v>
      </c>
      <c r="E143" s="13"/>
      <c r="F143" s="13" t="s">
        <v>12</v>
      </c>
      <c r="G143" s="442">
        <v>61</v>
      </c>
      <c r="H143" s="440">
        <v>10</v>
      </c>
      <c r="I143" s="28">
        <v>1</v>
      </c>
      <c r="J143" s="441">
        <f t="shared" si="26"/>
        <v>0.16393442622950818</v>
      </c>
      <c r="K143" s="28">
        <v>1.1000000000000001</v>
      </c>
      <c r="L143" s="435">
        <f t="shared" si="27"/>
        <v>0.18032786885245902</v>
      </c>
      <c r="M143" s="266">
        <f t="shared" si="28"/>
        <v>36.065573770491802</v>
      </c>
      <c r="N143" s="433">
        <v>200</v>
      </c>
      <c r="O143" s="435">
        <f t="shared" si="29"/>
        <v>0.18032786885245902</v>
      </c>
      <c r="P143" s="22"/>
    </row>
    <row r="144" spans="1:16" ht="15">
      <c r="A144" s="13" t="s">
        <v>291</v>
      </c>
      <c r="B144" s="27" t="s">
        <v>101</v>
      </c>
      <c r="C144" s="13" t="s">
        <v>33</v>
      </c>
      <c r="D144" s="13">
        <v>219</v>
      </c>
      <c r="E144" s="13"/>
      <c r="F144" s="13" t="s">
        <v>12</v>
      </c>
      <c r="G144" s="442">
        <v>8.6999999999999993</v>
      </c>
      <c r="H144" s="440">
        <v>10</v>
      </c>
      <c r="I144" s="28">
        <v>2</v>
      </c>
      <c r="J144" s="441">
        <f t="shared" si="26"/>
        <v>2.298850574712644</v>
      </c>
      <c r="K144" s="28">
        <v>1</v>
      </c>
      <c r="L144" s="267">
        <f t="shared" si="27"/>
        <v>2.298850574712644</v>
      </c>
      <c r="M144" s="433">
        <f t="shared" si="28"/>
        <v>459.77011494252878</v>
      </c>
      <c r="N144" s="434">
        <v>200</v>
      </c>
      <c r="O144" s="435">
        <f t="shared" si="29"/>
        <v>1.149425287356322</v>
      </c>
      <c r="P144" s="22"/>
    </row>
    <row r="145" spans="1:16" ht="15">
      <c r="A145" s="13" t="s">
        <v>303</v>
      </c>
      <c r="B145" s="27" t="s">
        <v>304</v>
      </c>
      <c r="C145" s="13" t="s">
        <v>226</v>
      </c>
      <c r="D145" s="13">
        <v>302</v>
      </c>
      <c r="E145" s="13"/>
      <c r="F145" s="13" t="s">
        <v>103</v>
      </c>
      <c r="G145" s="432">
        <v>151</v>
      </c>
      <c r="H145" s="440">
        <v>10</v>
      </c>
      <c r="I145" s="28">
        <v>1</v>
      </c>
      <c r="J145" s="441">
        <f t="shared" si="26"/>
        <v>0.066225165562913912</v>
      </c>
      <c r="K145" s="28">
        <v>44</v>
      </c>
      <c r="L145" s="267">
        <f t="shared" si="27"/>
        <v>2.9139072847682121</v>
      </c>
      <c r="M145" s="433">
        <f t="shared" si="28"/>
        <v>512.84768211920539</v>
      </c>
      <c r="N145" s="434">
        <v>176</v>
      </c>
      <c r="O145" s="435">
        <f t="shared" si="29"/>
        <v>2.9139072847682121</v>
      </c>
      <c r="P145" s="22"/>
    </row>
    <row r="146" spans="1:16" ht="15">
      <c r="A146" s="13" t="s">
        <v>293</v>
      </c>
      <c r="B146" s="27" t="s">
        <v>102</v>
      </c>
      <c r="C146" s="13" t="s">
        <v>33</v>
      </c>
      <c r="D146" s="13">
        <v>219</v>
      </c>
      <c r="E146" s="13"/>
      <c r="F146" s="13" t="s">
        <v>103</v>
      </c>
      <c r="G146" s="28">
        <f>10*60/1</f>
        <v>600</v>
      </c>
      <c r="H146" s="440">
        <v>10</v>
      </c>
      <c r="I146" s="28">
        <v>1</v>
      </c>
      <c r="J146" s="441">
        <f t="shared" si="26"/>
        <v>0.016666666666666666</v>
      </c>
      <c r="K146" s="28">
        <v>44</v>
      </c>
      <c r="L146" s="267">
        <f t="shared" si="27"/>
        <v>0.73333333333333328</v>
      </c>
      <c r="M146" s="433">
        <f t="shared" si="28"/>
        <v>111.46666666666665</v>
      </c>
      <c r="N146" s="434">
        <v>152</v>
      </c>
      <c r="O146" s="435">
        <f t="shared" si="29"/>
        <v>0.73333333333333328</v>
      </c>
      <c r="P146" s="22"/>
    </row>
    <row r="147" spans="1:16" ht="15">
      <c r="A147" s="13" t="s">
        <v>305</v>
      </c>
      <c r="B147" s="27" t="s">
        <v>343</v>
      </c>
      <c r="C147" s="13" t="s">
        <v>14</v>
      </c>
      <c r="D147" s="13">
        <v>226</v>
      </c>
      <c r="E147" s="13"/>
      <c r="F147" s="13" t="s">
        <v>58</v>
      </c>
      <c r="G147" s="28">
        <v>55.20</v>
      </c>
      <c r="H147" s="440">
        <v>10</v>
      </c>
      <c r="I147" s="28">
        <v>1</v>
      </c>
      <c r="J147" s="441">
        <f t="shared" si="26"/>
        <v>0.18115942028985507</v>
      </c>
      <c r="K147" s="28">
        <v>1.53</v>
      </c>
      <c r="L147" s="435">
        <f t="shared" si="27"/>
        <v>0.27717391304347827</v>
      </c>
      <c r="M147" s="266">
        <f t="shared" si="28"/>
        <v>55.434782608695656</v>
      </c>
      <c r="N147" s="433">
        <v>200</v>
      </c>
      <c r="O147" s="435">
        <f t="shared" si="29"/>
        <v>0.27717391304347827</v>
      </c>
      <c r="P147" s="22"/>
    </row>
    <row r="148" spans="1:16" ht="30">
      <c r="A148" s="13" t="s">
        <v>306</v>
      </c>
      <c r="B148" s="27" t="s">
        <v>307</v>
      </c>
      <c r="C148" s="13" t="s">
        <v>14</v>
      </c>
      <c r="D148" s="13">
        <v>226</v>
      </c>
      <c r="E148" s="13"/>
      <c r="F148" s="13" t="s">
        <v>12</v>
      </c>
      <c r="G148" s="28">
        <v>10</v>
      </c>
      <c r="H148" s="440">
        <v>10</v>
      </c>
      <c r="I148" s="28">
        <v>1</v>
      </c>
      <c r="J148" s="441">
        <f t="shared" si="26"/>
        <v>1</v>
      </c>
      <c r="K148" s="28">
        <v>1</v>
      </c>
      <c r="L148" s="435">
        <f t="shared" si="27"/>
        <v>1</v>
      </c>
      <c r="M148" s="266">
        <f t="shared" si="28"/>
        <v>200</v>
      </c>
      <c r="N148" s="433">
        <v>200</v>
      </c>
      <c r="O148" s="435">
        <f t="shared" si="29"/>
        <v>1</v>
      </c>
      <c r="P148" s="22"/>
    </row>
    <row r="149" spans="1:16" ht="15">
      <c r="A149" s="13" t="s">
        <v>296</v>
      </c>
      <c r="B149" s="56" t="s">
        <v>105</v>
      </c>
      <c r="C149" s="13" t="s">
        <v>33</v>
      </c>
      <c r="D149" s="13">
        <v>219</v>
      </c>
      <c r="E149" s="13"/>
      <c r="F149" s="13" t="s">
        <v>96</v>
      </c>
      <c r="G149" s="28">
        <v>11.70</v>
      </c>
      <c r="H149" s="440">
        <v>10</v>
      </c>
      <c r="I149" s="28">
        <v>2</v>
      </c>
      <c r="J149" s="441">
        <f t="shared" si="26"/>
        <v>1.7094017094017095</v>
      </c>
      <c r="K149" s="28">
        <v>1</v>
      </c>
      <c r="L149" s="267">
        <f t="shared" si="27"/>
        <v>1.7094017094017095</v>
      </c>
      <c r="M149" s="433">
        <f t="shared" si="28"/>
        <v>341.88034188034192</v>
      </c>
      <c r="N149" s="434">
        <v>200</v>
      </c>
      <c r="O149" s="435">
        <f t="shared" si="29"/>
        <v>0.85470085470085477</v>
      </c>
      <c r="P149" s="22"/>
    </row>
    <row r="150" spans="1:16" ht="15">
      <c r="A150" s="523" t="s">
        <v>1695</v>
      </c>
      <c r="B150" s="522" t="s">
        <v>1696</v>
      </c>
      <c r="C150" s="523" t="s">
        <v>33</v>
      </c>
      <c r="D150" s="523">
        <v>226</v>
      </c>
      <c r="E150" s="523"/>
      <c r="F150" s="523" t="s">
        <v>12</v>
      </c>
      <c r="G150" s="527">
        <v>20</v>
      </c>
      <c r="H150" s="530">
        <v>10</v>
      </c>
      <c r="I150" s="527">
        <v>1</v>
      </c>
      <c r="J150" s="531">
        <f t="shared" si="26"/>
        <v>0.50</v>
      </c>
      <c r="K150" s="527">
        <v>1</v>
      </c>
      <c r="L150" s="267">
        <f t="shared" si="27"/>
        <v>0.50</v>
      </c>
      <c r="M150" s="433">
        <f t="shared" si="28"/>
        <v>100</v>
      </c>
      <c r="N150" s="434">
        <v>200</v>
      </c>
      <c r="O150" s="435">
        <f t="shared" si="29"/>
        <v>0.50</v>
      </c>
      <c r="P150" s="22"/>
    </row>
    <row r="151" spans="1:16" ht="15">
      <c r="A151" s="13" t="s">
        <v>308</v>
      </c>
      <c r="B151" s="27" t="s">
        <v>309</v>
      </c>
      <c r="C151" s="13" t="s">
        <v>14</v>
      </c>
      <c r="D151" s="13">
        <v>226</v>
      </c>
      <c r="E151" s="13"/>
      <c r="F151" s="13" t="s">
        <v>58</v>
      </c>
      <c r="G151" s="442">
        <v>55</v>
      </c>
      <c r="H151" s="440">
        <v>10</v>
      </c>
      <c r="I151" s="28">
        <v>1</v>
      </c>
      <c r="J151" s="441">
        <f t="shared" si="26"/>
        <v>0.18181818181818182</v>
      </c>
      <c r="K151" s="28">
        <v>3.58</v>
      </c>
      <c r="L151" s="435">
        <f t="shared" si="27"/>
        <v>0.65090909090909099</v>
      </c>
      <c r="M151" s="266">
        <f t="shared" si="28"/>
        <v>98.938181818181832</v>
      </c>
      <c r="N151" s="433">
        <v>152</v>
      </c>
      <c r="O151" s="435">
        <f t="shared" si="29"/>
        <v>0.65090909090909099</v>
      </c>
      <c r="P151" s="22"/>
    </row>
    <row r="152" spans="1:16" ht="15">
      <c r="A152" s="13" t="s">
        <v>294</v>
      </c>
      <c r="B152" s="27" t="s">
        <v>521</v>
      </c>
      <c r="C152" s="13" t="s">
        <v>14</v>
      </c>
      <c r="D152" s="13">
        <v>226</v>
      </c>
      <c r="E152" s="13"/>
      <c r="F152" s="13" t="s">
        <v>58</v>
      </c>
      <c r="G152" s="28">
        <v>23.16</v>
      </c>
      <c r="H152" s="440">
        <v>10</v>
      </c>
      <c r="I152" s="28">
        <v>1</v>
      </c>
      <c r="J152" s="441">
        <f t="shared" si="26"/>
        <v>0.43177892918825561</v>
      </c>
      <c r="K152" s="28">
        <v>6.10</v>
      </c>
      <c r="L152" s="267">
        <f t="shared" si="27"/>
        <v>2.6338514680483591</v>
      </c>
      <c r="M152" s="433">
        <f t="shared" si="28"/>
        <v>526.77029360967185</v>
      </c>
      <c r="N152" s="434">
        <v>200</v>
      </c>
      <c r="O152" s="435">
        <f t="shared" si="29"/>
        <v>2.6338514680483591</v>
      </c>
      <c r="P152" s="22"/>
    </row>
    <row r="153" spans="1:16" ht="15">
      <c r="A153" s="13" t="s">
        <v>1639</v>
      </c>
      <c r="B153" s="27" t="s">
        <v>1640</v>
      </c>
      <c r="C153" s="13" t="s">
        <v>33</v>
      </c>
      <c r="D153" s="13" t="s">
        <v>1333</v>
      </c>
      <c r="E153" s="13"/>
      <c r="F153" s="13" t="s">
        <v>12</v>
      </c>
      <c r="G153" s="442">
        <v>30</v>
      </c>
      <c r="H153" s="440">
        <v>10</v>
      </c>
      <c r="I153" s="28">
        <v>2</v>
      </c>
      <c r="J153" s="441">
        <f t="shared" si="26"/>
        <v>0.66666666666666663</v>
      </c>
      <c r="K153" s="28">
        <v>1</v>
      </c>
      <c r="L153" s="267">
        <f t="shared" si="27"/>
        <v>0.66666666666666663</v>
      </c>
      <c r="M153" s="433">
        <f t="shared" si="28"/>
        <v>101.33333333333333</v>
      </c>
      <c r="N153" s="434">
        <v>152</v>
      </c>
      <c r="O153" s="435">
        <f t="shared" si="29"/>
        <v>0.33333333333333331</v>
      </c>
      <c r="P153" s="21"/>
    </row>
    <row r="154" spans="1:16" ht="15">
      <c r="A154" s="13" t="s">
        <v>295</v>
      </c>
      <c r="B154" s="27" t="s">
        <v>104</v>
      </c>
      <c r="C154" s="13" t="s">
        <v>33</v>
      </c>
      <c r="D154" s="13" t="s">
        <v>1333</v>
      </c>
      <c r="E154" s="13"/>
      <c r="F154" s="13" t="s">
        <v>12</v>
      </c>
      <c r="G154" s="28">
        <v>11.84</v>
      </c>
      <c r="H154" s="440">
        <v>10</v>
      </c>
      <c r="I154" s="28">
        <v>2</v>
      </c>
      <c r="J154" s="441">
        <f t="shared" si="26"/>
        <v>1.6891891891891893</v>
      </c>
      <c r="K154" s="28">
        <v>1</v>
      </c>
      <c r="L154" s="267">
        <f t="shared" si="27"/>
        <v>1.6891891891891893</v>
      </c>
      <c r="M154" s="433">
        <f t="shared" si="28"/>
        <v>256.75675675675677</v>
      </c>
      <c r="N154" s="434">
        <v>152</v>
      </c>
      <c r="O154" s="435">
        <f t="shared" si="29"/>
        <v>0.84459459459459463</v>
      </c>
      <c r="P154" s="21"/>
    </row>
    <row r="155" spans="1:15" s="22" customFormat="1" ht="15">
      <c r="A155" s="443"/>
      <c r="B155" s="495" t="s">
        <v>15</v>
      </c>
      <c r="C155" s="443"/>
      <c r="D155" s="443"/>
      <c r="E155" s="443"/>
      <c r="F155" s="444"/>
      <c r="G155" s="443"/>
      <c r="H155" s="445"/>
      <c r="I155" s="443"/>
      <c r="J155" s="446"/>
      <c r="K155" s="443"/>
      <c r="L155" s="447">
        <f>SUM(L6:L154)</f>
        <v>191.42336319740821</v>
      </c>
      <c r="M155" s="455">
        <f>M19+M48+M61+M74+M85+M133+M81+M5</f>
        <v>37753.390330518945</v>
      </c>
      <c r="N155" s="110"/>
      <c r="O155" s="454">
        <f>O19+O48+O61+O74+O85+O133+O81+O5</f>
        <v>134.49700262826445</v>
      </c>
    </row>
    <row r="156" spans="12:15" ht="15">
      <c r="L156" s="448" t="s">
        <v>16</v>
      </c>
      <c r="O156" s="448" t="s">
        <v>17</v>
      </c>
    </row>
    <row r="157" spans="6:15" ht="15">
      <c r="F157" s="107"/>
      <c r="J157" s="450"/>
      <c r="K157" s="451" t="s">
        <v>18</v>
      </c>
      <c r="L157" s="452">
        <f>L155/G2</f>
        <v>139.7250826258454</v>
      </c>
      <c r="M157" s="450" t="s">
        <v>19</v>
      </c>
      <c r="N157" s="450"/>
      <c r="O157" s="450"/>
    </row>
    <row r="158" spans="6:6" ht="15">
      <c r="F158" s="107"/>
    </row>
    <row r="159" spans="2:8" ht="15">
      <c r="B159" s="493" t="s">
        <v>858</v>
      </c>
      <c r="C159" s="449"/>
      <c r="F159" s="107"/>
      <c r="H159" s="268"/>
    </row>
    <row r="160" spans="6:6" ht="15">
      <c r="F160" s="107"/>
    </row>
    <row r="161" spans="2:3" ht="15">
      <c r="B161" s="493" t="s">
        <v>848</v>
      </c>
      <c r="C161" s="449"/>
    </row>
    <row r="163" spans="2:3" ht="15">
      <c r="B163" s="493" t="s">
        <v>849</v>
      </c>
      <c r="C163" s="449"/>
    </row>
    <row r="166" ht="15.75"/>
    <row r="167" spans="1:8" ht="15" hidden="1">
      <c r="A167" s="481" t="s">
        <v>328</v>
      </c>
      <c r="B167" s="496" t="s">
        <v>329</v>
      </c>
      <c r="C167" s="481" t="s">
        <v>330</v>
      </c>
      <c r="D167" s="481" t="s">
        <v>331</v>
      </c>
      <c r="E167" s="481" t="s">
        <v>332</v>
      </c>
      <c r="F167" s="481" t="s">
        <v>333</v>
      </c>
      <c r="G167" s="427"/>
      <c r="H167" s="268"/>
    </row>
    <row r="168" spans="1:8" ht="30" hidden="1">
      <c r="A168" s="482">
        <v>1</v>
      </c>
      <c r="B168" s="483" t="s">
        <v>1000</v>
      </c>
      <c r="C168" s="482">
        <v>2</v>
      </c>
      <c r="D168" s="482">
        <v>3</v>
      </c>
      <c r="E168" s="482" t="s">
        <v>954</v>
      </c>
      <c r="F168" s="484">
        <v>44498</v>
      </c>
      <c r="G168" s="427"/>
      <c r="H168" s="268"/>
    </row>
    <row r="169" spans="1:8" ht="30" hidden="1">
      <c r="A169" s="482">
        <v>2</v>
      </c>
      <c r="B169" s="483" t="s">
        <v>1021</v>
      </c>
      <c r="C169" s="482">
        <v>1</v>
      </c>
      <c r="D169" s="482">
        <v>3</v>
      </c>
      <c r="E169" s="482" t="s">
        <v>954</v>
      </c>
      <c r="F169" s="484">
        <v>44508</v>
      </c>
      <c r="G169" s="427"/>
      <c r="H169" s="268"/>
    </row>
    <row r="170" spans="1:8" ht="15" hidden="1">
      <c r="A170" s="482">
        <v>3</v>
      </c>
      <c r="B170" s="483" t="s">
        <v>1022</v>
      </c>
      <c r="C170" s="482"/>
      <c r="D170" s="482"/>
      <c r="E170" s="482" t="s">
        <v>954</v>
      </c>
      <c r="F170" s="484">
        <v>44508</v>
      </c>
      <c r="G170" s="427"/>
      <c r="H170" s="268"/>
    </row>
    <row r="171" spans="1:8" ht="30" hidden="1">
      <c r="A171" s="482">
        <v>4</v>
      </c>
      <c r="B171" s="483" t="s">
        <v>1023</v>
      </c>
      <c r="C171" s="482">
        <v>2.6429999999999998</v>
      </c>
      <c r="D171" s="482">
        <v>5.883</v>
      </c>
      <c r="E171" s="482" t="s">
        <v>954</v>
      </c>
      <c r="F171" s="484">
        <v>44508</v>
      </c>
      <c r="G171" s="427"/>
      <c r="H171" s="268"/>
    </row>
    <row r="172" spans="1:8" ht="30" hidden="1">
      <c r="A172" s="482">
        <v>5</v>
      </c>
      <c r="B172" s="483" t="s">
        <v>1104</v>
      </c>
      <c r="C172" s="482">
        <v>216</v>
      </c>
      <c r="D172" s="482">
        <v>151</v>
      </c>
      <c r="E172" s="482" t="s">
        <v>954</v>
      </c>
      <c r="F172" s="484">
        <v>44508</v>
      </c>
      <c r="G172" s="427"/>
      <c r="H172" s="268"/>
    </row>
    <row r="173" spans="1:8" ht="30" hidden="1">
      <c r="A173" s="482">
        <v>6</v>
      </c>
      <c r="B173" s="483" t="s">
        <v>1103</v>
      </c>
      <c r="C173" s="482"/>
      <c r="D173" s="482">
        <v>8.6999999999999993</v>
      </c>
      <c r="E173" s="482" t="s">
        <v>954</v>
      </c>
      <c r="F173" s="484">
        <v>44508</v>
      </c>
      <c r="G173" s="427"/>
      <c r="H173" s="268"/>
    </row>
    <row r="174" spans="1:8" ht="30" hidden="1">
      <c r="A174" s="482">
        <v>7</v>
      </c>
      <c r="B174" s="483" t="s">
        <v>1105</v>
      </c>
      <c r="C174" s="482"/>
      <c r="D174" s="482">
        <v>3.86</v>
      </c>
      <c r="E174" s="482" t="s">
        <v>954</v>
      </c>
      <c r="F174" s="484">
        <v>44508</v>
      </c>
      <c r="G174" s="427"/>
      <c r="H174" s="268"/>
    </row>
    <row r="175" spans="1:8" ht="30" hidden="1">
      <c r="A175" s="482">
        <v>8</v>
      </c>
      <c r="B175" s="483" t="s">
        <v>1201</v>
      </c>
      <c r="C175" s="482">
        <v>1.365</v>
      </c>
      <c r="D175" s="482">
        <v>2.73</v>
      </c>
      <c r="E175" s="482" t="s">
        <v>954</v>
      </c>
      <c r="F175" s="484">
        <v>44519</v>
      </c>
      <c r="G175" s="427"/>
      <c r="H175" s="268"/>
    </row>
    <row r="176" spans="1:8" ht="75" hidden="1">
      <c r="A176" s="482">
        <v>9</v>
      </c>
      <c r="B176" s="483" t="s">
        <v>1283</v>
      </c>
      <c r="C176" s="482">
        <v>600</v>
      </c>
      <c r="D176" s="482">
        <v>400</v>
      </c>
      <c r="E176" s="482" t="s">
        <v>954</v>
      </c>
      <c r="F176" s="484">
        <v>44602</v>
      </c>
      <c r="G176" s="427"/>
      <c r="H176" s="268"/>
    </row>
    <row r="177" spans="1:8" ht="30" hidden="1">
      <c r="A177" s="482">
        <v>10</v>
      </c>
      <c r="B177" s="483" t="s">
        <v>1284</v>
      </c>
      <c r="C177" s="485"/>
      <c r="D177" s="485"/>
      <c r="E177" s="482" t="s">
        <v>954</v>
      </c>
      <c r="F177" s="484">
        <v>44602</v>
      </c>
      <c r="G177" s="427"/>
      <c r="H177" s="268"/>
    </row>
    <row r="178" spans="1:8" ht="30" hidden="1">
      <c r="A178" s="482">
        <v>11</v>
      </c>
      <c r="B178" s="483" t="s">
        <v>1296</v>
      </c>
      <c r="C178" s="485"/>
      <c r="D178" s="485"/>
      <c r="E178" s="482" t="s">
        <v>954</v>
      </c>
      <c r="F178" s="484">
        <v>44616</v>
      </c>
      <c r="G178" s="427"/>
      <c r="H178" s="268"/>
    </row>
    <row r="179" spans="1:8" ht="30" hidden="1">
      <c r="A179" s="482">
        <v>12</v>
      </c>
      <c r="B179" s="483" t="s">
        <v>1315</v>
      </c>
      <c r="C179" s="485"/>
      <c r="D179" s="485"/>
      <c r="E179" s="482" t="s">
        <v>954</v>
      </c>
      <c r="F179" s="484">
        <v>44616</v>
      </c>
      <c r="G179" s="427"/>
      <c r="H179" s="268"/>
    </row>
    <row r="180" spans="1:8" ht="30" hidden="1">
      <c r="A180" s="482">
        <v>13</v>
      </c>
      <c r="B180" s="483" t="s">
        <v>1298</v>
      </c>
      <c r="C180" s="485"/>
      <c r="D180" s="485"/>
      <c r="E180" s="482" t="s">
        <v>954</v>
      </c>
      <c r="F180" s="484">
        <v>44616</v>
      </c>
      <c r="G180" s="427"/>
      <c r="H180" s="268"/>
    </row>
    <row r="181" spans="1:8" ht="30" hidden="1">
      <c r="A181" s="482">
        <v>14</v>
      </c>
      <c r="B181" s="483" t="s">
        <v>1299</v>
      </c>
      <c r="C181" s="485"/>
      <c r="D181" s="485"/>
      <c r="E181" s="482" t="s">
        <v>954</v>
      </c>
      <c r="F181" s="484">
        <v>44616</v>
      </c>
      <c r="G181" s="427"/>
      <c r="H181" s="268"/>
    </row>
    <row r="182" spans="1:8" ht="30" hidden="1">
      <c r="A182" s="482">
        <v>15</v>
      </c>
      <c r="B182" s="483" t="s">
        <v>1300</v>
      </c>
      <c r="C182" s="485"/>
      <c r="D182" s="485"/>
      <c r="E182" s="482" t="s">
        <v>954</v>
      </c>
      <c r="F182" s="484">
        <v>44616</v>
      </c>
      <c r="G182" s="427"/>
      <c r="H182" s="268"/>
    </row>
    <row r="183" spans="1:8" ht="30" hidden="1">
      <c r="A183" s="482">
        <v>16</v>
      </c>
      <c r="B183" s="483" t="s">
        <v>1301</v>
      </c>
      <c r="C183" s="485"/>
      <c r="D183" s="485"/>
      <c r="E183" s="482" t="s">
        <v>954</v>
      </c>
      <c r="F183" s="484">
        <v>44616</v>
      </c>
      <c r="G183" s="427"/>
      <c r="H183" s="268"/>
    </row>
    <row r="184" spans="1:8" ht="30" hidden="1">
      <c r="A184" s="482">
        <v>17</v>
      </c>
      <c r="B184" s="483" t="s">
        <v>1302</v>
      </c>
      <c r="C184" s="485"/>
      <c r="D184" s="485"/>
      <c r="E184" s="482" t="s">
        <v>954</v>
      </c>
      <c r="F184" s="484">
        <v>44616</v>
      </c>
      <c r="G184" s="427"/>
      <c r="H184" s="268"/>
    </row>
    <row r="185" spans="1:8" ht="30" hidden="1">
      <c r="A185" s="482">
        <v>18</v>
      </c>
      <c r="B185" s="483" t="s">
        <v>1303</v>
      </c>
      <c r="C185" s="485"/>
      <c r="D185" s="485"/>
      <c r="E185" s="482" t="s">
        <v>954</v>
      </c>
      <c r="F185" s="484">
        <v>44616</v>
      </c>
      <c r="G185" s="427"/>
      <c r="H185" s="268"/>
    </row>
    <row r="186" spans="1:8" ht="30" hidden="1">
      <c r="A186" s="482">
        <v>19</v>
      </c>
      <c r="B186" s="483" t="s">
        <v>1304</v>
      </c>
      <c r="C186" s="485"/>
      <c r="D186" s="485"/>
      <c r="E186" s="482" t="s">
        <v>954</v>
      </c>
      <c r="F186" s="484">
        <v>44616</v>
      </c>
      <c r="G186" s="427"/>
      <c r="H186" s="268"/>
    </row>
    <row r="187" spans="1:8" ht="30" hidden="1">
      <c r="A187" s="482">
        <v>20</v>
      </c>
      <c r="B187" s="483" t="s">
        <v>1305</v>
      </c>
      <c r="C187" s="485"/>
      <c r="D187" s="485"/>
      <c r="E187" s="482" t="s">
        <v>954</v>
      </c>
      <c r="F187" s="484">
        <v>44616</v>
      </c>
      <c r="G187" s="427"/>
      <c r="H187" s="268"/>
    </row>
    <row r="188" spans="1:8" ht="30" hidden="1">
      <c r="A188" s="482">
        <v>21</v>
      </c>
      <c r="B188" s="483" t="s">
        <v>1306</v>
      </c>
      <c r="C188" s="485"/>
      <c r="D188" s="485"/>
      <c r="E188" s="482" t="s">
        <v>954</v>
      </c>
      <c r="F188" s="484">
        <v>44616</v>
      </c>
      <c r="G188" s="427"/>
      <c r="H188" s="268"/>
    </row>
    <row r="189" spans="1:8" ht="30" hidden="1">
      <c r="A189" s="482">
        <v>22</v>
      </c>
      <c r="B189" s="483" t="s">
        <v>1307</v>
      </c>
      <c r="C189" s="485"/>
      <c r="D189" s="485"/>
      <c r="E189" s="482" t="s">
        <v>954</v>
      </c>
      <c r="F189" s="484">
        <v>44616</v>
      </c>
      <c r="G189" s="427"/>
      <c r="H189" s="268"/>
    </row>
    <row r="190" spans="1:6" ht="45" hidden="1">
      <c r="A190" s="482">
        <v>23</v>
      </c>
      <c r="B190" s="483" t="s">
        <v>1496</v>
      </c>
      <c r="C190" s="485"/>
      <c r="D190" s="485"/>
      <c r="E190" s="482" t="s">
        <v>954</v>
      </c>
      <c r="F190" s="484">
        <v>44634</v>
      </c>
    </row>
    <row r="191" spans="1:6" ht="45" hidden="1">
      <c r="A191" s="482">
        <v>24</v>
      </c>
      <c r="B191" s="483" t="s">
        <v>1495</v>
      </c>
      <c r="C191" s="485"/>
      <c r="D191" s="485"/>
      <c r="E191" s="482" t="s">
        <v>954</v>
      </c>
      <c r="F191" s="484">
        <v>44634</v>
      </c>
    </row>
    <row r="192" spans="1:6" ht="45" hidden="1">
      <c r="A192" s="482">
        <v>25</v>
      </c>
      <c r="B192" s="483" t="s">
        <v>1494</v>
      </c>
      <c r="C192" s="485"/>
      <c r="D192" s="485"/>
      <c r="E192" s="482" t="s">
        <v>954</v>
      </c>
      <c r="F192" s="484">
        <v>44634</v>
      </c>
    </row>
    <row r="193" spans="1:6" ht="45" hidden="1">
      <c r="A193" s="482">
        <v>26</v>
      </c>
      <c r="B193" s="483" t="s">
        <v>1493</v>
      </c>
      <c r="C193" s="485"/>
      <c r="D193" s="485"/>
      <c r="E193" s="482" t="s">
        <v>954</v>
      </c>
      <c r="F193" s="484">
        <v>44634</v>
      </c>
    </row>
    <row r="194" spans="1:6" ht="60" hidden="1">
      <c r="A194" s="482">
        <v>27</v>
      </c>
      <c r="B194" s="483" t="s">
        <v>1492</v>
      </c>
      <c r="C194" s="485"/>
      <c r="D194" s="485"/>
      <c r="E194" s="482" t="s">
        <v>954</v>
      </c>
      <c r="F194" s="484">
        <v>44634</v>
      </c>
    </row>
    <row r="195" spans="1:6" ht="60" hidden="1">
      <c r="A195" s="482">
        <v>28</v>
      </c>
      <c r="B195" s="483" t="s">
        <v>1491</v>
      </c>
      <c r="C195" s="485"/>
      <c r="D195" s="485"/>
      <c r="E195" s="482" t="s">
        <v>954</v>
      </c>
      <c r="F195" s="484">
        <v>44634</v>
      </c>
    </row>
    <row r="196" spans="1:6" ht="60" hidden="1">
      <c r="A196" s="482">
        <v>29</v>
      </c>
      <c r="B196" s="483" t="s">
        <v>1490</v>
      </c>
      <c r="C196" s="485"/>
      <c r="D196" s="485"/>
      <c r="E196" s="482" t="s">
        <v>954</v>
      </c>
      <c r="F196" s="484">
        <v>44634</v>
      </c>
    </row>
    <row r="197" spans="1:6" ht="60" hidden="1">
      <c r="A197" s="482">
        <v>30</v>
      </c>
      <c r="B197" s="483" t="s">
        <v>1489</v>
      </c>
      <c r="C197" s="485"/>
      <c r="D197" s="485"/>
      <c r="E197" s="482" t="s">
        <v>954</v>
      </c>
      <c r="F197" s="484">
        <v>44634</v>
      </c>
    </row>
    <row r="198" spans="1:6" ht="45.75" hidden="1" thickBot="1">
      <c r="A198" s="482">
        <v>31</v>
      </c>
      <c r="B198" s="483" t="s">
        <v>1416</v>
      </c>
      <c r="C198" s="485"/>
      <c r="D198" s="485"/>
      <c r="E198" s="482" t="s">
        <v>954</v>
      </c>
      <c r="F198" s="484">
        <v>44634</v>
      </c>
    </row>
    <row r="199" spans="1:15" ht="15">
      <c r="A199" s="500" t="s">
        <v>328</v>
      </c>
      <c r="B199" s="631" t="s">
        <v>1593</v>
      </c>
      <c r="C199" s="632"/>
      <c r="D199" s="633"/>
      <c r="E199" s="501" t="s">
        <v>332</v>
      </c>
      <c r="F199" s="502" t="s">
        <v>333</v>
      </c>
      <c r="G199" s="427"/>
      <c r="H199" s="268"/>
      <c r="O199" s="503"/>
    </row>
    <row r="200" spans="1:15" ht="15.75" thickBot="1">
      <c r="A200" s="504">
        <v>1</v>
      </c>
      <c r="B200" s="634" t="s">
        <v>1605</v>
      </c>
      <c r="C200" s="635"/>
      <c r="D200" s="636"/>
      <c r="E200" s="505" t="s">
        <v>1334</v>
      </c>
      <c r="F200" s="506">
        <v>44677</v>
      </c>
      <c r="G200" s="427"/>
      <c r="H200" s="268"/>
      <c r="O200" s="503"/>
    </row>
    <row r="201" spans="1:16" ht="15">
      <c r="A201" s="13" t="s">
        <v>1639</v>
      </c>
      <c r="B201" s="27" t="s">
        <v>1640</v>
      </c>
      <c r="C201" s="13" t="s">
        <v>33</v>
      </c>
      <c r="D201" s="13" t="s">
        <v>1333</v>
      </c>
      <c r="E201" s="13"/>
      <c r="F201" s="13" t="s">
        <v>12</v>
      </c>
      <c r="G201" s="442">
        <v>30</v>
      </c>
      <c r="H201" s="440">
        <v>10</v>
      </c>
      <c r="I201" s="28">
        <v>2</v>
      </c>
      <c r="J201" s="441">
        <f t="shared" si="30" ref="J201">H201/G201*I201</f>
        <v>0.66666666666666663</v>
      </c>
      <c r="K201" s="28">
        <v>1</v>
      </c>
      <c r="L201" s="267">
        <f t="shared" si="31" ref="L201">J201*K201</f>
        <v>0.66666666666666663</v>
      </c>
      <c r="M201" s="433">
        <f t="shared" si="32" ref="M201">L201*N201</f>
        <v>101.33333333333333</v>
      </c>
      <c r="N201" s="434">
        <v>152</v>
      </c>
      <c r="O201" s="435">
        <f t="shared" si="33" ref="O201">J201/I201*K201</f>
        <v>0.33333333333333331</v>
      </c>
      <c r="P201" s="21"/>
    </row>
    <row r="202" ht="15.75" thickBot="1"/>
    <row r="203" spans="1:7" ht="15">
      <c r="A203" s="500" t="s">
        <v>328</v>
      </c>
      <c r="B203" s="631" t="s">
        <v>1593</v>
      </c>
      <c r="C203" s="632"/>
      <c r="D203" s="633"/>
      <c r="E203" s="501" t="s">
        <v>332</v>
      </c>
      <c r="F203" s="502" t="s">
        <v>333</v>
      </c>
      <c r="G203" s="68"/>
    </row>
    <row r="204" spans="1:7" ht="15.75" thickBot="1">
      <c r="A204" s="504">
        <v>2</v>
      </c>
      <c r="B204" s="634" t="s">
        <v>1605</v>
      </c>
      <c r="C204" s="635"/>
      <c r="D204" s="636"/>
      <c r="E204" s="505" t="s">
        <v>1682</v>
      </c>
      <c r="F204" s="506">
        <v>44987</v>
      </c>
      <c r="G204" s="68"/>
    </row>
    <row r="205" spans="1:15" ht="30">
      <c r="A205" s="529" t="s">
        <v>1662</v>
      </c>
      <c r="B205" s="522" t="s">
        <v>1661</v>
      </c>
      <c r="C205" s="523" t="s">
        <v>9</v>
      </c>
      <c r="D205" s="523">
        <v>109</v>
      </c>
      <c r="E205" s="523"/>
      <c r="F205" s="524" t="s">
        <v>10</v>
      </c>
      <c r="G205" s="525">
        <v>33</v>
      </c>
      <c r="H205" s="526">
        <v>10</v>
      </c>
      <c r="I205" s="527">
        <v>1</v>
      </c>
      <c r="J205" s="528">
        <f t="shared" si="34" ref="J205:J209">H205/G205*I205</f>
        <v>0.30303030303030304</v>
      </c>
      <c r="K205" s="525">
        <f>(350*2)/1000</f>
        <v>0.70</v>
      </c>
      <c r="L205" s="267">
        <f t="shared" si="35" ref="L205:L209">J205*K205</f>
        <v>0.21212121212121213</v>
      </c>
      <c r="M205" s="266">
        <f t="shared" si="36" ref="M205:M209">L205*N205</f>
        <v>32.242424242424242</v>
      </c>
      <c r="N205" s="433">
        <v>152</v>
      </c>
      <c r="O205" s="267">
        <f t="shared" si="37" ref="O205:O209">J205/I205*K205</f>
        <v>0.21212121212121213</v>
      </c>
    </row>
    <row r="206" spans="1:15" ht="30">
      <c r="A206" s="523" t="s">
        <v>1668</v>
      </c>
      <c r="B206" s="522" t="s">
        <v>1670</v>
      </c>
      <c r="C206" s="523" t="s">
        <v>33</v>
      </c>
      <c r="D206" s="523">
        <v>116</v>
      </c>
      <c r="E206" s="523"/>
      <c r="F206" s="523" t="s">
        <v>1666</v>
      </c>
      <c r="G206" s="527">
        <v>13.16</v>
      </c>
      <c r="H206" s="530">
        <v>10</v>
      </c>
      <c r="I206" s="527">
        <v>2</v>
      </c>
      <c r="J206" s="531">
        <f t="shared" si="34"/>
        <v>1.519756838905775</v>
      </c>
      <c r="K206" s="527">
        <v>1</v>
      </c>
      <c r="L206" s="267">
        <f t="shared" si="35"/>
        <v>1.519756838905775</v>
      </c>
      <c r="M206" s="433">
        <f t="shared" si="36"/>
        <v>303.951367781155</v>
      </c>
      <c r="N206" s="434">
        <v>200</v>
      </c>
      <c r="O206" s="435">
        <f t="shared" si="37"/>
        <v>0.75987841945288748</v>
      </c>
    </row>
    <row r="207" spans="1:15" ht="30">
      <c r="A207" s="523" t="s">
        <v>1669</v>
      </c>
      <c r="B207" s="522" t="s">
        <v>1671</v>
      </c>
      <c r="C207" s="523" t="s">
        <v>33</v>
      </c>
      <c r="D207" s="523">
        <v>116</v>
      </c>
      <c r="E207" s="523"/>
      <c r="F207" s="523" t="s">
        <v>10</v>
      </c>
      <c r="G207" s="527">
        <v>40</v>
      </c>
      <c r="H207" s="530">
        <v>10</v>
      </c>
      <c r="I207" s="527">
        <v>1</v>
      </c>
      <c r="J207" s="531">
        <f t="shared" si="34"/>
        <v>0.25</v>
      </c>
      <c r="K207" s="525">
        <f>3374/1000</f>
        <v>3.3740000000000001</v>
      </c>
      <c r="L207" s="267">
        <f t="shared" si="35"/>
        <v>0.84350000000000003</v>
      </c>
      <c r="M207" s="433">
        <f t="shared" si="36"/>
        <v>168.70000000000002</v>
      </c>
      <c r="N207" s="434">
        <v>200</v>
      </c>
      <c r="O207" s="435">
        <f t="shared" si="37"/>
        <v>0.84350000000000003</v>
      </c>
    </row>
    <row r="208" spans="1:15" ht="30">
      <c r="A208" s="523" t="s">
        <v>1663</v>
      </c>
      <c r="B208" s="522" t="s">
        <v>1665</v>
      </c>
      <c r="C208" s="523" t="s">
        <v>33</v>
      </c>
      <c r="D208" s="523">
        <v>116</v>
      </c>
      <c r="E208" s="523"/>
      <c r="F208" s="523" t="s">
        <v>1666</v>
      </c>
      <c r="G208" s="527">
        <v>12.47</v>
      </c>
      <c r="H208" s="530">
        <v>10</v>
      </c>
      <c r="I208" s="527">
        <v>2</v>
      </c>
      <c r="J208" s="531">
        <f t="shared" si="34"/>
        <v>1.6038492381716118</v>
      </c>
      <c r="K208" s="527">
        <v>1</v>
      </c>
      <c r="L208" s="267">
        <f t="shared" si="35"/>
        <v>1.6038492381716118</v>
      </c>
      <c r="M208" s="433">
        <f t="shared" si="36"/>
        <v>320.76984763432239</v>
      </c>
      <c r="N208" s="434">
        <v>200</v>
      </c>
      <c r="O208" s="435">
        <f t="shared" si="37"/>
        <v>0.80192461908580592</v>
      </c>
    </row>
    <row r="209" spans="1:15" ht="30">
      <c r="A209" s="523" t="s">
        <v>1664</v>
      </c>
      <c r="B209" s="522" t="s">
        <v>1667</v>
      </c>
      <c r="C209" s="523" t="s">
        <v>33</v>
      </c>
      <c r="D209" s="523">
        <v>116</v>
      </c>
      <c r="E209" s="523"/>
      <c r="F209" s="523" t="s">
        <v>10</v>
      </c>
      <c r="G209" s="527">
        <v>40</v>
      </c>
      <c r="H209" s="530">
        <v>10</v>
      </c>
      <c r="I209" s="527">
        <v>1</v>
      </c>
      <c r="J209" s="531">
        <f t="shared" si="34"/>
        <v>0.25</v>
      </c>
      <c r="K209" s="525">
        <f>3444/1000</f>
        <v>3.444</v>
      </c>
      <c r="L209" s="267">
        <f t="shared" si="35"/>
        <v>0.86099999999999999</v>
      </c>
      <c r="M209" s="433">
        <f t="shared" si="36"/>
        <v>172.20</v>
      </c>
      <c r="N209" s="434">
        <v>200</v>
      </c>
      <c r="O209" s="435">
        <f t="shared" si="37"/>
        <v>0.86099999999999999</v>
      </c>
    </row>
    <row r="210" ht="15.75" thickBot="1"/>
    <row r="211" spans="1:6" ht="15">
      <c r="A211" s="500" t="s">
        <v>328</v>
      </c>
      <c r="B211" s="631" t="s">
        <v>1593</v>
      </c>
      <c r="C211" s="632"/>
      <c r="D211" s="633"/>
      <c r="E211" s="501" t="s">
        <v>332</v>
      </c>
      <c r="F211" s="502" t="s">
        <v>333</v>
      </c>
    </row>
    <row r="212" spans="1:6" ht="15.75" thickBot="1">
      <c r="A212" s="504">
        <v>3</v>
      </c>
      <c r="B212" s="634" t="s">
        <v>1605</v>
      </c>
      <c r="C212" s="635"/>
      <c r="D212" s="636"/>
      <c r="E212" s="505" t="s">
        <v>1682</v>
      </c>
      <c r="F212" s="506">
        <v>45055</v>
      </c>
    </row>
    <row r="213" spans="1:15" ht="15">
      <c r="A213" s="523" t="s">
        <v>1695</v>
      </c>
      <c r="B213" s="522" t="s">
        <v>1696</v>
      </c>
      <c r="C213" s="523" t="s">
        <v>33</v>
      </c>
      <c r="D213" s="523">
        <v>226</v>
      </c>
      <c r="E213" s="523"/>
      <c r="F213" s="523" t="s">
        <v>12</v>
      </c>
      <c r="G213" s="527">
        <v>20</v>
      </c>
      <c r="H213" s="530">
        <v>10</v>
      </c>
      <c r="I213" s="527">
        <v>1</v>
      </c>
      <c r="J213" s="531">
        <f t="shared" si="38" ref="J213">H213/G213*I213</f>
        <v>0.50</v>
      </c>
      <c r="K213" s="527">
        <v>1</v>
      </c>
      <c r="L213" s="267">
        <f t="shared" si="39" ref="L213">J213*K213</f>
        <v>0.50</v>
      </c>
      <c r="M213" s="433">
        <f t="shared" si="40" ref="M213">L213*N213</f>
        <v>100</v>
      </c>
      <c r="N213" s="434">
        <v>200</v>
      </c>
      <c r="O213" s="435">
        <f t="shared" si="41" ref="O213">J213/I213*K213</f>
        <v>0.50</v>
      </c>
    </row>
    <row r="214" ht="15.75" thickBot="1"/>
    <row r="215" spans="1:6" ht="15">
      <c r="A215" s="500" t="s">
        <v>328</v>
      </c>
      <c r="B215" s="631" t="s">
        <v>1593</v>
      </c>
      <c r="C215" s="632"/>
      <c r="D215" s="633"/>
      <c r="E215" s="501" t="s">
        <v>332</v>
      </c>
      <c r="F215" s="502" t="s">
        <v>333</v>
      </c>
    </row>
    <row r="216" spans="1:6" ht="15.75" thickBot="1">
      <c r="A216" s="504">
        <v>4</v>
      </c>
      <c r="B216" s="634" t="s">
        <v>1657</v>
      </c>
      <c r="C216" s="635"/>
      <c r="D216" s="636"/>
      <c r="E216" s="505" t="s">
        <v>1697</v>
      </c>
      <c r="F216" s="506">
        <v>45142</v>
      </c>
    </row>
    <row r="217" spans="1:16" ht="15">
      <c r="A217" s="13" t="s">
        <v>292</v>
      </c>
      <c r="B217" s="27" t="s">
        <v>21</v>
      </c>
      <c r="C217" s="13" t="s">
        <v>33</v>
      </c>
      <c r="D217" s="13">
        <v>219</v>
      </c>
      <c r="E217" s="13"/>
      <c r="F217" s="13" t="s">
        <v>12</v>
      </c>
      <c r="G217" s="436">
        <v>3.86</v>
      </c>
      <c r="H217" s="440">
        <v>10</v>
      </c>
      <c r="I217" s="28">
        <v>2</v>
      </c>
      <c r="J217" s="441">
        <f t="shared" si="42" ref="J217:J218">H217/G217*I217</f>
        <v>5.1813471502590671</v>
      </c>
      <c r="K217" s="28">
        <v>1</v>
      </c>
      <c r="L217" s="267">
        <f t="shared" si="43" ref="L217:L218">J217*K217</f>
        <v>5.1813471502590671</v>
      </c>
      <c r="M217" s="433">
        <f t="shared" si="44" ref="M217:M218">L217*N217</f>
        <v>860.10362694300511</v>
      </c>
      <c r="N217" s="434">
        <v>166</v>
      </c>
      <c r="O217" s="435">
        <f t="shared" si="45" ref="O217:O218">J217/I217*K217</f>
        <v>2.5906735751295336</v>
      </c>
      <c r="P217" s="22"/>
    </row>
    <row r="218" spans="1:16" ht="15">
      <c r="A218" s="13" t="s">
        <v>292</v>
      </c>
      <c r="B218" s="27" t="s">
        <v>21</v>
      </c>
      <c r="C218" s="13" t="s">
        <v>33</v>
      </c>
      <c r="D218" s="13">
        <v>219</v>
      </c>
      <c r="E218" s="13"/>
      <c r="F218" s="13" t="s">
        <v>12</v>
      </c>
      <c r="G218" s="569">
        <f t="shared" si="46" ref="G218">3.86*2</f>
        <v>7.72</v>
      </c>
      <c r="H218" s="440">
        <v>10</v>
      </c>
      <c r="I218" s="28">
        <v>2</v>
      </c>
      <c r="J218" s="441">
        <f t="shared" si="42"/>
        <v>2.5906735751295336</v>
      </c>
      <c r="K218" s="28">
        <v>1</v>
      </c>
      <c r="L218" s="267">
        <f t="shared" si="43"/>
        <v>2.5906735751295336</v>
      </c>
      <c r="M218" s="433">
        <f t="shared" si="44"/>
        <v>430.05181347150256</v>
      </c>
      <c r="N218" s="434">
        <v>166</v>
      </c>
      <c r="O218" s="435">
        <f t="shared" si="45"/>
        <v>1.2953367875647668</v>
      </c>
      <c r="P218" s="22"/>
    </row>
  </sheetData>
  <autoFilter ref="A4:P157"/>
  <mergeCells count="48">
    <mergeCell ref="B48:K48"/>
    <mergeCell ref="A51:A52"/>
    <mergeCell ref="B51:B52"/>
    <mergeCell ref="A34:A36"/>
    <mergeCell ref="B34:B36"/>
    <mergeCell ref="E34:E36"/>
    <mergeCell ref="A38:A39"/>
    <mergeCell ref="B38:B39"/>
    <mergeCell ref="E51:E52"/>
    <mergeCell ref="A23:A25"/>
    <mergeCell ref="B23:B25"/>
    <mergeCell ref="E23:E25"/>
    <mergeCell ref="A32:A33"/>
    <mergeCell ref="B32:B33"/>
    <mergeCell ref="E32:E33"/>
    <mergeCell ref="B5:K5"/>
    <mergeCell ref="B19:K19"/>
    <mergeCell ref="A21:A22"/>
    <mergeCell ref="B21:B22"/>
    <mergeCell ref="E21:E22"/>
    <mergeCell ref="A93:A94"/>
    <mergeCell ref="B93:B94"/>
    <mergeCell ref="A53:A54"/>
    <mergeCell ref="B53:B54"/>
    <mergeCell ref="E53:E54"/>
    <mergeCell ref="A57:A58"/>
    <mergeCell ref="B57:B58"/>
    <mergeCell ref="B61:K61"/>
    <mergeCell ref="A62:A64"/>
    <mergeCell ref="B62:B64"/>
    <mergeCell ref="B74:K74"/>
    <mergeCell ref="B81:K81"/>
    <mergeCell ref="B85:K85"/>
    <mergeCell ref="B133:K133"/>
    <mergeCell ref="B199:D199"/>
    <mergeCell ref="B200:D200"/>
    <mergeCell ref="A106:A107"/>
    <mergeCell ref="B106:B107"/>
    <mergeCell ref="A108:A110"/>
    <mergeCell ref="B108:B110"/>
    <mergeCell ref="A111:A112"/>
    <mergeCell ref="B111:B112"/>
    <mergeCell ref="B215:D215"/>
    <mergeCell ref="B216:D216"/>
    <mergeCell ref="B211:D211"/>
    <mergeCell ref="B212:D212"/>
    <mergeCell ref="B203:D203"/>
    <mergeCell ref="B204:D20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06"/>
  <sheetViews>
    <sheetView zoomScale="85" zoomScaleNormal="85" workbookViewId="0" topLeftCell="A1">
      <pane ySplit="4" topLeftCell="A193" activePane="bottomLeft" state="frozen"/>
      <selection pane="topLeft" activeCell="A1" sqref="A1"/>
      <selection pane="bottomLeft" activeCell="A203" sqref="A203:XFD204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3.857142857142858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44539</v>
      </c>
    </row>
    <row r="2" spans="2:9" ht="31.5">
      <c r="B2" s="492" t="s">
        <v>1228</v>
      </c>
      <c r="F2" s="429" t="s">
        <v>22</v>
      </c>
      <c r="G2" s="268">
        <f>1418/1000</f>
        <v>1.4179999999999999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SUM(M6:M17)</f>
        <v>564.43200000000013</v>
      </c>
      <c r="N5" s="263"/>
      <c r="O5" s="264">
        <f>SUM(O6:O17)</f>
        <v>3.2070000000000003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7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18</v>
      </c>
      <c r="L6" s="465">
        <f t="shared" si="1" ref="L6:L17">J6*K6</f>
        <v>0.35099999999999998</v>
      </c>
      <c r="M6" s="466">
        <f t="shared" si="2" ref="M6:M17">L6*N6</f>
        <v>61.775999999999996</v>
      </c>
      <c r="N6" s="466">
        <v>176</v>
      </c>
      <c r="O6" s="456">
        <f t="shared" si="3" ref="O6:O17">J6/I6*K6</f>
        <v>0.35099999999999998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200</v>
      </c>
      <c r="H8" s="462">
        <v>10</v>
      </c>
      <c r="I8" s="463">
        <v>1</v>
      </c>
      <c r="J8" s="464">
        <f>3/60</f>
        <v>0.05</v>
      </c>
      <c r="K8" s="461">
        <v>2</v>
      </c>
      <c r="L8" s="465">
        <f t="shared" si="1"/>
        <v>0.10000000000000001</v>
      </c>
      <c r="M8" s="466">
        <f t="shared" si="2"/>
        <v>17.60</v>
      </c>
      <c r="N8" s="466">
        <v>176</v>
      </c>
      <c r="O8" s="456">
        <f t="shared" si="3"/>
        <v>0.10000000000000001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3</v>
      </c>
      <c r="L9" s="465">
        <f t="shared" si="1"/>
        <v>0.051500000000000004</v>
      </c>
      <c r="M9" s="466">
        <f t="shared" si="2"/>
        <v>9.0640000000000001</v>
      </c>
      <c r="N9" s="466">
        <v>176</v>
      </c>
      <c r="O9" s="456">
        <f t="shared" si="3"/>
        <v>0.051500000000000004</v>
      </c>
    </row>
    <row r="10" spans="1:15" s="457" customFormat="1" ht="15">
      <c r="A10" s="459" t="s">
        <v>839</v>
      </c>
      <c r="B10" s="494" t="s">
        <v>929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44.477390659747961</v>
      </c>
      <c r="H10" s="462">
        <v>10</v>
      </c>
      <c r="I10" s="463">
        <v>1</v>
      </c>
      <c r="J10" s="464">
        <f>13.49/60</f>
        <v>0.22483333333333333</v>
      </c>
      <c r="K10" s="461">
        <v>1</v>
      </c>
      <c r="L10" s="465">
        <f t="shared" si="1"/>
        <v>0.22483333333333333</v>
      </c>
      <c r="M10" s="466">
        <f t="shared" si="2"/>
        <v>39.570666666666668</v>
      </c>
      <c r="N10" s="466">
        <v>176</v>
      </c>
      <c r="O10" s="456">
        <f t="shared" si="3"/>
        <v>0.22483333333333333</v>
      </c>
    </row>
    <row r="11" spans="1:15" s="457" customFormat="1" ht="15">
      <c r="A11" s="459" t="s">
        <v>840</v>
      </c>
      <c r="B11" s="494" t="s">
        <v>931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419.58041958041963</v>
      </c>
      <c r="H11" s="462">
        <v>10</v>
      </c>
      <c r="I11" s="463">
        <v>1</v>
      </c>
      <c r="J11" s="464">
        <f>1.43/60</f>
        <v>0.023833333333333331</v>
      </c>
      <c r="K11" s="461">
        <v>6</v>
      </c>
      <c r="L11" s="465">
        <f t="shared" si="1"/>
        <v>0.14299999999999999</v>
      </c>
      <c r="M11" s="466">
        <f t="shared" si="2"/>
        <v>25.167999999999999</v>
      </c>
      <c r="N11" s="466">
        <v>176</v>
      </c>
      <c r="O11" s="456">
        <f t="shared" si="3"/>
        <v>0.14299999999999999</v>
      </c>
    </row>
    <row r="12" spans="1:15" s="457" customFormat="1" ht="15">
      <c r="A12" s="459" t="s">
        <v>841</v>
      </c>
      <c r="B12" s="494" t="s">
        <v>1043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322.58064516129036</v>
      </c>
      <c r="H12" s="462">
        <v>10</v>
      </c>
      <c r="I12" s="463">
        <v>1</v>
      </c>
      <c r="J12" s="464">
        <f>1.86/60</f>
        <v>0.030999999999999996</v>
      </c>
      <c r="K12" s="461">
        <v>1</v>
      </c>
      <c r="L12" s="465">
        <f t="shared" si="1"/>
        <v>0.030999999999999996</v>
      </c>
      <c r="M12" s="466">
        <f t="shared" si="2"/>
        <v>5.4559999999999995</v>
      </c>
      <c r="N12" s="466">
        <v>176</v>
      </c>
      <c r="O12" s="456">
        <f t="shared" si="3"/>
        <v>0.030999999999999996</v>
      </c>
    </row>
    <row r="13" spans="1:15" s="457" customFormat="1" ht="15">
      <c r="A13" s="459" t="s">
        <v>842</v>
      </c>
      <c r="B13" s="494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0.038833333333333338</v>
      </c>
      <c r="K13" s="461">
        <v>48</v>
      </c>
      <c r="L13" s="465">
        <f t="shared" si="1"/>
        <v>1.8640000000000003</v>
      </c>
      <c r="M13" s="466">
        <f t="shared" si="2"/>
        <v>328.06400000000008</v>
      </c>
      <c r="N13" s="466">
        <v>176</v>
      </c>
      <c r="O13" s="456">
        <f t="shared" si="3"/>
        <v>1.8640000000000003</v>
      </c>
    </row>
    <row r="14" spans="1:15" s="457" customFormat="1" ht="15">
      <c r="A14" s="459" t="s">
        <v>843</v>
      </c>
      <c r="B14" s="494" t="s">
        <v>932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132.45033112582783</v>
      </c>
      <c r="H14" s="462">
        <v>10</v>
      </c>
      <c r="I14" s="463">
        <v>1</v>
      </c>
      <c r="J14" s="464">
        <f>4.53/60</f>
        <v>0.075499999999999998</v>
      </c>
      <c r="K14" s="461">
        <v>2</v>
      </c>
      <c r="L14" s="465">
        <f t="shared" si="1"/>
        <v>0.151</v>
      </c>
      <c r="M14" s="466">
        <f t="shared" si="2"/>
        <v>26.576000000000001</v>
      </c>
      <c r="N14" s="466">
        <v>176</v>
      </c>
      <c r="O14" s="456">
        <f t="shared" si="3"/>
        <v>0.151</v>
      </c>
    </row>
    <row r="15" spans="1:15" s="457" customFormat="1" ht="15">
      <c r="A15" s="459" t="s">
        <v>844</v>
      </c>
      <c r="B15" s="494" t="s">
        <v>854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631.57894736842115</v>
      </c>
      <c r="H15" s="462">
        <v>10</v>
      </c>
      <c r="I15" s="463">
        <v>1</v>
      </c>
      <c r="J15" s="464">
        <f>0.95/60</f>
        <v>0.015833333333333331</v>
      </c>
      <c r="K15" s="461">
        <v>8</v>
      </c>
      <c r="L15" s="465">
        <f t="shared" si="1"/>
        <v>0.12666666666666665</v>
      </c>
      <c r="M15" s="466">
        <f t="shared" si="2"/>
        <v>22.293333333333329</v>
      </c>
      <c r="N15" s="466">
        <v>176</v>
      </c>
      <c r="O15" s="456">
        <f t="shared" si="3"/>
        <v>0.12666666666666665</v>
      </c>
    </row>
    <row r="16" spans="1:15" s="457" customFormat="1" ht="15">
      <c r="A16" s="459" t="s">
        <v>845</v>
      </c>
      <c r="B16" s="494" t="s">
        <v>855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454.5454545454545</v>
      </c>
      <c r="H16" s="462">
        <v>10</v>
      </c>
      <c r="I16" s="463">
        <v>1</v>
      </c>
      <c r="J16" s="464">
        <f>1.32/60</f>
        <v>0.022000000000000002</v>
      </c>
      <c r="K16" s="461">
        <v>4</v>
      </c>
      <c r="L16" s="465">
        <f t="shared" si="1"/>
        <v>0.088000000000000009</v>
      </c>
      <c r="M16" s="466">
        <f t="shared" si="2"/>
        <v>15.488000000000001</v>
      </c>
      <c r="N16" s="466">
        <v>176</v>
      </c>
      <c r="O16" s="456">
        <f t="shared" si="3"/>
        <v>0.088000000000000009</v>
      </c>
    </row>
    <row r="17" spans="1:15" s="457" customFormat="1" ht="15">
      <c r="A17" s="459" t="s">
        <v>846</v>
      </c>
      <c r="B17" s="494" t="s">
        <v>861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857.14285714285722</v>
      </c>
      <c r="H17" s="462">
        <v>10</v>
      </c>
      <c r="I17" s="463">
        <v>1</v>
      </c>
      <c r="J17" s="464">
        <f>0.7/60</f>
        <v>0.011666666666666665</v>
      </c>
      <c r="K17" s="461">
        <v>2</v>
      </c>
      <c r="L17" s="465">
        <f t="shared" si="1"/>
        <v>0.023333333333333331</v>
      </c>
      <c r="M17" s="466">
        <f t="shared" si="2"/>
        <v>4.1066666666666665</v>
      </c>
      <c r="N17" s="466">
        <v>176</v>
      </c>
      <c r="O17" s="456">
        <f t="shared" si="3"/>
        <v>0.023333333333333331</v>
      </c>
    </row>
    <row r="18" spans="1:15" ht="15">
      <c r="A18" s="39"/>
      <c r="B18" s="649" t="s">
        <v>130</v>
      </c>
      <c r="C18" s="649"/>
      <c r="D18" s="649"/>
      <c r="E18" s="649"/>
      <c r="F18" s="649"/>
      <c r="G18" s="649"/>
      <c r="H18" s="649"/>
      <c r="I18" s="649"/>
      <c r="J18" s="649"/>
      <c r="K18" s="649"/>
      <c r="L18" s="265"/>
      <c r="M18" s="262">
        <f>SUM(M19:M46)</f>
        <v>3784.6602422661276</v>
      </c>
      <c r="N18" s="430"/>
      <c r="O18" s="264">
        <f>SUM(O19:O46)</f>
        <v>16.684578224877683</v>
      </c>
    </row>
    <row r="19" spans="1:15" s="0" customFormat="1" ht="15">
      <c r="A19" s="57" t="s">
        <v>143</v>
      </c>
      <c r="B19" s="56" t="s">
        <v>144</v>
      </c>
      <c r="C19" s="13" t="s">
        <v>933</v>
      </c>
      <c r="D19" s="13">
        <v>105</v>
      </c>
      <c r="E19" s="13"/>
      <c r="F19" s="17" t="s">
        <v>353</v>
      </c>
      <c r="G19" s="469">
        <v>18.20</v>
      </c>
      <c r="H19" s="252">
        <v>10</v>
      </c>
      <c r="I19" s="16">
        <v>1</v>
      </c>
      <c r="J19" s="253">
        <f>H19/G19*I19</f>
        <v>0.5494505494505495</v>
      </c>
      <c r="K19" s="52">
        <v>1</v>
      </c>
      <c r="L19" s="26">
        <f t="shared" si="4" ref="L19:L46">J19*K19</f>
        <v>0.5494505494505495</v>
      </c>
      <c r="M19" s="37">
        <f>L19*N19</f>
        <v>109.8901098901099</v>
      </c>
      <c r="N19" s="85">
        <v>200</v>
      </c>
      <c r="O19" s="8">
        <f>J19/I19*K19</f>
        <v>0.5494505494505495</v>
      </c>
    </row>
    <row r="20" spans="1:15" s="0" customFormat="1" ht="15">
      <c r="A20" s="642" t="s">
        <v>146</v>
      </c>
      <c r="B20" s="639" t="s">
        <v>411</v>
      </c>
      <c r="C20" s="13" t="s">
        <v>934</v>
      </c>
      <c r="D20" s="54">
        <v>109</v>
      </c>
      <c r="E20" s="645" t="s">
        <v>911</v>
      </c>
      <c r="F20" s="17" t="s">
        <v>10</v>
      </c>
      <c r="G20" s="16">
        <v>40</v>
      </c>
      <c r="H20" s="252">
        <v>10</v>
      </c>
      <c r="I20" s="16">
        <v>1</v>
      </c>
      <c r="J20" s="253">
        <f t="shared" si="5" ref="J20:J46">H20/G20*I20</f>
        <v>0.25</v>
      </c>
      <c r="K20" s="260">
        <f>1121/1000+0.1</f>
        <v>1.2210000000000001</v>
      </c>
      <c r="L20" s="26">
        <f t="shared" si="4"/>
        <v>0.30525000000000002</v>
      </c>
      <c r="M20" s="43">
        <f t="shared" si="6" ref="M20:M46">L20*N20</f>
        <v>61.05</v>
      </c>
      <c r="N20" s="85">
        <v>200</v>
      </c>
      <c r="O20" s="8">
        <f t="shared" si="7" ref="O20:O46">J20/I20*K20</f>
        <v>0.30525000000000002</v>
      </c>
    </row>
    <row r="21" spans="1:15" s="0" customFormat="1" ht="15">
      <c r="A21" s="647"/>
      <c r="B21" s="641"/>
      <c r="C21" s="13" t="s">
        <v>935</v>
      </c>
      <c r="D21" s="90">
        <v>109</v>
      </c>
      <c r="E21" s="647"/>
      <c r="F21" s="17" t="s">
        <v>10</v>
      </c>
      <c r="G21" s="16">
        <v>27</v>
      </c>
      <c r="H21" s="252">
        <v>10</v>
      </c>
      <c r="I21" s="16">
        <v>1</v>
      </c>
      <c r="J21" s="253">
        <f t="shared" si="5"/>
        <v>0.37037037037037035</v>
      </c>
      <c r="K21" s="260">
        <f>1121/1000+0.1</f>
        <v>1.2210000000000001</v>
      </c>
      <c r="L21" s="26">
        <f t="shared" si="4"/>
        <v>0.45222222222222225</v>
      </c>
      <c r="M21" s="43">
        <f t="shared" si="6"/>
        <v>90.444444444444443</v>
      </c>
      <c r="N21" s="85">
        <v>200</v>
      </c>
      <c r="O21" s="8">
        <f t="shared" si="7"/>
        <v>0.45222222222222225</v>
      </c>
    </row>
    <row r="22" spans="1:15" s="0" customFormat="1" ht="15">
      <c r="A22" s="650" t="s">
        <v>148</v>
      </c>
      <c r="B22" s="638" t="s">
        <v>412</v>
      </c>
      <c r="C22" s="13" t="s">
        <v>936</v>
      </c>
      <c r="D22" s="13">
        <v>107</v>
      </c>
      <c r="E22" s="637" t="s">
        <v>43</v>
      </c>
      <c r="F22" s="17" t="s">
        <v>10</v>
      </c>
      <c r="G22" s="16">
        <v>40</v>
      </c>
      <c r="H22" s="252">
        <v>10</v>
      </c>
      <c r="I22" s="16">
        <v>1</v>
      </c>
      <c r="J22" s="253">
        <f t="shared" si="5"/>
        <v>0.25</v>
      </c>
      <c r="K22" s="30">
        <f>1121/1000+0.1</f>
        <v>1.2210000000000001</v>
      </c>
      <c r="L22" s="26">
        <f t="shared" si="4"/>
        <v>0.30525000000000002</v>
      </c>
      <c r="M22" s="37">
        <f t="shared" si="6"/>
        <v>61.05</v>
      </c>
      <c r="N22" s="85">
        <v>200</v>
      </c>
      <c r="O22" s="8">
        <f t="shared" si="7"/>
        <v>0.30525000000000002</v>
      </c>
    </row>
    <row r="23" spans="1:15" s="0" customFormat="1" ht="15">
      <c r="A23" s="650"/>
      <c r="B23" s="638"/>
      <c r="C23" s="13" t="s">
        <v>937</v>
      </c>
      <c r="D23" s="13">
        <v>107</v>
      </c>
      <c r="E23" s="637"/>
      <c r="F23" s="17" t="s">
        <v>10</v>
      </c>
      <c r="G23" s="16">
        <v>25</v>
      </c>
      <c r="H23" s="252">
        <v>10</v>
      </c>
      <c r="I23" s="16">
        <v>1</v>
      </c>
      <c r="J23" s="253">
        <f t="shared" si="5"/>
        <v>0.40</v>
      </c>
      <c r="K23" s="30">
        <f>1121/1000</f>
        <v>1.121</v>
      </c>
      <c r="L23" s="26">
        <f t="shared" si="4"/>
        <v>0.44840000000000002</v>
      </c>
      <c r="M23" s="37">
        <f t="shared" si="6"/>
        <v>78.918400000000005</v>
      </c>
      <c r="N23" s="85">
        <v>176</v>
      </c>
      <c r="O23" s="8">
        <f t="shared" si="7"/>
        <v>0.44840000000000002</v>
      </c>
    </row>
    <row r="24" spans="1:15" s="0" customFormat="1" ht="15">
      <c r="A24" s="650"/>
      <c r="B24" s="638"/>
      <c r="C24" s="13" t="s">
        <v>938</v>
      </c>
      <c r="D24" s="13">
        <v>107</v>
      </c>
      <c r="E24" s="637"/>
      <c r="F24" s="17" t="s">
        <v>10</v>
      </c>
      <c r="G24" s="16">
        <v>28.50</v>
      </c>
      <c r="H24" s="252">
        <v>10</v>
      </c>
      <c r="I24" s="16">
        <v>1</v>
      </c>
      <c r="J24" s="253">
        <f t="shared" si="5"/>
        <v>0.35087719298245612</v>
      </c>
      <c r="K24" s="30">
        <f>1121/1000+0.1</f>
        <v>1.2210000000000001</v>
      </c>
      <c r="L24" s="26">
        <f t="shared" si="4"/>
        <v>0.42842105263157898</v>
      </c>
      <c r="M24" s="37">
        <f t="shared" si="6"/>
        <v>85.684210526315795</v>
      </c>
      <c r="N24" s="85">
        <v>200</v>
      </c>
      <c r="O24" s="8">
        <f t="shared" si="7"/>
        <v>0.42842105263157898</v>
      </c>
    </row>
    <row r="25" spans="1:15" s="0" customFormat="1" ht="30">
      <c r="A25" s="57" t="s">
        <v>421</v>
      </c>
      <c r="B25" s="91" t="s">
        <v>149</v>
      </c>
      <c r="C25" s="13" t="s">
        <v>933</v>
      </c>
      <c r="D25" s="13">
        <v>105</v>
      </c>
      <c r="E25" s="13"/>
      <c r="F25" s="17" t="s">
        <v>353</v>
      </c>
      <c r="G25" s="469">
        <f>18.2/0.65</f>
        <v>27.999999999999996</v>
      </c>
      <c r="H25" s="252">
        <v>10</v>
      </c>
      <c r="I25" s="16">
        <v>1</v>
      </c>
      <c r="J25" s="253">
        <f t="shared" si="5"/>
        <v>0.35714285714285721</v>
      </c>
      <c r="K25" s="52">
        <v>1</v>
      </c>
      <c r="L25" s="26">
        <f t="shared" si="4"/>
        <v>0.35714285714285721</v>
      </c>
      <c r="M25" s="37">
        <f t="shared" si="6"/>
        <v>71.428571428571445</v>
      </c>
      <c r="N25" s="43">
        <v>200</v>
      </c>
      <c r="O25" s="8">
        <f t="shared" si="7"/>
        <v>0.35714285714285721</v>
      </c>
    </row>
    <row r="26" spans="1:15" s="0" customFormat="1" ht="30">
      <c r="A26" s="529" t="s">
        <v>1662</v>
      </c>
      <c r="B26" s="522" t="s">
        <v>1661</v>
      </c>
      <c r="C26" s="523" t="s">
        <v>9</v>
      </c>
      <c r="D26" s="523">
        <v>109</v>
      </c>
      <c r="E26" s="523"/>
      <c r="F26" s="524" t="s">
        <v>10</v>
      </c>
      <c r="G26" s="525">
        <v>33</v>
      </c>
      <c r="H26" s="526">
        <v>10</v>
      </c>
      <c r="I26" s="527">
        <v>1</v>
      </c>
      <c r="J26" s="528">
        <f t="shared" si="5"/>
        <v>0.30303030303030304</v>
      </c>
      <c r="K26" s="525">
        <f>(350*2)/1000</f>
        <v>0.70</v>
      </c>
      <c r="L26" s="267">
        <f t="shared" si="4"/>
        <v>0.21212121212121213</v>
      </c>
      <c r="M26" s="266">
        <f t="shared" si="6"/>
        <v>32.242424242424242</v>
      </c>
      <c r="N26" s="433">
        <v>152</v>
      </c>
      <c r="O26" s="267">
        <f t="shared" si="7"/>
        <v>0.21212121212121213</v>
      </c>
    </row>
    <row r="27" spans="1:15" ht="15">
      <c r="A27" s="57" t="s">
        <v>152</v>
      </c>
      <c r="B27" s="56" t="s">
        <v>153</v>
      </c>
      <c r="C27" s="13" t="s">
        <v>154</v>
      </c>
      <c r="D27" s="13">
        <v>124</v>
      </c>
      <c r="E27" s="13"/>
      <c r="F27" s="13" t="s">
        <v>354</v>
      </c>
      <c r="G27" s="442">
        <v>13.10</v>
      </c>
      <c r="H27" s="440">
        <v>10</v>
      </c>
      <c r="I27" s="28">
        <v>1</v>
      </c>
      <c r="J27" s="441">
        <f t="shared" si="5"/>
        <v>0.76335877862595425</v>
      </c>
      <c r="K27" s="432">
        <v>1</v>
      </c>
      <c r="L27" s="267">
        <f t="shared" si="4"/>
        <v>0.76335877862595425</v>
      </c>
      <c r="M27" s="433">
        <f t="shared" si="6"/>
        <v>152.67175572519085</v>
      </c>
      <c r="N27" s="434">
        <v>200</v>
      </c>
      <c r="O27" s="435">
        <f t="shared" si="7"/>
        <v>0.76335877862595425</v>
      </c>
    </row>
    <row r="28" spans="1:15" ht="30">
      <c r="A28" s="57" t="s">
        <v>155</v>
      </c>
      <c r="B28" s="56" t="s">
        <v>156</v>
      </c>
      <c r="C28" s="13" t="s">
        <v>157</v>
      </c>
      <c r="D28" s="13" t="s">
        <v>1329</v>
      </c>
      <c r="E28" s="13"/>
      <c r="F28" s="13" t="s">
        <v>354</v>
      </c>
      <c r="G28" s="442">
        <v>5.63</v>
      </c>
      <c r="H28" s="440">
        <v>10</v>
      </c>
      <c r="I28" s="28">
        <v>1</v>
      </c>
      <c r="J28" s="441">
        <f t="shared" si="5"/>
        <v>1.7761989342806395</v>
      </c>
      <c r="K28" s="432">
        <v>1</v>
      </c>
      <c r="L28" s="267">
        <f t="shared" si="4"/>
        <v>1.7761989342806395</v>
      </c>
      <c r="M28" s="433">
        <f t="shared" si="6"/>
        <v>355.23978685612792</v>
      </c>
      <c r="N28" s="434">
        <v>200</v>
      </c>
      <c r="O28" s="435">
        <f t="shared" si="7"/>
        <v>1.7761989342806395</v>
      </c>
    </row>
    <row r="29" spans="1:15" ht="30">
      <c r="A29" s="57" t="s">
        <v>158</v>
      </c>
      <c r="B29" s="56" t="s">
        <v>159</v>
      </c>
      <c r="C29" s="13" t="s">
        <v>160</v>
      </c>
      <c r="D29" s="13" t="s">
        <v>1331</v>
      </c>
      <c r="E29" s="13" t="s">
        <v>161</v>
      </c>
      <c r="F29" s="13" t="s">
        <v>10</v>
      </c>
      <c r="G29" s="439">
        <v>15.40</v>
      </c>
      <c r="H29" s="440">
        <v>10</v>
      </c>
      <c r="I29" s="28">
        <v>1</v>
      </c>
      <c r="J29" s="441">
        <f t="shared" si="5"/>
        <v>0.64935064935064934</v>
      </c>
      <c r="K29" s="436">
        <f>(61/1000)*3.1415*4</f>
        <v>0.76652600000000004</v>
      </c>
      <c r="L29" s="435">
        <f t="shared" si="4"/>
        <v>0.49774415584415588</v>
      </c>
      <c r="M29" s="266">
        <f t="shared" si="6"/>
        <v>99.548831168831171</v>
      </c>
      <c r="N29" s="433">
        <v>200</v>
      </c>
      <c r="O29" s="435">
        <f t="shared" si="7"/>
        <v>0.49774415584415588</v>
      </c>
    </row>
    <row r="30" spans="1:15" ht="15">
      <c r="A30" s="57" t="s">
        <v>427</v>
      </c>
      <c r="B30" s="56" t="s">
        <v>428</v>
      </c>
      <c r="C30" s="13" t="s">
        <v>24</v>
      </c>
      <c r="D30" s="13">
        <v>110</v>
      </c>
      <c r="E30" s="13"/>
      <c r="F30" s="4" t="s">
        <v>38</v>
      </c>
      <c r="G30" s="442">
        <v>13.08</v>
      </c>
      <c r="H30" s="440">
        <v>10</v>
      </c>
      <c r="I30" s="28">
        <v>2</v>
      </c>
      <c r="J30" s="441">
        <f t="shared" si="5"/>
        <v>1.5290519877675841</v>
      </c>
      <c r="K30" s="28">
        <v>1</v>
      </c>
      <c r="L30" s="267">
        <f t="shared" si="4"/>
        <v>1.5290519877675841</v>
      </c>
      <c r="M30" s="433">
        <f t="shared" si="6"/>
        <v>305.81039755351685</v>
      </c>
      <c r="N30" s="434">
        <v>200</v>
      </c>
      <c r="O30" s="435">
        <f t="shared" si="7"/>
        <v>0.76452599388379205</v>
      </c>
    </row>
    <row r="31" spans="1:15" ht="15">
      <c r="A31" s="637" t="s">
        <v>162</v>
      </c>
      <c r="B31" s="638" t="s">
        <v>429</v>
      </c>
      <c r="C31" s="13" t="s">
        <v>160</v>
      </c>
      <c r="D31" s="13">
        <v>109</v>
      </c>
      <c r="E31" s="645" t="s">
        <v>911</v>
      </c>
      <c r="F31" s="13" t="s">
        <v>10</v>
      </c>
      <c r="G31" s="28">
        <v>40</v>
      </c>
      <c r="H31" s="440">
        <v>10</v>
      </c>
      <c r="I31" s="28">
        <v>1</v>
      </c>
      <c r="J31" s="441">
        <f t="shared" si="5"/>
        <v>0.25</v>
      </c>
      <c r="K31" s="436">
        <f>630/1000*3.1415</f>
        <v>1.9791450000000002</v>
      </c>
      <c r="L31" s="267">
        <f t="shared" si="4"/>
        <v>0.49478625000000004</v>
      </c>
      <c r="M31" s="433">
        <f t="shared" si="6"/>
        <v>98.957250000000002</v>
      </c>
      <c r="N31" s="434">
        <v>200</v>
      </c>
      <c r="O31" s="435">
        <f t="shared" si="7"/>
        <v>0.49478625000000004</v>
      </c>
    </row>
    <row r="32" spans="1:15" ht="15">
      <c r="A32" s="637"/>
      <c r="B32" s="638"/>
      <c r="C32" s="13" t="s">
        <v>9</v>
      </c>
      <c r="D32" s="13">
        <v>109</v>
      </c>
      <c r="E32" s="647"/>
      <c r="F32" s="13" t="s">
        <v>10</v>
      </c>
      <c r="G32" s="28">
        <v>27</v>
      </c>
      <c r="H32" s="440">
        <v>10</v>
      </c>
      <c r="I32" s="28">
        <v>1</v>
      </c>
      <c r="J32" s="441">
        <f t="shared" si="5"/>
        <v>0.37037037037037035</v>
      </c>
      <c r="K32" s="436">
        <f>630/1000*3.1415</f>
        <v>1.9791450000000002</v>
      </c>
      <c r="L32" s="267">
        <f t="shared" si="4"/>
        <v>0.73301666666666665</v>
      </c>
      <c r="M32" s="433">
        <f t="shared" si="6"/>
        <v>146.60333333333332</v>
      </c>
      <c r="N32" s="434">
        <v>200</v>
      </c>
      <c r="O32" s="435">
        <f t="shared" si="7"/>
        <v>0.73301666666666665</v>
      </c>
    </row>
    <row r="33" spans="1:15" ht="15">
      <c r="A33" s="642" t="s">
        <v>430</v>
      </c>
      <c r="B33" s="639" t="s">
        <v>431</v>
      </c>
      <c r="C33" s="13" t="s">
        <v>160</v>
      </c>
      <c r="D33" s="13">
        <v>107</v>
      </c>
      <c r="E33" s="645" t="s">
        <v>43</v>
      </c>
      <c r="F33" s="13" t="s">
        <v>10</v>
      </c>
      <c r="G33" s="28">
        <v>40</v>
      </c>
      <c r="H33" s="440">
        <v>10</v>
      </c>
      <c r="I33" s="28">
        <v>1</v>
      </c>
      <c r="J33" s="441">
        <f t="shared" si="5"/>
        <v>0.25</v>
      </c>
      <c r="K33" s="436">
        <f>630/1000*3.1415</f>
        <v>1.9791450000000002</v>
      </c>
      <c r="L33" s="267">
        <f t="shared" si="4"/>
        <v>0.49478625000000004</v>
      </c>
      <c r="M33" s="433">
        <f t="shared" si="6"/>
        <v>98.957250000000002</v>
      </c>
      <c r="N33" s="434">
        <v>200</v>
      </c>
      <c r="O33" s="435">
        <f t="shared" si="7"/>
        <v>0.49478625000000004</v>
      </c>
    </row>
    <row r="34" spans="1:15" ht="15">
      <c r="A34" s="643"/>
      <c r="B34" s="640"/>
      <c r="C34" s="13" t="s">
        <v>511</v>
      </c>
      <c r="D34" s="13">
        <v>107</v>
      </c>
      <c r="E34" s="646"/>
      <c r="F34" s="13" t="s">
        <v>10</v>
      </c>
      <c r="G34" s="28">
        <v>25</v>
      </c>
      <c r="H34" s="440">
        <v>10</v>
      </c>
      <c r="I34" s="28">
        <v>1</v>
      </c>
      <c r="J34" s="453">
        <f t="shared" si="5"/>
        <v>0.40</v>
      </c>
      <c r="K34" s="436">
        <f>630*3.1415/1000</f>
        <v>1.9791450000000002</v>
      </c>
      <c r="L34" s="267">
        <f t="shared" si="4"/>
        <v>0.79165800000000008</v>
      </c>
      <c r="M34" s="433">
        <f t="shared" si="6"/>
        <v>139.33180800000002</v>
      </c>
      <c r="N34" s="434">
        <v>176</v>
      </c>
      <c r="O34" s="435">
        <f t="shared" si="7"/>
        <v>0.79165800000000008</v>
      </c>
    </row>
    <row r="35" spans="1:15" ht="15">
      <c r="A35" s="644"/>
      <c r="B35" s="641"/>
      <c r="C35" s="13" t="s">
        <v>313</v>
      </c>
      <c r="D35" s="13">
        <v>107</v>
      </c>
      <c r="E35" s="647"/>
      <c r="F35" s="13" t="s">
        <v>10</v>
      </c>
      <c r="G35" s="28">
        <v>28.50</v>
      </c>
      <c r="H35" s="440">
        <v>10</v>
      </c>
      <c r="I35" s="28">
        <v>1</v>
      </c>
      <c r="J35" s="453">
        <f t="shared" si="5"/>
        <v>0.35087719298245612</v>
      </c>
      <c r="K35" s="436">
        <f>630*3.1415/1000</f>
        <v>1.9791450000000002</v>
      </c>
      <c r="L35" s="267">
        <f t="shared" si="4"/>
        <v>0.69443684210526313</v>
      </c>
      <c r="M35" s="433">
        <f t="shared" si="6"/>
        <v>138.88736842105263</v>
      </c>
      <c r="N35" s="434">
        <v>200</v>
      </c>
      <c r="O35" s="435">
        <f t="shared" si="7"/>
        <v>0.69443684210526313</v>
      </c>
    </row>
    <row r="36" spans="1:15" ht="15">
      <c r="A36" s="57" t="s">
        <v>629</v>
      </c>
      <c r="B36" s="56" t="s">
        <v>1229</v>
      </c>
      <c r="C36" s="13" t="s">
        <v>862</v>
      </c>
      <c r="D36" s="13">
        <v>224</v>
      </c>
      <c r="E36" s="13"/>
      <c r="F36" s="17"/>
      <c r="G36" s="28">
        <f>(600-25)/10</f>
        <v>57.50</v>
      </c>
      <c r="H36" s="440">
        <v>10</v>
      </c>
      <c r="I36" s="28">
        <v>2</v>
      </c>
      <c r="J36" s="441">
        <f t="shared" si="5"/>
        <v>0.34782608695652173</v>
      </c>
      <c r="K36" s="28">
        <v>1</v>
      </c>
      <c r="L36" s="267">
        <f t="shared" si="4"/>
        <v>0.34782608695652173</v>
      </c>
      <c r="M36" s="433">
        <f t="shared" si="6"/>
        <v>69.565217391304344</v>
      </c>
      <c r="N36" s="434">
        <v>200</v>
      </c>
      <c r="O36" s="435">
        <f t="shared" si="7"/>
        <v>0.17391304347826086</v>
      </c>
    </row>
    <row r="37" spans="1:15" ht="15">
      <c r="A37" s="637" t="s">
        <v>314</v>
      </c>
      <c r="B37" s="638" t="s">
        <v>107</v>
      </c>
      <c r="C37" s="13" t="s">
        <v>24</v>
      </c>
      <c r="D37" s="13">
        <v>110</v>
      </c>
      <c r="E37" s="13"/>
      <c r="F37" s="4" t="s">
        <v>40</v>
      </c>
      <c r="G37" s="442">
        <v>20</v>
      </c>
      <c r="H37" s="440">
        <v>10</v>
      </c>
      <c r="I37" s="28">
        <v>2</v>
      </c>
      <c r="J37" s="441">
        <f t="shared" si="5"/>
        <v>1</v>
      </c>
      <c r="K37" s="28">
        <v>1</v>
      </c>
      <c r="L37" s="267">
        <f t="shared" si="4"/>
        <v>1</v>
      </c>
      <c r="M37" s="433">
        <f t="shared" si="6"/>
        <v>200</v>
      </c>
      <c r="N37" s="434">
        <v>200</v>
      </c>
      <c r="O37" s="435">
        <f t="shared" si="7"/>
        <v>0.50</v>
      </c>
    </row>
    <row r="38" spans="1:15" ht="15">
      <c r="A38" s="637"/>
      <c r="B38" s="638"/>
      <c r="C38" s="13" t="s">
        <v>25</v>
      </c>
      <c r="D38" s="13">
        <v>110</v>
      </c>
      <c r="E38" s="13" t="s">
        <v>41</v>
      </c>
      <c r="F38" s="13" t="s">
        <v>10</v>
      </c>
      <c r="G38" s="28">
        <v>40</v>
      </c>
      <c r="H38" s="440">
        <v>10</v>
      </c>
      <c r="I38" s="28">
        <v>1</v>
      </c>
      <c r="J38" s="441">
        <f t="shared" si="5"/>
        <v>0.25</v>
      </c>
      <c r="K38" s="436">
        <f>630/1000*3.1415*2</f>
        <v>3.9582900000000003</v>
      </c>
      <c r="L38" s="267">
        <f t="shared" si="4"/>
        <v>0.98957250000000008</v>
      </c>
      <c r="M38" s="433">
        <f t="shared" si="6"/>
        <v>197.9145</v>
      </c>
      <c r="N38" s="434">
        <v>200</v>
      </c>
      <c r="O38" s="435">
        <f t="shared" si="7"/>
        <v>0.98957250000000008</v>
      </c>
    </row>
    <row r="39" spans="1:15" ht="15">
      <c r="A39" s="57" t="s">
        <v>1285</v>
      </c>
      <c r="B39" s="56" t="s">
        <v>1616</v>
      </c>
      <c r="C39" s="13" t="s">
        <v>1617</v>
      </c>
      <c r="D39" s="13">
        <v>105</v>
      </c>
      <c r="E39" s="13"/>
      <c r="F39" s="13" t="s">
        <v>353</v>
      </c>
      <c r="G39" s="442">
        <v>25.10</v>
      </c>
      <c r="H39" s="440">
        <v>10</v>
      </c>
      <c r="I39" s="28">
        <v>1</v>
      </c>
      <c r="J39" s="441">
        <f t="shared" si="5"/>
        <v>0.39840637450199201</v>
      </c>
      <c r="K39" s="432">
        <v>1</v>
      </c>
      <c r="L39" s="435">
        <f t="shared" si="4"/>
        <v>0.39840637450199201</v>
      </c>
      <c r="M39" s="266">
        <f t="shared" si="6"/>
        <v>79.681274900398407</v>
      </c>
      <c r="N39" s="433">
        <v>200</v>
      </c>
      <c r="O39" s="435">
        <f t="shared" si="7"/>
        <v>0.39840637450199201</v>
      </c>
    </row>
    <row r="40" spans="1:15" ht="15">
      <c r="A40" s="57" t="s">
        <v>648</v>
      </c>
      <c r="B40" s="508" t="s">
        <v>1615</v>
      </c>
      <c r="C40" s="13" t="s">
        <v>1618</v>
      </c>
      <c r="D40" s="13">
        <v>108</v>
      </c>
      <c r="E40" s="13"/>
      <c r="F40" s="13" t="s">
        <v>10</v>
      </c>
      <c r="G40" s="28">
        <v>40</v>
      </c>
      <c r="H40" s="440">
        <v>10</v>
      </c>
      <c r="I40" s="28">
        <v>1</v>
      </c>
      <c r="J40" s="453">
        <f t="shared" si="5"/>
        <v>0.25</v>
      </c>
      <c r="K40" s="436">
        <f>177*2/1000</f>
        <v>0.35399999999999998</v>
      </c>
      <c r="L40" s="267">
        <f t="shared" si="4"/>
        <v>0.088499999999999995</v>
      </c>
      <c r="M40" s="433">
        <f t="shared" si="6"/>
        <v>17.70</v>
      </c>
      <c r="N40" s="434">
        <v>200</v>
      </c>
      <c r="O40" s="435">
        <f t="shared" si="7"/>
        <v>0.088499999999999995</v>
      </c>
    </row>
    <row r="41" spans="1:15" ht="15">
      <c r="A41" s="57" t="s">
        <v>1288</v>
      </c>
      <c r="B41" s="56" t="s">
        <v>1614</v>
      </c>
      <c r="C41" s="13" t="s">
        <v>1617</v>
      </c>
      <c r="D41" s="13">
        <v>105</v>
      </c>
      <c r="E41" s="13"/>
      <c r="F41" s="13" t="s">
        <v>353</v>
      </c>
      <c r="G41" s="442">
        <f>25.1/0.65</f>
        <v>38.615384615384613</v>
      </c>
      <c r="H41" s="440">
        <v>10</v>
      </c>
      <c r="I41" s="28">
        <v>1</v>
      </c>
      <c r="J41" s="441">
        <f t="shared" si="5"/>
        <v>0.25896414342629481</v>
      </c>
      <c r="K41" s="432">
        <v>1</v>
      </c>
      <c r="L41" s="435">
        <f t="shared" si="4"/>
        <v>0.25896414342629481</v>
      </c>
      <c r="M41" s="266">
        <f t="shared" si="6"/>
        <v>51.792828685258961</v>
      </c>
      <c r="N41" s="433">
        <v>200</v>
      </c>
      <c r="O41" s="435">
        <f t="shared" si="7"/>
        <v>0.25896414342629481</v>
      </c>
    </row>
    <row r="42" spans="1:15" ht="15">
      <c r="A42" s="57" t="s">
        <v>176</v>
      </c>
      <c r="B42" s="56" t="s">
        <v>1613</v>
      </c>
      <c r="C42" s="13" t="s">
        <v>154</v>
      </c>
      <c r="D42" s="13">
        <v>124</v>
      </c>
      <c r="E42" s="13"/>
      <c r="F42" s="13" t="s">
        <v>354</v>
      </c>
      <c r="G42" s="442">
        <v>6.65</v>
      </c>
      <c r="H42" s="440">
        <v>10</v>
      </c>
      <c r="I42" s="28">
        <v>1</v>
      </c>
      <c r="J42" s="441">
        <f t="shared" si="5"/>
        <v>1.5037593984962405</v>
      </c>
      <c r="K42" s="432">
        <v>1</v>
      </c>
      <c r="L42" s="267">
        <f t="shared" si="4"/>
        <v>1.5037593984962405</v>
      </c>
      <c r="M42" s="433">
        <f t="shared" si="6"/>
        <v>300.75187969924809</v>
      </c>
      <c r="N42" s="434">
        <v>200</v>
      </c>
      <c r="O42" s="435">
        <f t="shared" si="7"/>
        <v>1.5037593984962405</v>
      </c>
    </row>
    <row r="43" spans="1:15" ht="30">
      <c r="A43" s="57" t="s">
        <v>1289</v>
      </c>
      <c r="B43" s="56" t="s">
        <v>1612</v>
      </c>
      <c r="C43" s="13" t="s">
        <v>24</v>
      </c>
      <c r="D43" s="13">
        <v>117</v>
      </c>
      <c r="E43" s="13"/>
      <c r="F43" s="4" t="s">
        <v>38</v>
      </c>
      <c r="G43" s="442">
        <v>20</v>
      </c>
      <c r="H43" s="440">
        <v>10</v>
      </c>
      <c r="I43" s="28">
        <v>2</v>
      </c>
      <c r="J43" s="441">
        <f t="shared" si="5"/>
        <v>1</v>
      </c>
      <c r="K43" s="28">
        <v>1</v>
      </c>
      <c r="L43" s="267">
        <f t="shared" si="4"/>
        <v>1</v>
      </c>
      <c r="M43" s="433">
        <f t="shared" si="6"/>
        <v>200</v>
      </c>
      <c r="N43" s="434">
        <v>200</v>
      </c>
      <c r="O43" s="435">
        <f t="shared" si="7"/>
        <v>0.50</v>
      </c>
    </row>
    <row r="44" spans="1:15" ht="30">
      <c r="A44" s="13" t="s">
        <v>1290</v>
      </c>
      <c r="B44" s="56" t="s">
        <v>1611</v>
      </c>
      <c r="C44" s="13" t="s">
        <v>160</v>
      </c>
      <c r="D44" s="13">
        <v>117</v>
      </c>
      <c r="E44" s="13" t="s">
        <v>869</v>
      </c>
      <c r="F44" s="13" t="s">
        <v>10</v>
      </c>
      <c r="G44" s="28">
        <v>40</v>
      </c>
      <c r="H44" s="440">
        <v>10</v>
      </c>
      <c r="I44" s="28">
        <v>1</v>
      </c>
      <c r="J44" s="441">
        <f t="shared" si="5"/>
        <v>0.25</v>
      </c>
      <c r="K44" s="436">
        <f>534*3.1415*2/1000</f>
        <v>3.3551220000000002</v>
      </c>
      <c r="L44" s="267">
        <f t="shared" si="4"/>
        <v>0.83878050000000004</v>
      </c>
      <c r="M44" s="433">
        <f t="shared" si="6"/>
        <v>167.7561</v>
      </c>
      <c r="N44" s="434">
        <v>200</v>
      </c>
      <c r="O44" s="435">
        <f t="shared" si="7"/>
        <v>0.83878050000000004</v>
      </c>
    </row>
    <row r="45" spans="1:15" ht="30">
      <c r="A45" s="57" t="s">
        <v>1291</v>
      </c>
      <c r="B45" s="56" t="s">
        <v>1609</v>
      </c>
      <c r="C45" s="13" t="s">
        <v>24</v>
      </c>
      <c r="D45" s="13">
        <v>110</v>
      </c>
      <c r="E45" s="13"/>
      <c r="F45" s="4" t="s">
        <v>38</v>
      </c>
      <c r="G45" s="442">
        <v>20</v>
      </c>
      <c r="H45" s="440">
        <v>10</v>
      </c>
      <c r="I45" s="28">
        <v>2</v>
      </c>
      <c r="J45" s="441">
        <f t="shared" si="5"/>
        <v>1</v>
      </c>
      <c r="K45" s="28">
        <v>1</v>
      </c>
      <c r="L45" s="267">
        <f t="shared" si="4"/>
        <v>1</v>
      </c>
      <c r="M45" s="433">
        <f t="shared" si="6"/>
        <v>200</v>
      </c>
      <c r="N45" s="434">
        <v>200</v>
      </c>
      <c r="O45" s="435">
        <f t="shared" si="7"/>
        <v>0.50</v>
      </c>
    </row>
    <row r="46" spans="1:15" ht="30">
      <c r="A46" s="13" t="s">
        <v>177</v>
      </c>
      <c r="B46" s="56" t="s">
        <v>1610</v>
      </c>
      <c r="C46" s="13" t="s">
        <v>160</v>
      </c>
      <c r="D46" s="13">
        <v>110</v>
      </c>
      <c r="E46" s="13" t="s">
        <v>1604</v>
      </c>
      <c r="F46" s="13" t="s">
        <v>10</v>
      </c>
      <c r="G46" s="28">
        <v>40</v>
      </c>
      <c r="H46" s="440">
        <v>10</v>
      </c>
      <c r="I46" s="28">
        <v>1</v>
      </c>
      <c r="J46" s="441">
        <f t="shared" si="5"/>
        <v>0.25</v>
      </c>
      <c r="K46" s="436">
        <f>550*3.1415*2/1000</f>
        <v>3.4556499999999999</v>
      </c>
      <c r="L46" s="267">
        <f t="shared" si="4"/>
        <v>0.86391249999999997</v>
      </c>
      <c r="M46" s="433">
        <f t="shared" si="6"/>
        <v>172.7825</v>
      </c>
      <c r="N46" s="434">
        <v>200</v>
      </c>
      <c r="O46" s="435">
        <f t="shared" si="7"/>
        <v>0.86391249999999997</v>
      </c>
    </row>
    <row r="47" spans="1:15" ht="15">
      <c r="A47" s="39"/>
      <c r="B47" s="649" t="s">
        <v>131</v>
      </c>
      <c r="C47" s="649"/>
      <c r="D47" s="649"/>
      <c r="E47" s="649"/>
      <c r="F47" s="649"/>
      <c r="G47" s="649"/>
      <c r="H47" s="649"/>
      <c r="I47" s="649"/>
      <c r="J47" s="649"/>
      <c r="K47" s="649"/>
      <c r="L47" s="267"/>
      <c r="M47" s="262">
        <f>SUM(M48:M59)</f>
        <v>2288.3567559973344</v>
      </c>
      <c r="N47" s="263"/>
      <c r="O47" s="264">
        <f>SUM(O48:O59)</f>
        <v>9.4352200698417477</v>
      </c>
    </row>
    <row r="48" spans="1:15" ht="15">
      <c r="A48" s="57" t="s">
        <v>182</v>
      </c>
      <c r="B48" s="56" t="s">
        <v>183</v>
      </c>
      <c r="C48" s="13" t="s">
        <v>1230</v>
      </c>
      <c r="D48" s="13">
        <v>105</v>
      </c>
      <c r="E48" s="13"/>
      <c r="F48" s="13" t="s">
        <v>353</v>
      </c>
      <c r="G48" s="442">
        <v>12.995</v>
      </c>
      <c r="H48" s="440">
        <v>10</v>
      </c>
      <c r="I48" s="28">
        <v>1</v>
      </c>
      <c r="J48" s="441">
        <f t="shared" si="8" ref="J48:J59">H48/G48*I48</f>
        <v>0.76952674105425167</v>
      </c>
      <c r="K48" s="432">
        <v>1</v>
      </c>
      <c r="L48" s="435">
        <f t="shared" si="9" ref="L48:L59">J48*K48</f>
        <v>0.76952674105425167</v>
      </c>
      <c r="M48" s="266">
        <f t="shared" si="10" ref="M48:M59">L48*N48</f>
        <v>153.90534821085032</v>
      </c>
      <c r="N48" s="433">
        <v>200</v>
      </c>
      <c r="O48" s="435">
        <f t="shared" si="11" ref="O48:O59">J48/I48*K48</f>
        <v>0.76952674105425167</v>
      </c>
    </row>
    <row r="49" spans="1:15" ht="30">
      <c r="A49" s="57" t="s">
        <v>185</v>
      </c>
      <c r="B49" s="56" t="s">
        <v>186</v>
      </c>
      <c r="C49" s="13" t="s">
        <v>187</v>
      </c>
      <c r="D49" s="13">
        <v>105</v>
      </c>
      <c r="E49" s="13"/>
      <c r="F49" s="13" t="s">
        <v>522</v>
      </c>
      <c r="G49" s="28">
        <v>55</v>
      </c>
      <c r="H49" s="440">
        <v>10</v>
      </c>
      <c r="I49" s="28">
        <v>1</v>
      </c>
      <c r="J49" s="441">
        <f t="shared" si="8"/>
        <v>0.18181818181818182</v>
      </c>
      <c r="K49" s="432">
        <v>5</v>
      </c>
      <c r="L49" s="435">
        <f t="shared" si="9"/>
        <v>0.90909090909090917</v>
      </c>
      <c r="M49" s="266">
        <f t="shared" si="10"/>
        <v>181.81818181818184</v>
      </c>
      <c r="N49" s="433">
        <v>200</v>
      </c>
      <c r="O49" s="435">
        <f t="shared" si="11"/>
        <v>0.90909090909090917</v>
      </c>
    </row>
    <row r="50" spans="1:15" ht="15">
      <c r="A50" s="650" t="s">
        <v>188</v>
      </c>
      <c r="B50" s="658" t="s">
        <v>438</v>
      </c>
      <c r="C50" s="13" t="s">
        <v>1231</v>
      </c>
      <c r="D50" s="13">
        <v>109</v>
      </c>
      <c r="E50" s="637" t="s">
        <v>44</v>
      </c>
      <c r="F50" s="13" t="s">
        <v>10</v>
      </c>
      <c r="G50" s="28">
        <v>40</v>
      </c>
      <c r="H50" s="440">
        <v>10</v>
      </c>
      <c r="I50" s="28">
        <v>1</v>
      </c>
      <c r="J50" s="453">
        <f t="shared" si="8"/>
        <v>0.25</v>
      </c>
      <c r="K50" s="436">
        <f>(1396)/1000</f>
        <v>1.3959999999999999</v>
      </c>
      <c r="L50" s="267">
        <f t="shared" si="9"/>
        <v>0.34899999999999998</v>
      </c>
      <c r="M50" s="433">
        <f t="shared" si="10"/>
        <v>69.80</v>
      </c>
      <c r="N50" s="434">
        <v>200</v>
      </c>
      <c r="O50" s="435">
        <f t="shared" si="11"/>
        <v>0.34899999999999998</v>
      </c>
    </row>
    <row r="51" spans="1:15" ht="15">
      <c r="A51" s="652"/>
      <c r="B51" s="654"/>
      <c r="C51" s="13" t="s">
        <v>1232</v>
      </c>
      <c r="D51" s="13">
        <v>109</v>
      </c>
      <c r="E51" s="637"/>
      <c r="F51" s="13" t="s">
        <v>10</v>
      </c>
      <c r="G51" s="28">
        <v>27</v>
      </c>
      <c r="H51" s="440">
        <v>10</v>
      </c>
      <c r="I51" s="28">
        <v>1</v>
      </c>
      <c r="J51" s="441">
        <f t="shared" si="8"/>
        <v>0.37037037037037035</v>
      </c>
      <c r="K51" s="436">
        <f>(1396*2)/1000+0.2</f>
        <v>2.992</v>
      </c>
      <c r="L51" s="435">
        <f t="shared" si="9"/>
        <v>1.1081481481481481</v>
      </c>
      <c r="M51" s="266">
        <f t="shared" si="10"/>
        <v>221.62962962962962</v>
      </c>
      <c r="N51" s="433">
        <v>200</v>
      </c>
      <c r="O51" s="435">
        <f t="shared" si="11"/>
        <v>1.1081481481481481</v>
      </c>
    </row>
    <row r="52" spans="1:15" ht="15">
      <c r="A52" s="642" t="s">
        <v>437</v>
      </c>
      <c r="B52" s="639" t="s">
        <v>439</v>
      </c>
      <c r="C52" s="13" t="s">
        <v>1233</v>
      </c>
      <c r="D52" s="13">
        <v>107</v>
      </c>
      <c r="E52" s="637" t="s">
        <v>43</v>
      </c>
      <c r="F52" s="13" t="s">
        <v>10</v>
      </c>
      <c r="G52" s="28">
        <v>25</v>
      </c>
      <c r="H52" s="440">
        <v>10</v>
      </c>
      <c r="I52" s="28">
        <v>1</v>
      </c>
      <c r="J52" s="453">
        <f t="shared" si="8"/>
        <v>0.40</v>
      </c>
      <c r="K52" s="436">
        <f>(1396*2)/1000</f>
        <v>2.7919999999999998</v>
      </c>
      <c r="L52" s="267">
        <f t="shared" si="9"/>
        <v>1.1168</v>
      </c>
      <c r="M52" s="433">
        <f t="shared" si="10"/>
        <v>196.55680000000001</v>
      </c>
      <c r="N52" s="434">
        <v>176</v>
      </c>
      <c r="O52" s="435">
        <f t="shared" si="11"/>
        <v>1.1168</v>
      </c>
    </row>
    <row r="53" spans="1:15" ht="15">
      <c r="A53" s="644"/>
      <c r="B53" s="641"/>
      <c r="C53" s="13" t="s">
        <v>1234</v>
      </c>
      <c r="D53" s="13">
        <v>107</v>
      </c>
      <c r="E53" s="637"/>
      <c r="F53" s="13" t="s">
        <v>10</v>
      </c>
      <c r="G53" s="28">
        <v>28.50</v>
      </c>
      <c r="H53" s="440">
        <v>10</v>
      </c>
      <c r="I53" s="28">
        <v>1</v>
      </c>
      <c r="J53" s="453">
        <f t="shared" si="8"/>
        <v>0.35087719298245612</v>
      </c>
      <c r="K53" s="436">
        <f>1396*2/1000+0.2</f>
        <v>2.992</v>
      </c>
      <c r="L53" s="267">
        <f t="shared" si="9"/>
        <v>1.0498245614035087</v>
      </c>
      <c r="M53" s="433">
        <f t="shared" si="10"/>
        <v>209.96491228070172</v>
      </c>
      <c r="N53" s="434">
        <v>200</v>
      </c>
      <c r="O53" s="435">
        <f t="shared" si="11"/>
        <v>1.0498245614035087</v>
      </c>
    </row>
    <row r="54" spans="1:15" s="0" customFormat="1" ht="15">
      <c r="A54" s="58" t="s">
        <v>348</v>
      </c>
      <c r="B54" s="55" t="s">
        <v>1102</v>
      </c>
      <c r="C54" s="17" t="s">
        <v>523</v>
      </c>
      <c r="D54" s="17">
        <v>224</v>
      </c>
      <c r="E54" s="13"/>
      <c r="F54" s="17"/>
      <c r="G54" s="16">
        <v>60</v>
      </c>
      <c r="H54" s="18">
        <v>10</v>
      </c>
      <c r="I54" s="16">
        <v>1</v>
      </c>
      <c r="J54" s="20">
        <f t="shared" si="8"/>
        <v>0.16666666666666666</v>
      </c>
      <c r="K54" s="30">
        <v>3</v>
      </c>
      <c r="L54" s="8">
        <f t="shared" si="9"/>
        <v>0.50</v>
      </c>
      <c r="M54" s="42">
        <f t="shared" si="10"/>
        <v>100</v>
      </c>
      <c r="N54" s="43">
        <v>200</v>
      </c>
      <c r="O54" s="8">
        <f t="shared" si="11"/>
        <v>0.50</v>
      </c>
    </row>
    <row r="55" spans="1:15" ht="15">
      <c r="A55" s="57" t="s">
        <v>325</v>
      </c>
      <c r="B55" s="56" t="s">
        <v>327</v>
      </c>
      <c r="C55" s="13" t="s">
        <v>326</v>
      </c>
      <c r="D55" s="13">
        <v>112</v>
      </c>
      <c r="E55" s="13"/>
      <c r="F55" s="13" t="s">
        <v>513</v>
      </c>
      <c r="G55" s="28">
        <v>15</v>
      </c>
      <c r="H55" s="440">
        <v>10</v>
      </c>
      <c r="I55" s="28">
        <v>2</v>
      </c>
      <c r="J55" s="441">
        <f t="shared" si="8"/>
        <v>1.3333333333333333</v>
      </c>
      <c r="K55" s="432">
        <v>1</v>
      </c>
      <c r="L55" s="435">
        <f t="shared" si="9"/>
        <v>1.3333333333333333</v>
      </c>
      <c r="M55" s="266">
        <f t="shared" si="10"/>
        <v>266.66666666666663</v>
      </c>
      <c r="N55" s="433">
        <v>200</v>
      </c>
      <c r="O55" s="435">
        <f t="shared" si="11"/>
        <v>0.66666666666666663</v>
      </c>
    </row>
    <row r="56" spans="1:15" s="0" customFormat="1" ht="15">
      <c r="A56" s="637" t="s">
        <v>197</v>
      </c>
      <c r="B56" s="638" t="s">
        <v>110</v>
      </c>
      <c r="C56" s="13" t="s">
        <v>47</v>
      </c>
      <c r="D56" s="13">
        <v>112</v>
      </c>
      <c r="E56" s="13"/>
      <c r="F56" s="25" t="s">
        <v>111</v>
      </c>
      <c r="G56" s="16">
        <v>20</v>
      </c>
      <c r="H56" s="252">
        <v>10</v>
      </c>
      <c r="I56" s="16">
        <v>2</v>
      </c>
      <c r="J56" s="253">
        <f t="shared" si="8"/>
        <v>1</v>
      </c>
      <c r="K56" s="16">
        <v>1</v>
      </c>
      <c r="L56" s="26">
        <f t="shared" si="9"/>
        <v>1</v>
      </c>
      <c r="M56" s="43">
        <f t="shared" si="10"/>
        <v>200</v>
      </c>
      <c r="N56" s="46">
        <v>200</v>
      </c>
      <c r="O56" s="8">
        <f t="shared" si="11"/>
        <v>0.50</v>
      </c>
    </row>
    <row r="57" spans="1:15" s="0" customFormat="1" ht="30">
      <c r="A57" s="637"/>
      <c r="B57" s="638"/>
      <c r="C57" s="13" t="s">
        <v>48</v>
      </c>
      <c r="D57" s="13">
        <v>112</v>
      </c>
      <c r="E57" s="4" t="s">
        <v>1235</v>
      </c>
      <c r="F57" s="17" t="s">
        <v>10</v>
      </c>
      <c r="G57" s="16">
        <v>40</v>
      </c>
      <c r="H57" s="252">
        <v>10</v>
      </c>
      <c r="I57" s="16">
        <v>1</v>
      </c>
      <c r="J57" s="253">
        <f t="shared" si="8"/>
        <v>0.25</v>
      </c>
      <c r="K57" s="30">
        <f>((264*2)+(1624*2)+(731)+(731*2))/1000</f>
        <v>5.9690000000000003</v>
      </c>
      <c r="L57" s="26">
        <f t="shared" si="9"/>
        <v>1.4922500000000001</v>
      </c>
      <c r="M57" s="43">
        <f t="shared" si="10"/>
        <v>298.45</v>
      </c>
      <c r="N57" s="46">
        <v>200</v>
      </c>
      <c r="O57" s="8">
        <f t="shared" si="11"/>
        <v>1.4922500000000001</v>
      </c>
    </row>
    <row r="58" spans="1:15" ht="15">
      <c r="A58" s="54" t="s">
        <v>888</v>
      </c>
      <c r="B58" s="56" t="s">
        <v>1236</v>
      </c>
      <c r="C58" s="13" t="s">
        <v>862</v>
      </c>
      <c r="D58" s="13">
        <v>224</v>
      </c>
      <c r="E58" s="13"/>
      <c r="F58" s="17"/>
      <c r="G58" s="28">
        <f>(600-25)/10</f>
        <v>57.50</v>
      </c>
      <c r="H58" s="440">
        <v>10</v>
      </c>
      <c r="I58" s="28">
        <v>2</v>
      </c>
      <c r="J58" s="441">
        <f t="shared" si="8"/>
        <v>0.34782608695652173</v>
      </c>
      <c r="K58" s="28">
        <v>1</v>
      </c>
      <c r="L58" s="267">
        <f t="shared" si="9"/>
        <v>0.34782608695652173</v>
      </c>
      <c r="M58" s="433">
        <f t="shared" si="10"/>
        <v>69.565217391304344</v>
      </c>
      <c r="N58" s="434">
        <v>200</v>
      </c>
      <c r="O58" s="435">
        <f t="shared" si="11"/>
        <v>0.17391304347826086</v>
      </c>
    </row>
    <row r="59" spans="1:15" ht="15">
      <c r="A59" s="13" t="s">
        <v>199</v>
      </c>
      <c r="B59" s="27" t="s">
        <v>890</v>
      </c>
      <c r="C59" s="13" t="s">
        <v>47</v>
      </c>
      <c r="D59" s="13">
        <v>112</v>
      </c>
      <c r="E59" s="13"/>
      <c r="F59" s="4" t="s">
        <v>870</v>
      </c>
      <c r="G59" s="28">
        <v>12.50</v>
      </c>
      <c r="H59" s="440">
        <v>10</v>
      </c>
      <c r="I59" s="28">
        <v>2</v>
      </c>
      <c r="J59" s="441">
        <f t="shared" si="8"/>
        <v>1.60</v>
      </c>
      <c r="K59" s="28">
        <v>1</v>
      </c>
      <c r="L59" s="267">
        <f t="shared" si="9"/>
        <v>1.60</v>
      </c>
      <c r="M59" s="433">
        <f t="shared" si="10"/>
        <v>320</v>
      </c>
      <c r="N59" s="434">
        <v>200</v>
      </c>
      <c r="O59" s="435">
        <f t="shared" si="11"/>
        <v>0.80</v>
      </c>
    </row>
    <row r="60" spans="1:15" ht="15">
      <c r="A60" s="39"/>
      <c r="B60" s="649" t="s">
        <v>132</v>
      </c>
      <c r="C60" s="649"/>
      <c r="D60" s="649"/>
      <c r="E60" s="649"/>
      <c r="F60" s="649"/>
      <c r="G60" s="649"/>
      <c r="H60" s="649"/>
      <c r="I60" s="649"/>
      <c r="J60" s="649"/>
      <c r="K60" s="649"/>
      <c r="L60" s="267"/>
      <c r="M60" s="262">
        <f>SUM(M61:M72)</f>
        <v>5842.7826212532791</v>
      </c>
      <c r="N60" s="263"/>
      <c r="O60" s="264">
        <f>SUM(O61:O72)</f>
        <v>21.865730393410896</v>
      </c>
    </row>
    <row r="61" spans="1:15" ht="15">
      <c r="A61" s="650" t="s">
        <v>200</v>
      </c>
      <c r="B61" s="638" t="s">
        <v>871</v>
      </c>
      <c r="C61" s="13" t="s">
        <v>946</v>
      </c>
      <c r="D61" s="13">
        <v>224</v>
      </c>
      <c r="E61" s="13"/>
      <c r="F61" s="13" t="s">
        <v>353</v>
      </c>
      <c r="G61" s="442">
        <f>600/10</f>
        <v>60</v>
      </c>
      <c r="H61" s="440">
        <v>10</v>
      </c>
      <c r="I61" s="28">
        <v>1</v>
      </c>
      <c r="J61" s="441">
        <f t="shared" si="12" ref="J61:J72">H61/G61*I61</f>
        <v>0.16666666666666666</v>
      </c>
      <c r="K61" s="432">
        <v>2</v>
      </c>
      <c r="L61" s="435">
        <f t="shared" si="13" ref="L61:L64">J61*K61</f>
        <v>0.33333333333333331</v>
      </c>
      <c r="M61" s="266">
        <f t="shared" si="14" ref="M61:M72">L61*N61</f>
        <v>66.666666666666657</v>
      </c>
      <c r="N61" s="433">
        <v>200</v>
      </c>
      <c r="O61" s="435">
        <f t="shared" si="15" ref="O61:O72">J61/I61*K61</f>
        <v>0.33333333333333331</v>
      </c>
    </row>
    <row r="62" spans="1:15" ht="15">
      <c r="A62" s="650"/>
      <c r="B62" s="638"/>
      <c r="C62" s="13" t="s">
        <v>947</v>
      </c>
      <c r="D62" s="13">
        <v>224</v>
      </c>
      <c r="E62" s="13"/>
      <c r="F62" s="13" t="s">
        <v>353</v>
      </c>
      <c r="G62" s="442">
        <v>120</v>
      </c>
      <c r="H62" s="440">
        <v>10</v>
      </c>
      <c r="I62" s="28">
        <v>1</v>
      </c>
      <c r="J62" s="441">
        <f t="shared" si="12"/>
        <v>0.083333333333333329</v>
      </c>
      <c r="K62" s="432">
        <v>2</v>
      </c>
      <c r="L62" s="435">
        <f t="shared" si="13"/>
        <v>0.16666666666666666</v>
      </c>
      <c r="M62" s="266">
        <f t="shared" si="14"/>
        <v>33.333333333333329</v>
      </c>
      <c r="N62" s="433">
        <v>200</v>
      </c>
      <c r="O62" s="435">
        <f t="shared" si="15"/>
        <v>0.16666666666666666</v>
      </c>
    </row>
    <row r="63" spans="1:15" ht="15">
      <c r="A63" s="650"/>
      <c r="B63" s="638"/>
      <c r="C63" s="13" t="s">
        <v>873</v>
      </c>
      <c r="D63" s="13">
        <v>224</v>
      </c>
      <c r="E63" s="13"/>
      <c r="F63" s="13" t="s">
        <v>353</v>
      </c>
      <c r="G63" s="442">
        <f>600/5</f>
        <v>120</v>
      </c>
      <c r="H63" s="440">
        <v>10</v>
      </c>
      <c r="I63" s="28">
        <v>1</v>
      </c>
      <c r="J63" s="441">
        <f t="shared" si="12"/>
        <v>0.083333333333333329</v>
      </c>
      <c r="K63" s="432">
        <v>2</v>
      </c>
      <c r="L63" s="435">
        <f t="shared" si="13"/>
        <v>0.16666666666666666</v>
      </c>
      <c r="M63" s="266">
        <f t="shared" si="14"/>
        <v>33.333333333333329</v>
      </c>
      <c r="N63" s="433">
        <v>200</v>
      </c>
      <c r="O63" s="435">
        <f t="shared" si="15"/>
        <v>0.16666666666666666</v>
      </c>
    </row>
    <row r="64" spans="1:15" ht="15">
      <c r="A64" s="57" t="s">
        <v>662</v>
      </c>
      <c r="B64" s="56" t="s">
        <v>1239</v>
      </c>
      <c r="C64" s="13" t="s">
        <v>862</v>
      </c>
      <c r="D64" s="13">
        <v>224</v>
      </c>
      <c r="E64" s="13"/>
      <c r="F64" s="17"/>
      <c r="G64" s="442">
        <f>(600-25)/10</f>
        <v>57.50</v>
      </c>
      <c r="H64" s="440">
        <v>10</v>
      </c>
      <c r="I64" s="28">
        <v>2</v>
      </c>
      <c r="J64" s="441">
        <f t="shared" si="12"/>
        <v>0.34782608695652173</v>
      </c>
      <c r="K64" s="28">
        <v>1</v>
      </c>
      <c r="L64" s="267">
        <f t="shared" si="13"/>
        <v>0.34782608695652173</v>
      </c>
      <c r="M64" s="433">
        <f t="shared" si="14"/>
        <v>69.565217391304344</v>
      </c>
      <c r="N64" s="434">
        <v>200</v>
      </c>
      <c r="O64" s="435">
        <f t="shared" si="15"/>
        <v>0.17391304347826086</v>
      </c>
    </row>
    <row r="65" spans="1:15" ht="15">
      <c r="A65" s="13" t="s">
        <v>205</v>
      </c>
      <c r="B65" s="27" t="s">
        <v>875</v>
      </c>
      <c r="C65" s="13" t="s">
        <v>138</v>
      </c>
      <c r="D65" s="13">
        <v>117</v>
      </c>
      <c r="E65" s="13"/>
      <c r="F65" s="4" t="s">
        <v>13</v>
      </c>
      <c r="G65" s="442">
        <f>1.569*1.4</f>
        <v>2.1965999999999997</v>
      </c>
      <c r="H65" s="440">
        <v>10</v>
      </c>
      <c r="I65" s="28">
        <v>2</v>
      </c>
      <c r="J65" s="441">
        <f t="shared" si="12"/>
        <v>9.1049804242920889</v>
      </c>
      <c r="K65" s="28">
        <v>1</v>
      </c>
      <c r="L65" s="267">
        <f>J65*K65</f>
        <v>9.1049804242920889</v>
      </c>
      <c r="M65" s="433">
        <f t="shared" si="14"/>
        <v>1820.9960848584178</v>
      </c>
      <c r="N65" s="434">
        <v>200</v>
      </c>
      <c r="O65" s="435">
        <f t="shared" si="15"/>
        <v>4.5524902121460444</v>
      </c>
    </row>
    <row r="66" spans="1:15" ht="15">
      <c r="A66" s="13" t="s">
        <v>877</v>
      </c>
      <c r="B66" s="27" t="s">
        <v>876</v>
      </c>
      <c r="C66" s="13" t="s">
        <v>160</v>
      </c>
      <c r="D66" s="13">
        <v>117</v>
      </c>
      <c r="E66" s="13"/>
      <c r="F66" s="4" t="s">
        <v>13</v>
      </c>
      <c r="G66" s="442">
        <v>40</v>
      </c>
      <c r="H66" s="440">
        <v>10</v>
      </c>
      <c r="I66" s="28">
        <v>1</v>
      </c>
      <c r="J66" s="441">
        <f t="shared" si="12"/>
        <v>0.25</v>
      </c>
      <c r="K66" s="442">
        <f>(3427+3095+3060+950*2+16*3.1415*18+273*3.1415+30*3)/1000</f>
        <v>13.334381499999999</v>
      </c>
      <c r="L66" s="267">
        <f>J66*K66</f>
        <v>3.3335953749999998</v>
      </c>
      <c r="M66" s="433">
        <f t="shared" si="14"/>
        <v>666.71907499999998</v>
      </c>
      <c r="N66" s="434">
        <v>200</v>
      </c>
      <c r="O66" s="435">
        <f t="shared" si="15"/>
        <v>3.3335953749999998</v>
      </c>
    </row>
    <row r="67" spans="1:15" ht="15">
      <c r="A67" s="13" t="s">
        <v>206</v>
      </c>
      <c r="B67" s="27" t="s">
        <v>94</v>
      </c>
      <c r="C67" s="13" t="s">
        <v>160</v>
      </c>
      <c r="D67" s="13">
        <v>114</v>
      </c>
      <c r="E67" s="13"/>
      <c r="F67" s="4" t="s">
        <v>13</v>
      </c>
      <c r="G67" s="442">
        <v>40</v>
      </c>
      <c r="H67" s="440">
        <v>10</v>
      </c>
      <c r="I67" s="28">
        <v>1</v>
      </c>
      <c r="J67" s="441">
        <f t="shared" si="12"/>
        <v>0.25</v>
      </c>
      <c r="K67" s="442">
        <f>(3427*2+102*4+16*3.1415*18+273*3.1415+3095+3243+3252+19*3.1415*2+23*3.1415*3+3060)/1000</f>
        <v>22.010522000000002</v>
      </c>
      <c r="L67" s="267">
        <f>J67*K67</f>
        <v>5.5026305000000004</v>
      </c>
      <c r="M67" s="433">
        <f t="shared" si="14"/>
        <v>1100.5261</v>
      </c>
      <c r="N67" s="434">
        <v>200</v>
      </c>
      <c r="O67" s="435">
        <f t="shared" si="15"/>
        <v>5.5026305000000004</v>
      </c>
    </row>
    <row r="68" spans="1:15" ht="15">
      <c r="A68" s="13" t="s">
        <v>207</v>
      </c>
      <c r="B68" s="56" t="s">
        <v>55</v>
      </c>
      <c r="C68" s="13" t="s">
        <v>29</v>
      </c>
      <c r="D68" s="13">
        <v>120</v>
      </c>
      <c r="E68" s="13"/>
      <c r="F68" s="13" t="s">
        <v>13</v>
      </c>
      <c r="G68" s="31">
        <v>12.30</v>
      </c>
      <c r="H68" s="440">
        <v>10</v>
      </c>
      <c r="I68" s="28">
        <v>1</v>
      </c>
      <c r="J68" s="441">
        <f t="shared" si="12"/>
        <v>0.81300813008130079</v>
      </c>
      <c r="K68" s="28">
        <v>1</v>
      </c>
      <c r="L68" s="267">
        <f t="shared" si="16" ref="L68:L71">J68*K68</f>
        <v>0.81300813008130079</v>
      </c>
      <c r="M68" s="433">
        <f t="shared" si="14"/>
        <v>143.08943089430895</v>
      </c>
      <c r="N68" s="434">
        <v>176</v>
      </c>
      <c r="O68" s="435">
        <f t="shared" si="15"/>
        <v>0.81300813008130079</v>
      </c>
    </row>
    <row r="69" spans="1:15" ht="15">
      <c r="A69" s="13" t="s">
        <v>208</v>
      </c>
      <c r="B69" s="56" t="s">
        <v>56</v>
      </c>
      <c r="C69" s="13" t="s">
        <v>29</v>
      </c>
      <c r="D69" s="13">
        <v>120</v>
      </c>
      <c r="E69" s="13"/>
      <c r="F69" s="13" t="s">
        <v>13</v>
      </c>
      <c r="G69" s="31">
        <v>12.30</v>
      </c>
      <c r="H69" s="440">
        <v>10</v>
      </c>
      <c r="I69" s="28">
        <v>1</v>
      </c>
      <c r="J69" s="441">
        <f t="shared" si="12"/>
        <v>0.81300813008130079</v>
      </c>
      <c r="K69" s="28">
        <v>1</v>
      </c>
      <c r="L69" s="267">
        <f t="shared" si="16"/>
        <v>0.81300813008130079</v>
      </c>
      <c r="M69" s="433">
        <f t="shared" si="14"/>
        <v>143.08943089430895</v>
      </c>
      <c r="N69" s="434">
        <v>176</v>
      </c>
      <c r="O69" s="435">
        <f t="shared" si="15"/>
        <v>0.81300813008130079</v>
      </c>
    </row>
    <row r="70" spans="1:16" ht="30">
      <c r="A70" s="13" t="s">
        <v>209</v>
      </c>
      <c r="B70" s="27" t="s">
        <v>892</v>
      </c>
      <c r="C70" s="13" t="s">
        <v>14</v>
      </c>
      <c r="D70" s="13">
        <v>119</v>
      </c>
      <c r="E70" s="13"/>
      <c r="F70" s="13" t="s">
        <v>58</v>
      </c>
      <c r="G70" s="28">
        <v>61</v>
      </c>
      <c r="H70" s="440">
        <v>10</v>
      </c>
      <c r="I70" s="28">
        <v>1</v>
      </c>
      <c r="J70" s="441">
        <f t="shared" si="12"/>
        <v>0.16393442622950818</v>
      </c>
      <c r="K70" s="28">
        <f>1.1*2</f>
        <v>2.2000000000000002</v>
      </c>
      <c r="L70" s="267">
        <f t="shared" si="16"/>
        <v>0.36065573770491804</v>
      </c>
      <c r="M70" s="433">
        <f t="shared" si="14"/>
        <v>72.131147540983605</v>
      </c>
      <c r="N70" s="434">
        <v>200</v>
      </c>
      <c r="O70" s="435">
        <f t="shared" si="15"/>
        <v>0.36065573770491804</v>
      </c>
      <c r="P70" s="480"/>
    </row>
    <row r="71" spans="1:16" ht="30">
      <c r="A71" s="13" t="s">
        <v>210</v>
      </c>
      <c r="B71" s="27" t="s">
        <v>114</v>
      </c>
      <c r="C71" s="13" t="s">
        <v>54</v>
      </c>
      <c r="D71" s="13">
        <v>116</v>
      </c>
      <c r="E71" s="13"/>
      <c r="F71" s="13" t="s">
        <v>13</v>
      </c>
      <c r="G71" s="31">
        <v>3.55</v>
      </c>
      <c r="H71" s="440">
        <v>10</v>
      </c>
      <c r="I71" s="28">
        <v>2</v>
      </c>
      <c r="J71" s="441">
        <f t="shared" si="12"/>
        <v>5.6338028169014089</v>
      </c>
      <c r="K71" s="28">
        <v>1</v>
      </c>
      <c r="L71" s="267">
        <f t="shared" si="16"/>
        <v>5.6338028169014089</v>
      </c>
      <c r="M71" s="433">
        <f t="shared" si="14"/>
        <v>1126.7605633802818</v>
      </c>
      <c r="N71" s="434">
        <v>200</v>
      </c>
      <c r="O71" s="435">
        <f t="shared" si="15"/>
        <v>2.8169014084507045</v>
      </c>
      <c r="P71" s="22"/>
    </row>
    <row r="72" spans="1:15" ht="30">
      <c r="A72" s="13" t="s">
        <v>211</v>
      </c>
      <c r="B72" s="56" t="s">
        <v>60</v>
      </c>
      <c r="C72" s="13" t="s">
        <v>14</v>
      </c>
      <c r="D72" s="13">
        <v>226</v>
      </c>
      <c r="E72" s="13"/>
      <c r="F72" s="4" t="s">
        <v>58</v>
      </c>
      <c r="G72" s="470">
        <v>3.53</v>
      </c>
      <c r="H72" s="440">
        <v>10</v>
      </c>
      <c r="I72" s="28">
        <v>1</v>
      </c>
      <c r="J72" s="441">
        <f t="shared" si="12"/>
        <v>2.8328611898017</v>
      </c>
      <c r="K72" s="28">
        <v>1</v>
      </c>
      <c r="L72" s="267">
        <f>J72*K72</f>
        <v>2.8328611898017</v>
      </c>
      <c r="M72" s="433">
        <f t="shared" si="14"/>
        <v>566.57223796033998</v>
      </c>
      <c r="N72" s="434">
        <v>200</v>
      </c>
      <c r="O72" s="435">
        <f t="shared" si="15"/>
        <v>2.8328611898017</v>
      </c>
    </row>
    <row r="73" spans="1:15" ht="15">
      <c r="A73" s="39"/>
      <c r="B73" s="649" t="s">
        <v>140</v>
      </c>
      <c r="C73" s="649"/>
      <c r="D73" s="649"/>
      <c r="E73" s="649"/>
      <c r="F73" s="649"/>
      <c r="G73" s="649"/>
      <c r="H73" s="649"/>
      <c r="I73" s="649"/>
      <c r="J73" s="649"/>
      <c r="K73" s="649"/>
      <c r="L73" s="267"/>
      <c r="M73" s="262">
        <f>SUM(M74:M79)</f>
        <v>2268.8857977003199</v>
      </c>
      <c r="N73" s="263"/>
      <c r="O73" s="264">
        <f>SUM(O74:O79)</f>
        <v>7.485802569227161</v>
      </c>
    </row>
    <row r="74" spans="1:15" ht="15">
      <c r="A74" s="57" t="s">
        <v>893</v>
      </c>
      <c r="B74" s="27" t="s">
        <v>881</v>
      </c>
      <c r="C74" s="13" t="s">
        <v>880</v>
      </c>
      <c r="D74" s="13">
        <v>224</v>
      </c>
      <c r="E74" s="13"/>
      <c r="F74" s="13" t="s">
        <v>353</v>
      </c>
      <c r="G74" s="436">
        <f>600/20</f>
        <v>30</v>
      </c>
      <c r="H74" s="440">
        <v>10</v>
      </c>
      <c r="I74" s="28">
        <v>1</v>
      </c>
      <c r="J74" s="441">
        <f t="shared" si="17" ref="J74:J79">H74/G74*I74</f>
        <v>0.33333333333333331</v>
      </c>
      <c r="K74" s="432">
        <v>1</v>
      </c>
      <c r="L74" s="435">
        <f t="shared" si="18" ref="L74:L79">J74*K74</f>
        <v>0.33333333333333331</v>
      </c>
      <c r="M74" s="266">
        <f t="shared" si="19" ref="M74:M79">L74*N74</f>
        <v>66.666666666666657</v>
      </c>
      <c r="N74" s="433">
        <v>200</v>
      </c>
      <c r="O74" s="435">
        <f t="shared" si="20" ref="O74:O79">J74/I74*K74</f>
        <v>0.33333333333333331</v>
      </c>
    </row>
    <row r="75" spans="1:15" ht="15">
      <c r="A75" s="57" t="s">
        <v>212</v>
      </c>
      <c r="B75" s="56" t="s">
        <v>1240</v>
      </c>
      <c r="C75" s="13" t="s">
        <v>862</v>
      </c>
      <c r="D75" s="13">
        <v>224</v>
      </c>
      <c r="E75" s="13"/>
      <c r="F75" s="17"/>
      <c r="G75" s="28">
        <f>(600-25)/10</f>
        <v>57.50</v>
      </c>
      <c r="H75" s="440">
        <v>10</v>
      </c>
      <c r="I75" s="28">
        <v>2</v>
      </c>
      <c r="J75" s="441">
        <f t="shared" si="17"/>
        <v>0.34782608695652173</v>
      </c>
      <c r="K75" s="28">
        <v>1</v>
      </c>
      <c r="L75" s="267">
        <f t="shared" si="18"/>
        <v>0.34782608695652173</v>
      </c>
      <c r="M75" s="433">
        <f t="shared" si="19"/>
        <v>69.565217391304344</v>
      </c>
      <c r="N75" s="434">
        <v>200</v>
      </c>
      <c r="O75" s="435">
        <f t="shared" si="20"/>
        <v>0.17391304347826086</v>
      </c>
    </row>
    <row r="76" spans="1:15" ht="15">
      <c r="A76" s="57" t="s">
        <v>878</v>
      </c>
      <c r="B76" s="27" t="s">
        <v>882</v>
      </c>
      <c r="C76" s="13" t="s">
        <v>949</v>
      </c>
      <c r="D76" s="13">
        <v>117</v>
      </c>
      <c r="E76" s="13"/>
      <c r="F76" s="13" t="s">
        <v>353</v>
      </c>
      <c r="G76" s="28">
        <v>46.10</v>
      </c>
      <c r="H76" s="440">
        <v>10</v>
      </c>
      <c r="I76" s="28">
        <v>1</v>
      </c>
      <c r="J76" s="441">
        <f t="shared" si="17"/>
        <v>0.21691973969631237</v>
      </c>
      <c r="K76" s="432">
        <v>1</v>
      </c>
      <c r="L76" s="435">
        <f t="shared" si="18"/>
        <v>0.21691973969631237</v>
      </c>
      <c r="M76" s="266">
        <f t="shared" si="19"/>
        <v>43.383947939262477</v>
      </c>
      <c r="N76" s="433">
        <v>200</v>
      </c>
      <c r="O76" s="435">
        <f t="shared" si="20"/>
        <v>0.21691973969631237</v>
      </c>
    </row>
    <row r="77" spans="1:15" ht="15">
      <c r="A77" s="57" t="s">
        <v>214</v>
      </c>
      <c r="B77" s="56" t="s">
        <v>883</v>
      </c>
      <c r="C77" s="13" t="s">
        <v>33</v>
      </c>
      <c r="D77" s="13">
        <v>118</v>
      </c>
      <c r="E77" s="13"/>
      <c r="F77" s="13" t="s">
        <v>510</v>
      </c>
      <c r="G77" s="28">
        <v>40</v>
      </c>
      <c r="H77" s="440">
        <v>10</v>
      </c>
      <c r="I77" s="28">
        <v>2</v>
      </c>
      <c r="J77" s="441">
        <f t="shared" si="17"/>
        <v>0.50</v>
      </c>
      <c r="K77" s="432">
        <v>2</v>
      </c>
      <c r="L77" s="267">
        <f t="shared" si="18"/>
        <v>1</v>
      </c>
      <c r="M77" s="433">
        <f t="shared" si="19"/>
        <v>200</v>
      </c>
      <c r="N77" s="434">
        <v>200</v>
      </c>
      <c r="O77" s="435">
        <f t="shared" si="20"/>
        <v>0.50</v>
      </c>
    </row>
    <row r="78" spans="1:15" ht="15">
      <c r="A78" s="13" t="s">
        <v>219</v>
      </c>
      <c r="B78" s="56" t="s">
        <v>91</v>
      </c>
      <c r="C78" s="13" t="s">
        <v>54</v>
      </c>
      <c r="D78" s="13">
        <v>118</v>
      </c>
      <c r="E78" s="13"/>
      <c r="F78" s="4" t="s">
        <v>59</v>
      </c>
      <c r="G78" s="30">
        <v>3.14</v>
      </c>
      <c r="H78" s="440">
        <v>10</v>
      </c>
      <c r="I78" s="28">
        <v>2</v>
      </c>
      <c r="J78" s="441">
        <f t="shared" si="17"/>
        <v>6.3694267515923562</v>
      </c>
      <c r="K78" s="432">
        <v>1</v>
      </c>
      <c r="L78" s="267">
        <f t="shared" si="18"/>
        <v>6.3694267515923562</v>
      </c>
      <c r="M78" s="433">
        <f t="shared" si="19"/>
        <v>1273.8853503184712</v>
      </c>
      <c r="N78" s="434">
        <v>200</v>
      </c>
      <c r="O78" s="435">
        <f t="shared" si="20"/>
        <v>3.1847133757961781</v>
      </c>
    </row>
    <row r="79" spans="1:15" ht="15">
      <c r="A79" s="13" t="s">
        <v>220</v>
      </c>
      <c r="B79" s="56" t="s">
        <v>92</v>
      </c>
      <c r="C79" s="13" t="s">
        <v>54</v>
      </c>
      <c r="D79" s="13">
        <v>118</v>
      </c>
      <c r="E79" s="13"/>
      <c r="F79" s="4" t="s">
        <v>59</v>
      </c>
      <c r="G79" s="30">
        <v>3.25</v>
      </c>
      <c r="H79" s="440">
        <v>10</v>
      </c>
      <c r="I79" s="28">
        <v>1</v>
      </c>
      <c r="J79" s="441">
        <f t="shared" si="17"/>
        <v>3.0769230769230771</v>
      </c>
      <c r="K79" s="432">
        <v>1</v>
      </c>
      <c r="L79" s="267">
        <f t="shared" si="18"/>
        <v>3.0769230769230771</v>
      </c>
      <c r="M79" s="433">
        <f t="shared" si="19"/>
        <v>615.38461538461547</v>
      </c>
      <c r="N79" s="434">
        <v>200</v>
      </c>
      <c r="O79" s="435">
        <f t="shared" si="20"/>
        <v>3.0769230769230771</v>
      </c>
    </row>
    <row r="80" spans="1:15" ht="15">
      <c r="A80" s="39"/>
      <c r="B80" s="649" t="s">
        <v>135</v>
      </c>
      <c r="C80" s="649"/>
      <c r="D80" s="649"/>
      <c r="E80" s="649"/>
      <c r="F80" s="649"/>
      <c r="G80" s="649"/>
      <c r="H80" s="649"/>
      <c r="I80" s="649"/>
      <c r="J80" s="649"/>
      <c r="K80" s="649"/>
      <c r="L80" s="435"/>
      <c r="M80" s="262">
        <f>SUM(M81:M83)</f>
        <v>542.1416234887738</v>
      </c>
      <c r="N80" s="263"/>
      <c r="O80" s="264">
        <f>SUM(O81:O83)</f>
        <v>1.4607081174438687</v>
      </c>
    </row>
    <row r="81" spans="1:15" ht="15">
      <c r="A81" s="13" t="s">
        <v>136</v>
      </c>
      <c r="B81" s="56" t="s">
        <v>137</v>
      </c>
      <c r="C81" s="13" t="s">
        <v>138</v>
      </c>
      <c r="D81" s="13">
        <v>117</v>
      </c>
      <c r="E81" s="13"/>
      <c r="F81" s="4" t="s">
        <v>139</v>
      </c>
      <c r="G81" s="28">
        <v>10</v>
      </c>
      <c r="H81" s="440">
        <v>10</v>
      </c>
      <c r="I81" s="28">
        <v>2</v>
      </c>
      <c r="J81" s="441">
        <f>H81/G81*I81</f>
        <v>2</v>
      </c>
      <c r="K81" s="28">
        <v>1</v>
      </c>
      <c r="L81" s="435">
        <f t="shared" si="21" ref="L81:L83">J81*K81</f>
        <v>2</v>
      </c>
      <c r="M81" s="266">
        <f>L81*N81</f>
        <v>400</v>
      </c>
      <c r="N81" s="433">
        <v>200</v>
      </c>
      <c r="O81" s="435">
        <f>J81/I81*K81</f>
        <v>1</v>
      </c>
    </row>
    <row r="82" spans="1:15" ht="15">
      <c r="A82" s="13" t="s">
        <v>346</v>
      </c>
      <c r="B82" s="56" t="s">
        <v>347</v>
      </c>
      <c r="C82" s="13" t="s">
        <v>14</v>
      </c>
      <c r="D82" s="13">
        <v>226</v>
      </c>
      <c r="E82" s="13"/>
      <c r="F82" s="13" t="s">
        <v>58</v>
      </c>
      <c r="G82" s="28">
        <v>23.16</v>
      </c>
      <c r="H82" s="440">
        <v>10</v>
      </c>
      <c r="I82" s="28">
        <v>1</v>
      </c>
      <c r="J82" s="441">
        <f>H82/G82*I82</f>
        <v>0.43177892918825561</v>
      </c>
      <c r="K82" s="28">
        <f>0.122*4</f>
        <v>0.48799999999999999</v>
      </c>
      <c r="L82" s="435">
        <f t="shared" si="21"/>
        <v>0.21070811744386872</v>
      </c>
      <c r="M82" s="266">
        <f>L82*N82</f>
        <v>42.141623488773746</v>
      </c>
      <c r="N82" s="433">
        <v>200</v>
      </c>
      <c r="O82" s="435">
        <f>J82/I82*K82</f>
        <v>0.21070811744386872</v>
      </c>
    </row>
    <row r="83" spans="1:15" ht="15">
      <c r="A83" s="13" t="s">
        <v>344</v>
      </c>
      <c r="B83" s="56" t="s">
        <v>345</v>
      </c>
      <c r="C83" s="13" t="s">
        <v>24</v>
      </c>
      <c r="D83" s="13">
        <v>219</v>
      </c>
      <c r="E83" s="13"/>
      <c r="F83" s="4" t="s">
        <v>139</v>
      </c>
      <c r="G83" s="28">
        <v>40</v>
      </c>
      <c r="H83" s="440">
        <v>10</v>
      </c>
      <c r="I83" s="28">
        <v>2</v>
      </c>
      <c r="J83" s="441">
        <f>H83/G83*I83</f>
        <v>0.50</v>
      </c>
      <c r="K83" s="28">
        <v>1</v>
      </c>
      <c r="L83" s="435">
        <f t="shared" si="21"/>
        <v>0.50</v>
      </c>
      <c r="M83" s="266">
        <f>L83*N83</f>
        <v>100</v>
      </c>
      <c r="N83" s="433">
        <v>200</v>
      </c>
      <c r="O83" s="435">
        <f>J83/I83*K83</f>
        <v>0.25</v>
      </c>
    </row>
    <row r="84" spans="1:15" ht="15">
      <c r="A84" s="39"/>
      <c r="B84" s="649" t="s">
        <v>133</v>
      </c>
      <c r="C84" s="649"/>
      <c r="D84" s="649"/>
      <c r="E84" s="649"/>
      <c r="F84" s="649"/>
      <c r="G84" s="649"/>
      <c r="H84" s="649"/>
      <c r="I84" s="649"/>
      <c r="J84" s="649"/>
      <c r="K84" s="649"/>
      <c r="L84" s="267"/>
      <c r="M84" s="262">
        <f>SUM(M85:M130)</f>
        <v>17081.549903261151</v>
      </c>
      <c r="N84" s="263"/>
      <c r="O84" s="264">
        <f>SUM(O85:O130)</f>
        <v>54.708376082936603</v>
      </c>
    </row>
    <row r="85" spans="1:15" ht="15">
      <c r="A85" s="13" t="s">
        <v>221</v>
      </c>
      <c r="B85" s="56" t="s">
        <v>715</v>
      </c>
      <c r="C85" s="13" t="s">
        <v>24</v>
      </c>
      <c r="D85" s="13">
        <v>112</v>
      </c>
      <c r="E85" s="13"/>
      <c r="F85" s="13" t="s">
        <v>11</v>
      </c>
      <c r="G85" s="432">
        <v>8</v>
      </c>
      <c r="H85" s="440">
        <v>10</v>
      </c>
      <c r="I85" s="28">
        <v>2</v>
      </c>
      <c r="J85" s="441">
        <f t="shared" si="22" ref="J85:J130">H85/G85*I85</f>
        <v>2.50</v>
      </c>
      <c r="K85" s="28">
        <v>1</v>
      </c>
      <c r="L85" s="267">
        <f t="shared" si="23" ref="L85:L130">J85*K85</f>
        <v>2.50</v>
      </c>
      <c r="M85" s="433">
        <f t="shared" si="24" ref="M85:M130">L85*N85</f>
        <v>500</v>
      </c>
      <c r="N85" s="434">
        <v>200</v>
      </c>
      <c r="O85" s="435">
        <f t="shared" si="25" ref="O85:O130">J85/I85*K85</f>
        <v>1.25</v>
      </c>
    </row>
    <row r="86" spans="1:15" ht="30">
      <c r="A86" s="13" t="s">
        <v>225</v>
      </c>
      <c r="B86" s="27" t="s">
        <v>230</v>
      </c>
      <c r="C86" s="13" t="s">
        <v>226</v>
      </c>
      <c r="D86" s="13">
        <v>302</v>
      </c>
      <c r="E86" s="13"/>
      <c r="F86" s="13" t="s">
        <v>227</v>
      </c>
      <c r="G86" s="28">
        <f>600/2.5</f>
        <v>240</v>
      </c>
      <c r="H86" s="440">
        <v>10</v>
      </c>
      <c r="I86" s="28">
        <v>2</v>
      </c>
      <c r="J86" s="441">
        <f t="shared" si="22"/>
        <v>0.083333333333333329</v>
      </c>
      <c r="K86" s="28">
        <v>48</v>
      </c>
      <c r="L86" s="435">
        <f t="shared" si="23"/>
        <v>4</v>
      </c>
      <c r="M86" s="433">
        <f t="shared" si="24"/>
        <v>800</v>
      </c>
      <c r="N86" s="433">
        <v>200</v>
      </c>
      <c r="O86" s="435">
        <f t="shared" si="25"/>
        <v>2</v>
      </c>
    </row>
    <row r="87" spans="1:15" ht="30">
      <c r="A87" s="13" t="s">
        <v>228</v>
      </c>
      <c r="B87" s="27" t="s">
        <v>1282</v>
      </c>
      <c r="C87" s="13" t="s">
        <v>24</v>
      </c>
      <c r="D87" s="13">
        <v>110</v>
      </c>
      <c r="E87" s="13"/>
      <c r="F87" s="13" t="s">
        <v>63</v>
      </c>
      <c r="G87" s="28">
        <f>10*40</f>
        <v>400</v>
      </c>
      <c r="H87" s="440">
        <v>10</v>
      </c>
      <c r="I87" s="28">
        <v>2</v>
      </c>
      <c r="J87" s="441">
        <f t="shared" si="22"/>
        <v>0.05</v>
      </c>
      <c r="K87" s="28">
        <v>48</v>
      </c>
      <c r="L87" s="435">
        <f t="shared" si="23"/>
        <v>2.4000000000000004</v>
      </c>
      <c r="M87" s="433">
        <f t="shared" si="24"/>
        <v>364.80000000000007</v>
      </c>
      <c r="N87" s="433">
        <v>152</v>
      </c>
      <c r="O87" s="435">
        <f t="shared" si="25"/>
        <v>1.2000000000000002</v>
      </c>
    </row>
    <row r="88" spans="1:15" ht="15">
      <c r="A88" s="13" t="s">
        <v>232</v>
      </c>
      <c r="B88" s="27" t="s">
        <v>61</v>
      </c>
      <c r="C88" s="13" t="s">
        <v>62</v>
      </c>
      <c r="D88" s="13">
        <v>112</v>
      </c>
      <c r="E88" s="13"/>
      <c r="F88" s="13" t="s">
        <v>63</v>
      </c>
      <c r="G88" s="28">
        <v>200</v>
      </c>
      <c r="H88" s="440">
        <v>10</v>
      </c>
      <c r="I88" s="28">
        <v>2</v>
      </c>
      <c r="J88" s="441">
        <f t="shared" si="22"/>
        <v>0.10000000000000001</v>
      </c>
      <c r="K88" s="28">
        <v>48</v>
      </c>
      <c r="L88" s="267">
        <f t="shared" si="23"/>
        <v>4.8000000000000007</v>
      </c>
      <c r="M88" s="433">
        <f t="shared" si="24"/>
        <v>729.60000000000014</v>
      </c>
      <c r="N88" s="434">
        <v>152</v>
      </c>
      <c r="O88" s="435">
        <f t="shared" si="25"/>
        <v>2.4000000000000004</v>
      </c>
    </row>
    <row r="89" spans="1:15" ht="15">
      <c r="A89" s="13" t="s">
        <v>536</v>
      </c>
      <c r="B89" s="27" t="s">
        <v>537</v>
      </c>
      <c r="C89" s="13" t="s">
        <v>538</v>
      </c>
      <c r="D89" s="13">
        <v>115</v>
      </c>
      <c r="E89" s="13"/>
      <c r="F89" s="13" t="s">
        <v>63</v>
      </c>
      <c r="G89" s="28">
        <v>1200</v>
      </c>
      <c r="H89" s="440">
        <v>10</v>
      </c>
      <c r="I89" s="28">
        <v>1</v>
      </c>
      <c r="J89" s="441">
        <f t="shared" si="22"/>
        <v>0.0083333333333333332</v>
      </c>
      <c r="K89" s="28">
        <v>48</v>
      </c>
      <c r="L89" s="267">
        <f t="shared" si="23"/>
        <v>0.40</v>
      </c>
      <c r="M89" s="433">
        <f t="shared" si="24"/>
        <v>80</v>
      </c>
      <c r="N89" s="434">
        <v>200</v>
      </c>
      <c r="O89" s="435">
        <f t="shared" si="25"/>
        <v>0.40</v>
      </c>
    </row>
    <row r="90" spans="1:15" ht="30">
      <c r="A90" s="13" t="s">
        <v>233</v>
      </c>
      <c r="B90" s="27" t="s">
        <v>66</v>
      </c>
      <c r="C90" s="13" t="s">
        <v>48</v>
      </c>
      <c r="D90" s="13">
        <v>115</v>
      </c>
      <c r="E90" s="13"/>
      <c r="F90" s="13" t="s">
        <v>67</v>
      </c>
      <c r="G90" s="28">
        <v>80</v>
      </c>
      <c r="H90" s="440">
        <v>10</v>
      </c>
      <c r="I90" s="28">
        <v>2</v>
      </c>
      <c r="J90" s="441">
        <f t="shared" si="22"/>
        <v>0.25</v>
      </c>
      <c r="K90" s="28">
        <v>4</v>
      </c>
      <c r="L90" s="267">
        <f t="shared" si="23"/>
        <v>1</v>
      </c>
      <c r="M90" s="433">
        <f t="shared" si="24"/>
        <v>200</v>
      </c>
      <c r="N90" s="434">
        <v>200</v>
      </c>
      <c r="O90" s="435">
        <f t="shared" si="25"/>
        <v>0.50</v>
      </c>
    </row>
    <row r="91" spans="1:15" ht="15">
      <c r="A91" s="637" t="s">
        <v>234</v>
      </c>
      <c r="B91" s="648" t="s">
        <v>235</v>
      </c>
      <c r="C91" s="13" t="s">
        <v>72</v>
      </c>
      <c r="D91" s="13">
        <v>115</v>
      </c>
      <c r="E91" s="13"/>
      <c r="F91" s="13" t="s">
        <v>236</v>
      </c>
      <c r="G91" s="28">
        <v>30</v>
      </c>
      <c r="H91" s="440">
        <v>10</v>
      </c>
      <c r="I91" s="28">
        <v>2</v>
      </c>
      <c r="J91" s="441">
        <f t="shared" si="22"/>
        <v>0.66666666666666663</v>
      </c>
      <c r="K91" s="28">
        <v>5</v>
      </c>
      <c r="L91" s="267">
        <f t="shared" si="23"/>
        <v>3.333333333333333</v>
      </c>
      <c r="M91" s="433">
        <f t="shared" si="24"/>
        <v>666.66666666666663</v>
      </c>
      <c r="N91" s="434">
        <v>200</v>
      </c>
      <c r="O91" s="435">
        <f t="shared" si="25"/>
        <v>1.6666666666666665</v>
      </c>
    </row>
    <row r="92" spans="1:15" ht="15">
      <c r="A92" s="637"/>
      <c r="B92" s="648"/>
      <c r="C92" s="13" t="s">
        <v>48</v>
      </c>
      <c r="D92" s="13">
        <v>115</v>
      </c>
      <c r="E92" s="13" t="s">
        <v>73</v>
      </c>
      <c r="F92" s="13" t="s">
        <v>10</v>
      </c>
      <c r="G92" s="28">
        <v>40</v>
      </c>
      <c r="H92" s="440">
        <v>10</v>
      </c>
      <c r="I92" s="28">
        <v>1</v>
      </c>
      <c r="J92" s="441">
        <f t="shared" si="22"/>
        <v>0.25</v>
      </c>
      <c r="K92" s="442">
        <f>(588+1225+2136+428+1192)*2/1000</f>
        <v>11.138</v>
      </c>
      <c r="L92" s="267">
        <f t="shared" si="23"/>
        <v>2.7845</v>
      </c>
      <c r="M92" s="433">
        <f t="shared" si="24"/>
        <v>556.90</v>
      </c>
      <c r="N92" s="434">
        <v>200</v>
      </c>
      <c r="O92" s="435">
        <f t="shared" si="25"/>
        <v>2.7845</v>
      </c>
    </row>
    <row r="93" spans="1:15" ht="15">
      <c r="A93" s="13" t="s">
        <v>237</v>
      </c>
      <c r="B93" s="56" t="s">
        <v>238</v>
      </c>
      <c r="C93" s="13" t="s">
        <v>69</v>
      </c>
      <c r="D93" s="13">
        <v>110</v>
      </c>
      <c r="E93" s="13"/>
      <c r="F93" s="13" t="s">
        <v>34</v>
      </c>
      <c r="G93" s="28">
        <v>10</v>
      </c>
      <c r="H93" s="440">
        <v>10</v>
      </c>
      <c r="I93" s="28">
        <v>2</v>
      </c>
      <c r="J93" s="441">
        <f t="shared" si="22"/>
        <v>2</v>
      </c>
      <c r="K93" s="28">
        <v>1</v>
      </c>
      <c r="L93" s="267">
        <f t="shared" si="23"/>
        <v>2</v>
      </c>
      <c r="M93" s="433">
        <f t="shared" si="24"/>
        <v>400</v>
      </c>
      <c r="N93" s="434">
        <v>200</v>
      </c>
      <c r="O93" s="435">
        <f t="shared" si="25"/>
        <v>1</v>
      </c>
    </row>
    <row r="94" spans="1:15" ht="30">
      <c r="A94" s="13" t="s">
        <v>896</v>
      </c>
      <c r="B94" s="56" t="s">
        <v>894</v>
      </c>
      <c r="C94" s="13" t="s">
        <v>138</v>
      </c>
      <c r="D94" s="13">
        <v>110</v>
      </c>
      <c r="E94" s="13"/>
      <c r="F94" s="13" t="s">
        <v>12</v>
      </c>
      <c r="G94" s="28">
        <v>20</v>
      </c>
      <c r="H94" s="440">
        <v>10</v>
      </c>
      <c r="I94" s="28">
        <v>2</v>
      </c>
      <c r="J94" s="441">
        <f t="shared" si="22"/>
        <v>1</v>
      </c>
      <c r="K94" s="28">
        <v>1</v>
      </c>
      <c r="L94" s="267">
        <f t="shared" si="23"/>
        <v>1</v>
      </c>
      <c r="M94" s="433">
        <f t="shared" si="24"/>
        <v>200</v>
      </c>
      <c r="N94" s="434">
        <v>200</v>
      </c>
      <c r="O94" s="435">
        <f t="shared" si="25"/>
        <v>0.50</v>
      </c>
    </row>
    <row r="95" spans="1:15" ht="30">
      <c r="A95" s="13" t="s">
        <v>243</v>
      </c>
      <c r="B95" s="56" t="s">
        <v>244</v>
      </c>
      <c r="C95" s="13" t="s">
        <v>25</v>
      </c>
      <c r="D95" s="13">
        <v>110</v>
      </c>
      <c r="E95" s="13" t="s">
        <v>53</v>
      </c>
      <c r="F95" s="13" t="s">
        <v>10</v>
      </c>
      <c r="G95" s="28">
        <v>40</v>
      </c>
      <c r="H95" s="440">
        <v>10</v>
      </c>
      <c r="I95" s="28">
        <v>1</v>
      </c>
      <c r="J95" s="441">
        <f t="shared" si="22"/>
        <v>0.25</v>
      </c>
      <c r="K95" s="28">
        <f>3380*2/1000</f>
        <v>6.76</v>
      </c>
      <c r="L95" s="267">
        <f t="shared" si="23"/>
        <v>1.69</v>
      </c>
      <c r="M95" s="433">
        <f t="shared" si="24"/>
        <v>338</v>
      </c>
      <c r="N95" s="434">
        <v>200</v>
      </c>
      <c r="O95" s="435">
        <f t="shared" si="25"/>
        <v>1.69</v>
      </c>
    </row>
    <row r="96" spans="1:15" ht="15">
      <c r="A96" s="13" t="s">
        <v>237</v>
      </c>
      <c r="B96" s="56" t="s">
        <v>71</v>
      </c>
      <c r="C96" s="13" t="s">
        <v>68</v>
      </c>
      <c r="D96" s="13">
        <v>110</v>
      </c>
      <c r="E96" s="13"/>
      <c r="F96" s="13" t="s">
        <v>34</v>
      </c>
      <c r="G96" s="28">
        <v>20</v>
      </c>
      <c r="H96" s="440">
        <v>10</v>
      </c>
      <c r="I96" s="28">
        <v>2</v>
      </c>
      <c r="J96" s="441">
        <f t="shared" si="22"/>
        <v>1</v>
      </c>
      <c r="K96" s="28">
        <v>1</v>
      </c>
      <c r="L96" s="267">
        <f t="shared" si="23"/>
        <v>1</v>
      </c>
      <c r="M96" s="433">
        <f t="shared" si="24"/>
        <v>200</v>
      </c>
      <c r="N96" s="434">
        <v>200</v>
      </c>
      <c r="O96" s="435">
        <f t="shared" si="25"/>
        <v>0.50</v>
      </c>
    </row>
    <row r="97" spans="1:15" ht="30">
      <c r="A97" s="13" t="s">
        <v>897</v>
      </c>
      <c r="B97" s="56" t="s">
        <v>895</v>
      </c>
      <c r="C97" s="13" t="s">
        <v>138</v>
      </c>
      <c r="D97" s="13">
        <v>110</v>
      </c>
      <c r="E97" s="13"/>
      <c r="F97" s="13" t="s">
        <v>12</v>
      </c>
      <c r="G97" s="28">
        <v>20</v>
      </c>
      <c r="H97" s="440">
        <v>10</v>
      </c>
      <c r="I97" s="28">
        <v>2</v>
      </c>
      <c r="J97" s="441">
        <f t="shared" si="22"/>
        <v>1</v>
      </c>
      <c r="K97" s="28">
        <v>1</v>
      </c>
      <c r="L97" s="267">
        <f t="shared" si="23"/>
        <v>1</v>
      </c>
      <c r="M97" s="433">
        <f t="shared" si="24"/>
        <v>200</v>
      </c>
      <c r="N97" s="434">
        <v>200</v>
      </c>
      <c r="O97" s="435">
        <f t="shared" si="25"/>
        <v>0.50</v>
      </c>
    </row>
    <row r="98" spans="1:15" ht="30">
      <c r="A98" s="13" t="s">
        <v>249</v>
      </c>
      <c r="B98" s="56" t="s">
        <v>248</v>
      </c>
      <c r="C98" s="13" t="s">
        <v>25</v>
      </c>
      <c r="D98" s="13">
        <v>110</v>
      </c>
      <c r="E98" s="13" t="s">
        <v>53</v>
      </c>
      <c r="F98" s="13" t="s">
        <v>10</v>
      </c>
      <c r="G98" s="28">
        <v>40</v>
      </c>
      <c r="H98" s="440">
        <v>10</v>
      </c>
      <c r="I98" s="28">
        <v>1</v>
      </c>
      <c r="J98" s="441">
        <f t="shared" si="22"/>
        <v>0.25</v>
      </c>
      <c r="K98" s="28">
        <f>3380*2/1000</f>
        <v>6.76</v>
      </c>
      <c r="L98" s="267">
        <f t="shared" si="23"/>
        <v>1.69</v>
      </c>
      <c r="M98" s="433">
        <f t="shared" si="24"/>
        <v>338</v>
      </c>
      <c r="N98" s="434">
        <v>200</v>
      </c>
      <c r="O98" s="435">
        <f t="shared" si="25"/>
        <v>1.69</v>
      </c>
    </row>
    <row r="99" spans="1:15" ht="15">
      <c r="A99" s="13" t="s">
        <v>237</v>
      </c>
      <c r="B99" s="56" t="s">
        <v>71</v>
      </c>
      <c r="C99" s="13" t="s">
        <v>68</v>
      </c>
      <c r="D99" s="13">
        <v>110</v>
      </c>
      <c r="E99" s="13"/>
      <c r="F99" s="13" t="s">
        <v>34</v>
      </c>
      <c r="G99" s="28">
        <v>20</v>
      </c>
      <c r="H99" s="440">
        <v>10</v>
      </c>
      <c r="I99" s="28">
        <v>2</v>
      </c>
      <c r="J99" s="441">
        <f t="shared" si="22"/>
        <v>1</v>
      </c>
      <c r="K99" s="28">
        <v>1</v>
      </c>
      <c r="L99" s="267">
        <f t="shared" si="23"/>
        <v>1</v>
      </c>
      <c r="M99" s="433">
        <f t="shared" si="24"/>
        <v>200</v>
      </c>
      <c r="N99" s="434">
        <v>200</v>
      </c>
      <c r="O99" s="435">
        <f t="shared" si="25"/>
        <v>0.50</v>
      </c>
    </row>
    <row r="100" spans="1:15" ht="30">
      <c r="A100" s="13" t="s">
        <v>239</v>
      </c>
      <c r="B100" s="56" t="s">
        <v>240</v>
      </c>
      <c r="C100" s="13" t="s">
        <v>25</v>
      </c>
      <c r="D100" s="13">
        <v>113</v>
      </c>
      <c r="E100" s="13"/>
      <c r="F100" s="13" t="s">
        <v>63</v>
      </c>
      <c r="G100" s="432">
        <v>112</v>
      </c>
      <c r="H100" s="440">
        <v>10</v>
      </c>
      <c r="I100" s="28">
        <v>1</v>
      </c>
      <c r="J100" s="441">
        <f t="shared" si="22"/>
        <v>0.089285714285714288</v>
      </c>
      <c r="K100" s="28">
        <v>48</v>
      </c>
      <c r="L100" s="267">
        <f t="shared" si="23"/>
        <v>4.2857142857142856</v>
      </c>
      <c r="M100" s="433">
        <f t="shared" si="24"/>
        <v>1114.2857142857142</v>
      </c>
      <c r="N100" s="434">
        <v>260</v>
      </c>
      <c r="O100" s="435">
        <f t="shared" si="25"/>
        <v>4.2857142857142856</v>
      </c>
    </row>
    <row r="101" spans="1:15" ht="30">
      <c r="A101" s="13" t="s">
        <v>317</v>
      </c>
      <c r="B101" s="56" t="s">
        <v>316</v>
      </c>
      <c r="C101" s="13" t="s">
        <v>25</v>
      </c>
      <c r="D101" s="13">
        <v>113</v>
      </c>
      <c r="E101" s="13" t="s">
        <v>70</v>
      </c>
      <c r="F101" s="13" t="s">
        <v>10</v>
      </c>
      <c r="G101" s="28">
        <v>40</v>
      </c>
      <c r="H101" s="440">
        <v>10</v>
      </c>
      <c r="I101" s="28">
        <v>1</v>
      </c>
      <c r="J101" s="441">
        <f t="shared" si="22"/>
        <v>0.25</v>
      </c>
      <c r="K101" s="436">
        <f>630/1000*3.1415</f>
        <v>1.9791450000000002</v>
      </c>
      <c r="L101" s="267">
        <f t="shared" si="23"/>
        <v>0.49478625000000004</v>
      </c>
      <c r="M101" s="433">
        <f t="shared" si="24"/>
        <v>98.957250000000002</v>
      </c>
      <c r="N101" s="434">
        <v>200</v>
      </c>
      <c r="O101" s="435">
        <f t="shared" si="25"/>
        <v>0.49478625000000004</v>
      </c>
    </row>
    <row r="102" spans="1:15" ht="30">
      <c r="A102" s="13" t="s">
        <v>245</v>
      </c>
      <c r="B102" s="56" t="s">
        <v>246</v>
      </c>
      <c r="C102" s="13" t="s">
        <v>25</v>
      </c>
      <c r="D102" s="13">
        <v>113</v>
      </c>
      <c r="E102" s="13"/>
      <c r="F102" s="13" t="s">
        <v>63</v>
      </c>
      <c r="G102" s="432">
        <v>112</v>
      </c>
      <c r="H102" s="440">
        <v>10</v>
      </c>
      <c r="I102" s="28">
        <v>1</v>
      </c>
      <c r="J102" s="441">
        <f t="shared" si="22"/>
        <v>0.089285714285714288</v>
      </c>
      <c r="K102" s="28">
        <v>48</v>
      </c>
      <c r="L102" s="267">
        <f t="shared" si="23"/>
        <v>4.2857142857142856</v>
      </c>
      <c r="M102" s="433">
        <f t="shared" si="24"/>
        <v>1114.2857142857142</v>
      </c>
      <c r="N102" s="434">
        <v>260</v>
      </c>
      <c r="O102" s="435">
        <f t="shared" si="25"/>
        <v>4.2857142857142856</v>
      </c>
    </row>
    <row r="103" spans="1:15" ht="15">
      <c r="A103" s="13" t="s">
        <v>741</v>
      </c>
      <c r="B103" s="56" t="s">
        <v>1281</v>
      </c>
      <c r="C103" s="13" t="s">
        <v>33</v>
      </c>
      <c r="D103" s="13">
        <v>115</v>
      </c>
      <c r="E103" s="13"/>
      <c r="F103" s="13"/>
      <c r="G103" s="28">
        <v>10</v>
      </c>
      <c r="H103" s="440">
        <v>10</v>
      </c>
      <c r="I103" s="28">
        <v>1</v>
      </c>
      <c r="J103" s="441">
        <f t="shared" si="22"/>
        <v>1</v>
      </c>
      <c r="K103" s="28">
        <v>1.50</v>
      </c>
      <c r="L103" s="267">
        <f t="shared" si="23"/>
        <v>1.50</v>
      </c>
      <c r="M103" s="433">
        <f t="shared" si="24"/>
        <v>300</v>
      </c>
      <c r="N103" s="434">
        <v>200</v>
      </c>
      <c r="O103" s="435">
        <f t="shared" si="25"/>
        <v>1.50</v>
      </c>
    </row>
    <row r="104" spans="1:15" ht="15">
      <c r="A104" s="645" t="s">
        <v>254</v>
      </c>
      <c r="B104" s="639" t="s">
        <v>884</v>
      </c>
      <c r="C104" s="13" t="s">
        <v>76</v>
      </c>
      <c r="D104" s="13">
        <v>115</v>
      </c>
      <c r="E104" s="13"/>
      <c r="F104" s="13" t="s">
        <v>78</v>
      </c>
      <c r="G104" s="28">
        <v>20</v>
      </c>
      <c r="H104" s="440">
        <v>10</v>
      </c>
      <c r="I104" s="28">
        <v>2</v>
      </c>
      <c r="J104" s="441">
        <f t="shared" si="22"/>
        <v>1</v>
      </c>
      <c r="K104" s="28">
        <v>2</v>
      </c>
      <c r="L104" s="267">
        <f t="shared" si="23"/>
        <v>2</v>
      </c>
      <c r="M104" s="433">
        <f t="shared" si="24"/>
        <v>400</v>
      </c>
      <c r="N104" s="434">
        <v>200</v>
      </c>
      <c r="O104" s="435">
        <f t="shared" si="25"/>
        <v>1</v>
      </c>
    </row>
    <row r="105" spans="1:15" ht="15">
      <c r="A105" s="647"/>
      <c r="B105" s="641"/>
      <c r="C105" s="13" t="s">
        <v>77</v>
      </c>
      <c r="D105" s="13">
        <v>115</v>
      </c>
      <c r="E105" s="13" t="s">
        <v>79</v>
      </c>
      <c r="F105" s="13" t="s">
        <v>10</v>
      </c>
      <c r="G105" s="28">
        <v>40</v>
      </c>
      <c r="H105" s="440">
        <v>10</v>
      </c>
      <c r="I105" s="28">
        <v>1</v>
      </c>
      <c r="J105" s="441">
        <f t="shared" si="22"/>
        <v>0.25</v>
      </c>
      <c r="K105" s="442">
        <f>(116*2*4+130*4)/1000</f>
        <v>1.448</v>
      </c>
      <c r="L105" s="267">
        <f t="shared" si="23"/>
        <v>0.36199999999999999</v>
      </c>
      <c r="M105" s="433">
        <f t="shared" si="24"/>
        <v>72.399999999999991</v>
      </c>
      <c r="N105" s="434">
        <v>200</v>
      </c>
      <c r="O105" s="435">
        <f t="shared" si="25"/>
        <v>0.36199999999999999</v>
      </c>
    </row>
    <row r="106" spans="1:15" ht="15">
      <c r="A106" s="637" t="s">
        <v>257</v>
      </c>
      <c r="B106" s="638" t="s">
        <v>258</v>
      </c>
      <c r="C106" s="13" t="s">
        <v>950</v>
      </c>
      <c r="D106" s="13">
        <v>107</v>
      </c>
      <c r="E106" s="13" t="s">
        <v>260</v>
      </c>
      <c r="F106" s="13" t="s">
        <v>261</v>
      </c>
      <c r="G106" s="442">
        <v>18</v>
      </c>
      <c r="H106" s="468">
        <v>10</v>
      </c>
      <c r="I106" s="432">
        <v>2</v>
      </c>
      <c r="J106" s="468">
        <f t="shared" si="22"/>
        <v>1.1111111111111112</v>
      </c>
      <c r="K106" s="442">
        <v>1</v>
      </c>
      <c r="L106" s="267">
        <f t="shared" si="23"/>
        <v>1.1111111111111112</v>
      </c>
      <c r="M106" s="266">
        <f t="shared" si="24"/>
        <v>222.22222222222223</v>
      </c>
      <c r="N106" s="433">
        <v>200</v>
      </c>
      <c r="O106" s="267">
        <f t="shared" si="25"/>
        <v>0.55555555555555558</v>
      </c>
    </row>
    <row r="107" spans="1:15" ht="15">
      <c r="A107" s="637"/>
      <c r="B107" s="638"/>
      <c r="C107" s="13" t="s">
        <v>951</v>
      </c>
      <c r="D107" s="13">
        <v>107</v>
      </c>
      <c r="E107" s="13" t="s">
        <v>260</v>
      </c>
      <c r="F107" s="17" t="s">
        <v>261</v>
      </c>
      <c r="G107" s="31">
        <v>44</v>
      </c>
      <c r="H107" s="252">
        <v>10</v>
      </c>
      <c r="I107" s="16">
        <v>2</v>
      </c>
      <c r="J107" s="253">
        <f t="shared" si="22"/>
        <v>0.45454545454545453</v>
      </c>
      <c r="K107" s="31">
        <v>2</v>
      </c>
      <c r="L107" s="8">
        <f t="shared" si="23"/>
        <v>0.90909090909090906</v>
      </c>
      <c r="M107" s="42">
        <f t="shared" si="24"/>
        <v>181.81818181818181</v>
      </c>
      <c r="N107" s="43">
        <v>200</v>
      </c>
      <c r="O107" s="8">
        <f t="shared" si="25"/>
        <v>0.45454545454545453</v>
      </c>
    </row>
    <row r="108" spans="1:15" ht="15">
      <c r="A108" s="637"/>
      <c r="B108" s="638"/>
      <c r="C108" s="13" t="s">
        <v>952</v>
      </c>
      <c r="D108" s="13">
        <v>107</v>
      </c>
      <c r="E108" s="13" t="s">
        <v>260</v>
      </c>
      <c r="F108" s="17" t="s">
        <v>261</v>
      </c>
      <c r="G108" s="31">
        <v>109</v>
      </c>
      <c r="H108" s="18">
        <v>10</v>
      </c>
      <c r="I108" s="16">
        <v>2</v>
      </c>
      <c r="J108" s="20">
        <f t="shared" si="22"/>
        <v>0.1834862385321101</v>
      </c>
      <c r="K108" s="31">
        <v>4</v>
      </c>
      <c r="L108" s="8">
        <f t="shared" si="23"/>
        <v>0.73394495412844041</v>
      </c>
      <c r="M108" s="42">
        <f t="shared" si="24"/>
        <v>146.78899082568807</v>
      </c>
      <c r="N108" s="43">
        <v>200</v>
      </c>
      <c r="O108" s="8">
        <f t="shared" si="25"/>
        <v>0.3669724770642202</v>
      </c>
    </row>
    <row r="109" spans="1:15" ht="15">
      <c r="A109" s="637" t="s">
        <v>265</v>
      </c>
      <c r="B109" s="638" t="s">
        <v>266</v>
      </c>
      <c r="C109" s="13" t="s">
        <v>76</v>
      </c>
      <c r="D109" s="13">
        <v>116</v>
      </c>
      <c r="E109" s="13"/>
      <c r="F109" s="13" t="s">
        <v>82</v>
      </c>
      <c r="G109" s="28">
        <v>9</v>
      </c>
      <c r="H109" s="440">
        <v>10</v>
      </c>
      <c r="I109" s="28">
        <v>2</v>
      </c>
      <c r="J109" s="441">
        <f t="shared" si="22"/>
        <v>2.2222222222222223</v>
      </c>
      <c r="K109" s="28">
        <v>1</v>
      </c>
      <c r="L109" s="267">
        <f t="shared" si="23"/>
        <v>2.2222222222222223</v>
      </c>
      <c r="M109" s="433">
        <f t="shared" si="24"/>
        <v>444.44444444444446</v>
      </c>
      <c r="N109" s="434">
        <v>200</v>
      </c>
      <c r="O109" s="435">
        <f t="shared" si="25"/>
        <v>1.1111111111111112</v>
      </c>
    </row>
    <row r="110" spans="1:15" ht="15">
      <c r="A110" s="637"/>
      <c r="B110" s="638"/>
      <c r="C110" s="13" t="s">
        <v>77</v>
      </c>
      <c r="D110" s="13">
        <v>116</v>
      </c>
      <c r="E110" s="13" t="s">
        <v>264</v>
      </c>
      <c r="F110" s="13" t="s">
        <v>10</v>
      </c>
      <c r="G110" s="28">
        <v>40</v>
      </c>
      <c r="H110" s="440">
        <v>10</v>
      </c>
      <c r="I110" s="28">
        <v>1</v>
      </c>
      <c r="J110" s="441">
        <f t="shared" si="22"/>
        <v>0.25</v>
      </c>
      <c r="K110" s="442">
        <f>(89*3.1415*2+219*3.1415)*3/1000</f>
        <v>3.7415265</v>
      </c>
      <c r="L110" s="267">
        <f t="shared" si="23"/>
        <v>0.93538162499999999</v>
      </c>
      <c r="M110" s="433">
        <f t="shared" si="24"/>
        <v>187.076325</v>
      </c>
      <c r="N110" s="434">
        <v>200</v>
      </c>
      <c r="O110" s="435">
        <f t="shared" si="25"/>
        <v>0.93538162499999999</v>
      </c>
    </row>
    <row r="111" spans="1:15" ht="30">
      <c r="A111" s="13" t="s">
        <v>267</v>
      </c>
      <c r="B111" s="27" t="s">
        <v>519</v>
      </c>
      <c r="C111" s="13" t="s">
        <v>77</v>
      </c>
      <c r="D111" s="13">
        <v>116</v>
      </c>
      <c r="E111" s="13"/>
      <c r="F111" s="13" t="s">
        <v>67</v>
      </c>
      <c r="G111" s="28">
        <v>10</v>
      </c>
      <c r="H111" s="440">
        <v>10</v>
      </c>
      <c r="I111" s="28">
        <v>2</v>
      </c>
      <c r="J111" s="441">
        <f t="shared" si="22"/>
        <v>2</v>
      </c>
      <c r="K111" s="28">
        <v>1</v>
      </c>
      <c r="L111" s="267">
        <f t="shared" si="23"/>
        <v>2</v>
      </c>
      <c r="M111" s="433">
        <f t="shared" si="24"/>
        <v>400</v>
      </c>
      <c r="N111" s="434">
        <v>200</v>
      </c>
      <c r="O111" s="435">
        <f t="shared" si="25"/>
        <v>1</v>
      </c>
    </row>
    <row r="112" spans="1:15" ht="15">
      <c r="A112" s="13" t="s">
        <v>268</v>
      </c>
      <c r="B112" s="27" t="s">
        <v>334</v>
      </c>
      <c r="C112" s="13" t="s">
        <v>83</v>
      </c>
      <c r="D112" s="13">
        <v>116</v>
      </c>
      <c r="E112" s="13"/>
      <c r="F112" s="4" t="s">
        <v>84</v>
      </c>
      <c r="G112" s="16">
        <v>11</v>
      </c>
      <c r="H112" s="440">
        <v>10</v>
      </c>
      <c r="I112" s="28">
        <v>2</v>
      </c>
      <c r="J112" s="441">
        <f t="shared" si="22"/>
        <v>1.8181818181818181</v>
      </c>
      <c r="K112" s="28">
        <v>1</v>
      </c>
      <c r="L112" s="267">
        <f t="shared" si="23"/>
        <v>1.8181818181818181</v>
      </c>
      <c r="M112" s="433">
        <f t="shared" si="24"/>
        <v>363.63636363636363</v>
      </c>
      <c r="N112" s="434">
        <v>200</v>
      </c>
      <c r="O112" s="435">
        <f t="shared" si="25"/>
        <v>0.90909090909090906</v>
      </c>
    </row>
    <row r="113" spans="1:15" ht="15">
      <c r="A113" s="13" t="s">
        <v>335</v>
      </c>
      <c r="B113" s="27" t="s">
        <v>336</v>
      </c>
      <c r="C113" s="13" t="s">
        <v>83</v>
      </c>
      <c r="D113" s="13">
        <v>116</v>
      </c>
      <c r="E113" s="13"/>
      <c r="F113" s="4" t="s">
        <v>84</v>
      </c>
      <c r="G113" s="16">
        <v>5</v>
      </c>
      <c r="H113" s="440">
        <v>10</v>
      </c>
      <c r="I113" s="28">
        <v>2</v>
      </c>
      <c r="J113" s="441">
        <f t="shared" si="22"/>
        <v>4</v>
      </c>
      <c r="K113" s="28">
        <v>1</v>
      </c>
      <c r="L113" s="267">
        <f t="shared" si="23"/>
        <v>4</v>
      </c>
      <c r="M113" s="433">
        <f t="shared" si="24"/>
        <v>800</v>
      </c>
      <c r="N113" s="434">
        <v>200</v>
      </c>
      <c r="O113" s="435">
        <f t="shared" si="25"/>
        <v>2</v>
      </c>
    </row>
    <row r="114" spans="1:15" ht="15">
      <c r="A114" s="13" t="s">
        <v>526</v>
      </c>
      <c r="B114" s="56" t="s">
        <v>524</v>
      </c>
      <c r="C114" s="13" t="s">
        <v>523</v>
      </c>
      <c r="D114" s="13">
        <v>224</v>
      </c>
      <c r="E114" s="13"/>
      <c r="F114" s="4" t="s">
        <v>525</v>
      </c>
      <c r="G114" s="28">
        <v>600</v>
      </c>
      <c r="H114" s="431">
        <v>10</v>
      </c>
      <c r="I114" s="28">
        <v>1</v>
      </c>
      <c r="J114" s="441">
        <f t="shared" si="22"/>
        <v>0.016666666666666666</v>
      </c>
      <c r="K114" s="28">
        <v>4</v>
      </c>
      <c r="L114" s="267">
        <f t="shared" si="23"/>
        <v>0.066666666666666666</v>
      </c>
      <c r="M114" s="433">
        <f t="shared" si="24"/>
        <v>11.733333333333333</v>
      </c>
      <c r="N114" s="434">
        <v>176</v>
      </c>
      <c r="O114" s="435">
        <f t="shared" si="25"/>
        <v>0.066666666666666666</v>
      </c>
    </row>
    <row r="115" spans="1:15" ht="15">
      <c r="A115" s="13" t="s">
        <v>269</v>
      </c>
      <c r="B115" s="56" t="s">
        <v>270</v>
      </c>
      <c r="C115" s="13" t="s">
        <v>523</v>
      </c>
      <c r="D115" s="13">
        <v>224</v>
      </c>
      <c r="E115" s="13"/>
      <c r="F115" s="4" t="s">
        <v>88</v>
      </c>
      <c r="G115" s="28">
        <v>300</v>
      </c>
      <c r="H115" s="431">
        <v>10</v>
      </c>
      <c r="I115" s="28">
        <v>1</v>
      </c>
      <c r="J115" s="441">
        <f t="shared" si="22"/>
        <v>0.033333333333333333</v>
      </c>
      <c r="K115" s="28">
        <v>2</v>
      </c>
      <c r="L115" s="267">
        <f t="shared" si="23"/>
        <v>0.066666666666666666</v>
      </c>
      <c r="M115" s="433">
        <f t="shared" si="24"/>
        <v>11.733333333333333</v>
      </c>
      <c r="N115" s="434">
        <v>176</v>
      </c>
      <c r="O115" s="435">
        <f t="shared" si="25"/>
        <v>0.066666666666666666</v>
      </c>
    </row>
    <row r="116" spans="1:15" ht="15">
      <c r="A116" s="13" t="s">
        <v>918</v>
      </c>
      <c r="B116" s="56" t="s">
        <v>898</v>
      </c>
      <c r="C116" s="13" t="s">
        <v>523</v>
      </c>
      <c r="D116" s="13">
        <v>224</v>
      </c>
      <c r="E116" s="13"/>
      <c r="F116" s="4" t="s">
        <v>88</v>
      </c>
      <c r="G116" s="28">
        <v>600</v>
      </c>
      <c r="H116" s="431">
        <v>10</v>
      </c>
      <c r="I116" s="28">
        <v>1</v>
      </c>
      <c r="J116" s="441">
        <f t="shared" si="22"/>
        <v>0.016666666666666666</v>
      </c>
      <c r="K116" s="28">
        <v>1</v>
      </c>
      <c r="L116" s="267">
        <f t="shared" si="23"/>
        <v>0.016666666666666666</v>
      </c>
      <c r="M116" s="433">
        <f t="shared" si="24"/>
        <v>2.9333333333333331</v>
      </c>
      <c r="N116" s="434">
        <v>176</v>
      </c>
      <c r="O116" s="435">
        <f t="shared" si="25"/>
        <v>0.016666666666666666</v>
      </c>
    </row>
    <row r="117" spans="1:15" ht="30">
      <c r="A117" s="13" t="s">
        <v>271</v>
      </c>
      <c r="B117" s="56" t="s">
        <v>85</v>
      </c>
      <c r="C117" s="13" t="s">
        <v>83</v>
      </c>
      <c r="D117" s="13">
        <v>116</v>
      </c>
      <c r="E117" s="13"/>
      <c r="F117" s="13" t="s">
        <v>12</v>
      </c>
      <c r="G117" s="28">
        <v>2.40</v>
      </c>
      <c r="H117" s="440">
        <v>10</v>
      </c>
      <c r="I117" s="28">
        <v>2</v>
      </c>
      <c r="J117" s="441">
        <f t="shared" si="22"/>
        <v>8.3333333333333339</v>
      </c>
      <c r="K117" s="28">
        <v>1</v>
      </c>
      <c r="L117" s="267">
        <f t="shared" si="23"/>
        <v>8.3333333333333339</v>
      </c>
      <c r="M117" s="433">
        <f t="shared" si="24"/>
        <v>1666.6666666666667</v>
      </c>
      <c r="N117" s="434">
        <v>200</v>
      </c>
      <c r="O117" s="435">
        <f t="shared" si="25"/>
        <v>4.166666666666667</v>
      </c>
    </row>
    <row r="118" spans="1:15" ht="15">
      <c r="A118" s="13" t="s">
        <v>272</v>
      </c>
      <c r="B118" s="27" t="s">
        <v>337</v>
      </c>
      <c r="C118" s="13" t="s">
        <v>83</v>
      </c>
      <c r="D118" s="13">
        <v>116</v>
      </c>
      <c r="E118" s="13"/>
      <c r="F118" s="4" t="s">
        <v>89</v>
      </c>
      <c r="G118" s="28">
        <v>11</v>
      </c>
      <c r="H118" s="440">
        <v>10</v>
      </c>
      <c r="I118" s="28">
        <v>2</v>
      </c>
      <c r="J118" s="441">
        <f t="shared" si="22"/>
        <v>1.8181818181818181</v>
      </c>
      <c r="K118" s="28">
        <v>1</v>
      </c>
      <c r="L118" s="267">
        <f t="shared" si="23"/>
        <v>1.8181818181818181</v>
      </c>
      <c r="M118" s="433">
        <f t="shared" si="24"/>
        <v>363.63636363636363</v>
      </c>
      <c r="N118" s="434">
        <v>200</v>
      </c>
      <c r="O118" s="435">
        <f t="shared" si="25"/>
        <v>0.90909090909090906</v>
      </c>
    </row>
    <row r="119" spans="1:15" ht="30">
      <c r="A119" s="13" t="s">
        <v>339</v>
      </c>
      <c r="B119" s="27" t="s">
        <v>338</v>
      </c>
      <c r="C119" s="13" t="s">
        <v>83</v>
      </c>
      <c r="D119" s="13">
        <v>116</v>
      </c>
      <c r="E119" s="13"/>
      <c r="F119" s="4" t="s">
        <v>89</v>
      </c>
      <c r="G119" s="28">
        <v>6</v>
      </c>
      <c r="H119" s="440">
        <v>10</v>
      </c>
      <c r="I119" s="28">
        <v>2</v>
      </c>
      <c r="J119" s="441">
        <f t="shared" si="22"/>
        <v>3.3333333333333335</v>
      </c>
      <c r="K119" s="28">
        <v>1</v>
      </c>
      <c r="L119" s="267">
        <f t="shared" si="23"/>
        <v>3.3333333333333335</v>
      </c>
      <c r="M119" s="433">
        <f t="shared" si="24"/>
        <v>666.66666666666674</v>
      </c>
      <c r="N119" s="434">
        <v>200</v>
      </c>
      <c r="O119" s="435">
        <f t="shared" si="25"/>
        <v>1.6666666666666667</v>
      </c>
    </row>
    <row r="120" spans="1:15" ht="30">
      <c r="A120" s="13" t="s">
        <v>273</v>
      </c>
      <c r="B120" s="27" t="s">
        <v>125</v>
      </c>
      <c r="C120" s="13" t="s">
        <v>54</v>
      </c>
      <c r="D120" s="13">
        <v>116</v>
      </c>
      <c r="E120" s="13"/>
      <c r="F120" s="4" t="s">
        <v>88</v>
      </c>
      <c r="G120" s="28">
        <v>15</v>
      </c>
      <c r="H120" s="440">
        <v>10</v>
      </c>
      <c r="I120" s="28">
        <v>2</v>
      </c>
      <c r="J120" s="441">
        <f t="shared" si="22"/>
        <v>1.3333333333333333</v>
      </c>
      <c r="K120" s="28">
        <v>2</v>
      </c>
      <c r="L120" s="267">
        <f t="shared" si="23"/>
        <v>2.6666666666666665</v>
      </c>
      <c r="M120" s="433">
        <f t="shared" si="24"/>
        <v>533.33333333333326</v>
      </c>
      <c r="N120" s="434">
        <v>200</v>
      </c>
      <c r="O120" s="435">
        <f t="shared" si="25"/>
        <v>1.3333333333333333</v>
      </c>
    </row>
    <row r="121" spans="1:15" ht="30">
      <c r="A121" s="523" t="s">
        <v>1668</v>
      </c>
      <c r="B121" s="522" t="s">
        <v>1670</v>
      </c>
      <c r="C121" s="523" t="s">
        <v>33</v>
      </c>
      <c r="D121" s="523">
        <v>116</v>
      </c>
      <c r="E121" s="523"/>
      <c r="F121" s="523" t="s">
        <v>1666</v>
      </c>
      <c r="G121" s="527">
        <v>13.38</v>
      </c>
      <c r="H121" s="530">
        <v>10</v>
      </c>
      <c r="I121" s="527">
        <v>2</v>
      </c>
      <c r="J121" s="531">
        <f t="shared" si="22"/>
        <v>1.4947683109118086</v>
      </c>
      <c r="K121" s="527">
        <v>1</v>
      </c>
      <c r="L121" s="267">
        <f t="shared" si="23"/>
        <v>1.4947683109118086</v>
      </c>
      <c r="M121" s="433">
        <f t="shared" si="24"/>
        <v>298.95366218236171</v>
      </c>
      <c r="N121" s="434">
        <v>200</v>
      </c>
      <c r="O121" s="435">
        <f t="shared" si="25"/>
        <v>0.74738415545590431</v>
      </c>
    </row>
    <row r="122" spans="1:15" ht="30">
      <c r="A122" s="523" t="s">
        <v>1669</v>
      </c>
      <c r="B122" s="522" t="s">
        <v>1671</v>
      </c>
      <c r="C122" s="523" t="s">
        <v>33</v>
      </c>
      <c r="D122" s="523">
        <v>116</v>
      </c>
      <c r="E122" s="523"/>
      <c r="F122" s="523" t="s">
        <v>10</v>
      </c>
      <c r="G122" s="527">
        <v>40</v>
      </c>
      <c r="H122" s="530">
        <v>10</v>
      </c>
      <c r="I122" s="527">
        <v>1</v>
      </c>
      <c r="J122" s="531">
        <f t="shared" si="22"/>
        <v>0.25</v>
      </c>
      <c r="K122" s="525">
        <f>3320/1000</f>
        <v>3.32</v>
      </c>
      <c r="L122" s="267">
        <f t="shared" si="23"/>
        <v>0.83</v>
      </c>
      <c r="M122" s="433">
        <f t="shared" si="24"/>
        <v>166</v>
      </c>
      <c r="N122" s="434">
        <v>200</v>
      </c>
      <c r="O122" s="435">
        <f t="shared" si="25"/>
        <v>0.83</v>
      </c>
    </row>
    <row r="123" spans="1:15" ht="15">
      <c r="A123" s="13" t="s">
        <v>274</v>
      </c>
      <c r="B123" s="27" t="s">
        <v>275</v>
      </c>
      <c r="C123" s="13" t="s">
        <v>83</v>
      </c>
      <c r="D123" s="13">
        <v>116</v>
      </c>
      <c r="E123" s="13"/>
      <c r="F123" s="4" t="s">
        <v>276</v>
      </c>
      <c r="G123" s="28">
        <v>20</v>
      </c>
      <c r="H123" s="440">
        <v>10</v>
      </c>
      <c r="I123" s="28">
        <v>2</v>
      </c>
      <c r="J123" s="441">
        <f t="shared" si="22"/>
        <v>1</v>
      </c>
      <c r="K123" s="28">
        <v>1</v>
      </c>
      <c r="L123" s="267">
        <f t="shared" si="23"/>
        <v>1</v>
      </c>
      <c r="M123" s="433">
        <f t="shared" si="24"/>
        <v>200</v>
      </c>
      <c r="N123" s="434">
        <v>200</v>
      </c>
      <c r="O123" s="435">
        <f t="shared" si="25"/>
        <v>0.50</v>
      </c>
    </row>
    <row r="124" spans="1:15" ht="15">
      <c r="A124" s="13" t="s">
        <v>277</v>
      </c>
      <c r="B124" s="27" t="s">
        <v>278</v>
      </c>
      <c r="C124" s="13" t="s">
        <v>83</v>
      </c>
      <c r="D124" s="13">
        <v>116</v>
      </c>
      <c r="E124" s="13"/>
      <c r="F124" s="4" t="s">
        <v>90</v>
      </c>
      <c r="G124" s="28">
        <v>14</v>
      </c>
      <c r="H124" s="440">
        <v>10</v>
      </c>
      <c r="I124" s="28">
        <v>2</v>
      </c>
      <c r="J124" s="441">
        <f t="shared" si="22"/>
        <v>1.4285714285714286</v>
      </c>
      <c r="K124" s="28">
        <v>1</v>
      </c>
      <c r="L124" s="267">
        <f t="shared" si="23"/>
        <v>1.4285714285714286</v>
      </c>
      <c r="M124" s="433">
        <f t="shared" si="24"/>
        <v>285.71428571428572</v>
      </c>
      <c r="N124" s="434">
        <v>200</v>
      </c>
      <c r="O124" s="435">
        <f t="shared" si="25"/>
        <v>0.7142857142857143</v>
      </c>
    </row>
    <row r="125" spans="1:15" ht="15">
      <c r="A125" s="13" t="s">
        <v>279</v>
      </c>
      <c r="B125" s="27" t="s">
        <v>280</v>
      </c>
      <c r="C125" s="13" t="s">
        <v>29</v>
      </c>
      <c r="D125" s="13">
        <v>116</v>
      </c>
      <c r="E125" s="13"/>
      <c r="F125" s="13" t="s">
        <v>12</v>
      </c>
      <c r="G125" s="28">
        <v>11</v>
      </c>
      <c r="H125" s="440">
        <v>10</v>
      </c>
      <c r="I125" s="28">
        <v>1</v>
      </c>
      <c r="J125" s="441">
        <f t="shared" si="22"/>
        <v>0.90909090909090906</v>
      </c>
      <c r="K125" s="28">
        <v>1</v>
      </c>
      <c r="L125" s="435">
        <f t="shared" si="23"/>
        <v>0.90909090909090906</v>
      </c>
      <c r="M125" s="266">
        <f t="shared" si="24"/>
        <v>160</v>
      </c>
      <c r="N125" s="433">
        <v>176</v>
      </c>
      <c r="O125" s="435">
        <f t="shared" si="25"/>
        <v>0.90909090909090906</v>
      </c>
    </row>
    <row r="126" spans="1:15" ht="15">
      <c r="A126" s="13" t="s">
        <v>281</v>
      </c>
      <c r="B126" s="56" t="s">
        <v>30</v>
      </c>
      <c r="C126" s="13" t="s">
        <v>29</v>
      </c>
      <c r="D126" s="13">
        <v>120</v>
      </c>
      <c r="E126" s="13"/>
      <c r="F126" s="13" t="s">
        <v>12</v>
      </c>
      <c r="G126" s="442">
        <v>6.30</v>
      </c>
      <c r="H126" s="440">
        <v>10</v>
      </c>
      <c r="I126" s="28">
        <v>1</v>
      </c>
      <c r="J126" s="441">
        <f t="shared" si="22"/>
        <v>1.5873015873015874</v>
      </c>
      <c r="K126" s="28">
        <v>1</v>
      </c>
      <c r="L126" s="267">
        <f t="shared" si="23"/>
        <v>1.5873015873015874</v>
      </c>
      <c r="M126" s="433">
        <f t="shared" si="24"/>
        <v>279.3650793650794</v>
      </c>
      <c r="N126" s="434">
        <v>176</v>
      </c>
      <c r="O126" s="435">
        <f t="shared" si="25"/>
        <v>1.5873015873015874</v>
      </c>
    </row>
    <row r="127" spans="1:15" ht="30">
      <c r="A127" s="13" t="s">
        <v>282</v>
      </c>
      <c r="B127" s="56" t="s">
        <v>283</v>
      </c>
      <c r="C127" s="13" t="s">
        <v>29</v>
      </c>
      <c r="D127" s="13">
        <v>120</v>
      </c>
      <c r="E127" s="13"/>
      <c r="F127" s="13" t="s">
        <v>12</v>
      </c>
      <c r="G127" s="436">
        <v>8.1649999999999991</v>
      </c>
      <c r="H127" s="440">
        <v>10</v>
      </c>
      <c r="I127" s="28">
        <v>1</v>
      </c>
      <c r="J127" s="441">
        <f t="shared" si="22"/>
        <v>1.224739742804654</v>
      </c>
      <c r="K127" s="28">
        <v>1</v>
      </c>
      <c r="L127" s="267">
        <f t="shared" si="23"/>
        <v>1.224739742804654</v>
      </c>
      <c r="M127" s="433">
        <f t="shared" si="24"/>
        <v>215.55419473361911</v>
      </c>
      <c r="N127" s="434">
        <v>176</v>
      </c>
      <c r="O127" s="435">
        <f t="shared" si="25"/>
        <v>1.224739742804654</v>
      </c>
    </row>
    <row r="128" spans="1:15" ht="15">
      <c r="A128" s="13" t="s">
        <v>902</v>
      </c>
      <c r="B128" s="56" t="s">
        <v>1241</v>
      </c>
      <c r="C128" s="13" t="s">
        <v>523</v>
      </c>
      <c r="D128" s="13">
        <v>224</v>
      </c>
      <c r="E128" s="13"/>
      <c r="F128" s="4" t="s">
        <v>900</v>
      </c>
      <c r="G128" s="28">
        <v>600</v>
      </c>
      <c r="H128" s="431">
        <v>10</v>
      </c>
      <c r="I128" s="28">
        <v>1</v>
      </c>
      <c r="J128" s="441">
        <f t="shared" si="22"/>
        <v>0.016666666666666666</v>
      </c>
      <c r="K128" s="28">
        <v>1</v>
      </c>
      <c r="L128" s="267">
        <f t="shared" si="23"/>
        <v>0.016666666666666666</v>
      </c>
      <c r="M128" s="433">
        <f t="shared" si="24"/>
        <v>2.9333333333333331</v>
      </c>
      <c r="N128" s="434">
        <v>176</v>
      </c>
      <c r="O128" s="435">
        <f t="shared" si="25"/>
        <v>0.016666666666666666</v>
      </c>
    </row>
    <row r="129" spans="1:15" ht="15">
      <c r="A129" s="13" t="s">
        <v>285</v>
      </c>
      <c r="B129" s="56" t="s">
        <v>901</v>
      </c>
      <c r="C129" s="13" t="s">
        <v>83</v>
      </c>
      <c r="D129" s="13">
        <v>116</v>
      </c>
      <c r="E129" s="13"/>
      <c r="F129" s="13" t="s">
        <v>12</v>
      </c>
      <c r="G129" s="28">
        <v>9</v>
      </c>
      <c r="H129" s="440">
        <v>10</v>
      </c>
      <c r="I129" s="28">
        <v>2</v>
      </c>
      <c r="J129" s="441">
        <f t="shared" si="22"/>
        <v>2.2222222222222223</v>
      </c>
      <c r="K129" s="28">
        <v>1</v>
      </c>
      <c r="L129" s="267">
        <f t="shared" si="23"/>
        <v>2.2222222222222223</v>
      </c>
      <c r="M129" s="433">
        <f t="shared" si="24"/>
        <v>444.44444444444446</v>
      </c>
      <c r="N129" s="434">
        <v>200</v>
      </c>
      <c r="O129" s="435">
        <f t="shared" si="25"/>
        <v>1.1111111111111112</v>
      </c>
    </row>
    <row r="130" spans="1:15" ht="15">
      <c r="A130" s="13" t="s">
        <v>286</v>
      </c>
      <c r="B130" s="27" t="s">
        <v>288</v>
      </c>
      <c r="C130" s="13" t="s">
        <v>287</v>
      </c>
      <c r="D130" s="13">
        <v>116</v>
      </c>
      <c r="E130" s="13"/>
      <c r="F130" s="13" t="s">
        <v>67</v>
      </c>
      <c r="G130" s="28">
        <v>40</v>
      </c>
      <c r="H130" s="440">
        <v>10</v>
      </c>
      <c r="I130" s="28">
        <v>1</v>
      </c>
      <c r="J130" s="441">
        <f t="shared" si="22"/>
        <v>0.25</v>
      </c>
      <c r="K130" s="28">
        <v>4</v>
      </c>
      <c r="L130" s="267">
        <f t="shared" si="23"/>
        <v>1</v>
      </c>
      <c r="M130" s="433">
        <f t="shared" si="24"/>
        <v>152</v>
      </c>
      <c r="N130" s="434">
        <v>152</v>
      </c>
      <c r="O130" s="435">
        <f t="shared" si="25"/>
        <v>1</v>
      </c>
    </row>
    <row r="131" spans="1:15" ht="15">
      <c r="A131" s="39"/>
      <c r="B131" s="649" t="s">
        <v>134</v>
      </c>
      <c r="C131" s="649"/>
      <c r="D131" s="649"/>
      <c r="E131" s="649"/>
      <c r="F131" s="649"/>
      <c r="G131" s="649"/>
      <c r="H131" s="649"/>
      <c r="I131" s="649"/>
      <c r="J131" s="649"/>
      <c r="K131" s="649"/>
      <c r="L131" s="267"/>
      <c r="M131" s="262">
        <f>SUM(M132:M152)</f>
        <v>6756.0340788672975</v>
      </c>
      <c r="N131" s="263"/>
      <c r="O131" s="264">
        <f>SUM(O132:O152)</f>
        <v>24.263093047450546</v>
      </c>
    </row>
    <row r="132" spans="1:16" ht="30">
      <c r="A132" s="13" t="s">
        <v>297</v>
      </c>
      <c r="B132" s="56" t="s">
        <v>298</v>
      </c>
      <c r="C132" s="13" t="s">
        <v>33</v>
      </c>
      <c r="D132" s="13">
        <v>116</v>
      </c>
      <c r="E132" s="13"/>
      <c r="F132" s="13" t="s">
        <v>96</v>
      </c>
      <c r="G132" s="432">
        <v>10</v>
      </c>
      <c r="H132" s="440">
        <v>10</v>
      </c>
      <c r="I132" s="28">
        <v>2</v>
      </c>
      <c r="J132" s="441">
        <f t="shared" si="26" ref="J132:J152">H132/G132*I132</f>
        <v>2</v>
      </c>
      <c r="K132" s="28">
        <v>1</v>
      </c>
      <c r="L132" s="267">
        <f t="shared" si="27" ref="L132:L152">J132*K132</f>
        <v>2</v>
      </c>
      <c r="M132" s="433">
        <f t="shared" si="28" ref="M132:M152">L132*N132</f>
        <v>400</v>
      </c>
      <c r="N132" s="434">
        <v>200</v>
      </c>
      <c r="O132" s="435">
        <f t="shared" si="29" ref="O132:O152">J132/I132*K132</f>
        <v>1</v>
      </c>
      <c r="P132" s="22"/>
    </row>
    <row r="133" spans="1:16" ht="30">
      <c r="A133" s="523" t="s">
        <v>1663</v>
      </c>
      <c r="B133" s="522" t="s">
        <v>1665</v>
      </c>
      <c r="C133" s="523" t="s">
        <v>33</v>
      </c>
      <c r="D133" s="523">
        <v>116</v>
      </c>
      <c r="E133" s="523"/>
      <c r="F133" s="523" t="s">
        <v>1666</v>
      </c>
      <c r="G133" s="527">
        <v>12.41</v>
      </c>
      <c r="H133" s="530">
        <v>10</v>
      </c>
      <c r="I133" s="527">
        <v>2</v>
      </c>
      <c r="J133" s="531">
        <f t="shared" si="26"/>
        <v>1.6116035455278002</v>
      </c>
      <c r="K133" s="527">
        <v>1</v>
      </c>
      <c r="L133" s="267">
        <f t="shared" si="27"/>
        <v>1.6116035455278002</v>
      </c>
      <c r="M133" s="433">
        <f t="shared" si="28"/>
        <v>322.32070910556001</v>
      </c>
      <c r="N133" s="434">
        <v>200</v>
      </c>
      <c r="O133" s="435">
        <f t="shared" si="29"/>
        <v>0.80580177276390008</v>
      </c>
      <c r="P133" s="22"/>
    </row>
    <row r="134" spans="1:16" ht="30">
      <c r="A134" s="523" t="s">
        <v>1664</v>
      </c>
      <c r="B134" s="522" t="s">
        <v>1667</v>
      </c>
      <c r="C134" s="523" t="s">
        <v>33</v>
      </c>
      <c r="D134" s="523">
        <v>116</v>
      </c>
      <c r="E134" s="523"/>
      <c r="F134" s="523" t="s">
        <v>10</v>
      </c>
      <c r="G134" s="527">
        <v>40</v>
      </c>
      <c r="H134" s="530">
        <v>10</v>
      </c>
      <c r="I134" s="527">
        <v>1</v>
      </c>
      <c r="J134" s="531">
        <f t="shared" si="26"/>
        <v>0.25</v>
      </c>
      <c r="K134" s="525">
        <f>3461/1000</f>
        <v>3.4609999999999999</v>
      </c>
      <c r="L134" s="267">
        <f t="shared" si="27"/>
        <v>0.86524999999999996</v>
      </c>
      <c r="M134" s="433">
        <f t="shared" si="28"/>
        <v>173.04999999999998</v>
      </c>
      <c r="N134" s="434">
        <v>200</v>
      </c>
      <c r="O134" s="435">
        <f t="shared" si="29"/>
        <v>0.86524999999999996</v>
      </c>
      <c r="P134" s="22"/>
    </row>
    <row r="135" spans="1:16" ht="30">
      <c r="A135" s="13" t="s">
        <v>299</v>
      </c>
      <c r="B135" s="56" t="s">
        <v>300</v>
      </c>
      <c r="C135" s="13" t="s">
        <v>33</v>
      </c>
      <c r="D135" s="13">
        <v>119</v>
      </c>
      <c r="E135" s="13"/>
      <c r="F135" s="13" t="s">
        <v>96</v>
      </c>
      <c r="G135" s="442">
        <v>7.28</v>
      </c>
      <c r="H135" s="440">
        <v>10</v>
      </c>
      <c r="I135" s="28">
        <v>2</v>
      </c>
      <c r="J135" s="441">
        <f t="shared" si="26"/>
        <v>2.7472527472527473</v>
      </c>
      <c r="K135" s="28">
        <v>1</v>
      </c>
      <c r="L135" s="267">
        <f t="shared" si="27"/>
        <v>2.7472527472527473</v>
      </c>
      <c r="M135" s="433">
        <f t="shared" si="28"/>
        <v>549.45054945054949</v>
      </c>
      <c r="N135" s="434">
        <v>200</v>
      </c>
      <c r="O135" s="435">
        <f t="shared" si="29"/>
        <v>1.3736263736263736</v>
      </c>
      <c r="P135" s="22"/>
    </row>
    <row r="136" spans="1:16" ht="30">
      <c r="A136" s="13" t="s">
        <v>301</v>
      </c>
      <c r="B136" s="27" t="s">
        <v>97</v>
      </c>
      <c r="C136" s="13" t="s">
        <v>83</v>
      </c>
      <c r="D136" s="13">
        <v>119</v>
      </c>
      <c r="E136" s="13"/>
      <c r="F136" s="13" t="s">
        <v>12</v>
      </c>
      <c r="G136" s="442">
        <v>4.26</v>
      </c>
      <c r="H136" s="440">
        <v>10</v>
      </c>
      <c r="I136" s="28">
        <v>2</v>
      </c>
      <c r="J136" s="441">
        <f t="shared" si="26"/>
        <v>4.694835680751174</v>
      </c>
      <c r="K136" s="28">
        <v>1</v>
      </c>
      <c r="L136" s="267">
        <f t="shared" si="27"/>
        <v>4.694835680751174</v>
      </c>
      <c r="M136" s="433">
        <f t="shared" si="28"/>
        <v>938.96713615023475</v>
      </c>
      <c r="N136" s="434">
        <v>200</v>
      </c>
      <c r="O136" s="435">
        <f t="shared" si="29"/>
        <v>2.347417840375587</v>
      </c>
      <c r="P136" s="22"/>
    </row>
    <row r="137" spans="1:15" ht="15">
      <c r="A137" s="57" t="s">
        <v>530</v>
      </c>
      <c r="B137" s="269" t="s">
        <v>531</v>
      </c>
      <c r="C137" s="13" t="s">
        <v>33</v>
      </c>
      <c r="D137" s="13">
        <v>226</v>
      </c>
      <c r="E137" s="13"/>
      <c r="F137" s="13" t="s">
        <v>12</v>
      </c>
      <c r="G137" s="28">
        <v>10</v>
      </c>
      <c r="H137" s="440">
        <v>10</v>
      </c>
      <c r="I137" s="28">
        <v>1</v>
      </c>
      <c r="J137" s="441">
        <f t="shared" si="26"/>
        <v>1</v>
      </c>
      <c r="K137" s="442">
        <v>1</v>
      </c>
      <c r="L137" s="267">
        <f t="shared" si="27"/>
        <v>1</v>
      </c>
      <c r="M137" s="266">
        <f t="shared" si="28"/>
        <v>200</v>
      </c>
      <c r="N137" s="433">
        <v>200</v>
      </c>
      <c r="O137" s="435">
        <f t="shared" si="29"/>
        <v>1</v>
      </c>
    </row>
    <row r="138" spans="1:16" ht="15">
      <c r="A138" s="13" t="s">
        <v>290</v>
      </c>
      <c r="B138" s="27" t="s">
        <v>31</v>
      </c>
      <c r="C138" s="13" t="s">
        <v>14</v>
      </c>
      <c r="D138" s="13">
        <v>226</v>
      </c>
      <c r="E138" s="13"/>
      <c r="F138" s="13" t="s">
        <v>58</v>
      </c>
      <c r="G138" s="28">
        <v>61</v>
      </c>
      <c r="H138" s="440">
        <v>10</v>
      </c>
      <c r="I138" s="28">
        <v>1</v>
      </c>
      <c r="J138" s="441">
        <f t="shared" si="26"/>
        <v>0.16393442622950818</v>
      </c>
      <c r="K138" s="28">
        <v>6.70</v>
      </c>
      <c r="L138" s="267">
        <f t="shared" si="27"/>
        <v>1.0983606557377048</v>
      </c>
      <c r="M138" s="433">
        <f t="shared" si="28"/>
        <v>219.67213114754097</v>
      </c>
      <c r="N138" s="434">
        <v>200</v>
      </c>
      <c r="O138" s="435">
        <f t="shared" si="29"/>
        <v>1.0983606557377048</v>
      </c>
      <c r="P138" s="22"/>
    </row>
    <row r="139" spans="1:16" ht="15">
      <c r="A139" s="13" t="s">
        <v>302</v>
      </c>
      <c r="B139" s="27" t="s">
        <v>903</v>
      </c>
      <c r="C139" s="13" t="s">
        <v>523</v>
      </c>
      <c r="D139" s="13">
        <v>224</v>
      </c>
      <c r="E139" s="13"/>
      <c r="F139" s="13" t="s">
        <v>400</v>
      </c>
      <c r="G139" s="442">
        <v>15.20</v>
      </c>
      <c r="H139" s="440">
        <v>10</v>
      </c>
      <c r="I139" s="28">
        <v>2</v>
      </c>
      <c r="J139" s="441">
        <f t="shared" si="26"/>
        <v>1.3157894736842106</v>
      </c>
      <c r="K139" s="28">
        <v>2</v>
      </c>
      <c r="L139" s="267">
        <f t="shared" si="27"/>
        <v>2.6315789473684212</v>
      </c>
      <c r="M139" s="433">
        <f t="shared" si="28"/>
        <v>463.15789473684214</v>
      </c>
      <c r="N139" s="434">
        <v>176</v>
      </c>
      <c r="O139" s="435">
        <f t="shared" si="29"/>
        <v>1.3157894736842106</v>
      </c>
      <c r="P139" s="22"/>
    </row>
    <row r="140" spans="1:16" ht="15">
      <c r="A140" s="13" t="s">
        <v>292</v>
      </c>
      <c r="B140" s="27" t="s">
        <v>21</v>
      </c>
      <c r="C140" s="13" t="s">
        <v>33</v>
      </c>
      <c r="D140" s="13">
        <v>219</v>
      </c>
      <c r="E140" s="13"/>
      <c r="F140" s="13" t="s">
        <v>12</v>
      </c>
      <c r="G140" s="569">
        <f>3.6*2</f>
        <v>7.20</v>
      </c>
      <c r="H140" s="440">
        <v>10</v>
      </c>
      <c r="I140" s="28">
        <v>2</v>
      </c>
      <c r="J140" s="441">
        <f t="shared" si="26"/>
        <v>2.7777777777777777</v>
      </c>
      <c r="K140" s="28">
        <v>1</v>
      </c>
      <c r="L140" s="267">
        <f t="shared" si="27"/>
        <v>2.7777777777777777</v>
      </c>
      <c r="M140" s="433">
        <f t="shared" si="28"/>
        <v>461.11111111111109</v>
      </c>
      <c r="N140" s="434">
        <v>166</v>
      </c>
      <c r="O140" s="435">
        <f t="shared" si="29"/>
        <v>1.3888888888888888</v>
      </c>
      <c r="P140" s="22"/>
    </row>
    <row r="141" spans="1:16" ht="30">
      <c r="A141" s="13" t="s">
        <v>406</v>
      </c>
      <c r="B141" s="27" t="s">
        <v>407</v>
      </c>
      <c r="C141" s="13" t="s">
        <v>14</v>
      </c>
      <c r="D141" s="13">
        <v>226</v>
      </c>
      <c r="E141" s="13"/>
      <c r="F141" s="13" t="s">
        <v>12</v>
      </c>
      <c r="G141" s="442">
        <v>61</v>
      </c>
      <c r="H141" s="440">
        <v>10</v>
      </c>
      <c r="I141" s="28">
        <v>1</v>
      </c>
      <c r="J141" s="441">
        <f t="shared" si="26"/>
        <v>0.16393442622950818</v>
      </c>
      <c r="K141" s="28">
        <v>1.22</v>
      </c>
      <c r="L141" s="435">
        <f t="shared" si="27"/>
        <v>0.19999999999999998</v>
      </c>
      <c r="M141" s="266">
        <f t="shared" si="28"/>
        <v>40</v>
      </c>
      <c r="N141" s="433">
        <v>200</v>
      </c>
      <c r="O141" s="435">
        <f t="shared" si="29"/>
        <v>0.19999999999999998</v>
      </c>
      <c r="P141" s="22"/>
    </row>
    <row r="142" spans="1:16" ht="15">
      <c r="A142" s="13" t="s">
        <v>291</v>
      </c>
      <c r="B142" s="27" t="s">
        <v>101</v>
      </c>
      <c r="C142" s="13" t="s">
        <v>33</v>
      </c>
      <c r="D142" s="13">
        <v>219</v>
      </c>
      <c r="E142" s="13"/>
      <c r="F142" s="13" t="s">
        <v>12</v>
      </c>
      <c r="G142" s="442">
        <v>8.15</v>
      </c>
      <c r="H142" s="440">
        <v>10</v>
      </c>
      <c r="I142" s="28">
        <v>2</v>
      </c>
      <c r="J142" s="441">
        <f t="shared" si="26"/>
        <v>2.4539877300613497</v>
      </c>
      <c r="K142" s="28">
        <v>1</v>
      </c>
      <c r="L142" s="267">
        <f t="shared" si="27"/>
        <v>2.4539877300613497</v>
      </c>
      <c r="M142" s="433">
        <f t="shared" si="28"/>
        <v>490.79754601226995</v>
      </c>
      <c r="N142" s="434">
        <v>200</v>
      </c>
      <c r="O142" s="435">
        <f t="shared" si="29"/>
        <v>1.2269938650306749</v>
      </c>
      <c r="P142" s="22"/>
    </row>
    <row r="143" spans="1:16" ht="15">
      <c r="A143" s="13" t="s">
        <v>303</v>
      </c>
      <c r="B143" s="27" t="s">
        <v>304</v>
      </c>
      <c r="C143" s="13" t="s">
        <v>226</v>
      </c>
      <c r="D143" s="13">
        <v>302</v>
      </c>
      <c r="E143" s="13"/>
      <c r="F143" s="13" t="s">
        <v>103</v>
      </c>
      <c r="G143" s="432">
        <v>151</v>
      </c>
      <c r="H143" s="440">
        <v>10</v>
      </c>
      <c r="I143" s="28">
        <v>1</v>
      </c>
      <c r="J143" s="441">
        <f t="shared" si="26"/>
        <v>0.066225165562913912</v>
      </c>
      <c r="K143" s="28">
        <v>48</v>
      </c>
      <c r="L143" s="267">
        <f t="shared" si="27"/>
        <v>3.1788079470198678</v>
      </c>
      <c r="M143" s="433">
        <f t="shared" si="28"/>
        <v>559.4701986754967</v>
      </c>
      <c r="N143" s="434">
        <v>176</v>
      </c>
      <c r="O143" s="435">
        <f t="shared" si="29"/>
        <v>3.1788079470198678</v>
      </c>
      <c r="P143" s="480"/>
    </row>
    <row r="144" spans="1:16" ht="15">
      <c r="A144" s="13" t="s">
        <v>293</v>
      </c>
      <c r="B144" s="27" t="s">
        <v>102</v>
      </c>
      <c r="C144" s="13" t="s">
        <v>33</v>
      </c>
      <c r="D144" s="13">
        <v>219</v>
      </c>
      <c r="E144" s="13"/>
      <c r="F144" s="13" t="s">
        <v>103</v>
      </c>
      <c r="G144" s="28">
        <f>10*60/1</f>
        <v>600</v>
      </c>
      <c r="H144" s="440">
        <v>10</v>
      </c>
      <c r="I144" s="28">
        <v>1</v>
      </c>
      <c r="J144" s="441">
        <f t="shared" si="26"/>
        <v>0.016666666666666666</v>
      </c>
      <c r="K144" s="28">
        <v>48</v>
      </c>
      <c r="L144" s="267">
        <f t="shared" si="27"/>
        <v>0.80</v>
      </c>
      <c r="M144" s="433">
        <f t="shared" si="28"/>
        <v>121.60000000000001</v>
      </c>
      <c r="N144" s="434">
        <v>152</v>
      </c>
      <c r="O144" s="435">
        <f t="shared" si="29"/>
        <v>0.80</v>
      </c>
      <c r="P144" s="22"/>
    </row>
    <row r="145" spans="1:16" ht="15">
      <c r="A145" s="13" t="s">
        <v>305</v>
      </c>
      <c r="B145" s="27" t="s">
        <v>343</v>
      </c>
      <c r="C145" s="13" t="s">
        <v>14</v>
      </c>
      <c r="D145" s="13">
        <v>226</v>
      </c>
      <c r="E145" s="13"/>
      <c r="F145" s="13" t="s">
        <v>58</v>
      </c>
      <c r="G145" s="28">
        <v>55.20</v>
      </c>
      <c r="H145" s="440">
        <v>10</v>
      </c>
      <c r="I145" s="28">
        <v>1</v>
      </c>
      <c r="J145" s="441">
        <f t="shared" si="26"/>
        <v>0.18115942028985507</v>
      </c>
      <c r="K145" s="28">
        <v>1.40</v>
      </c>
      <c r="L145" s="435">
        <f t="shared" si="27"/>
        <v>0.25362318840579706</v>
      </c>
      <c r="M145" s="266">
        <f t="shared" si="28"/>
        <v>50.724637681159415</v>
      </c>
      <c r="N145" s="433">
        <v>200</v>
      </c>
      <c r="O145" s="435">
        <f t="shared" si="29"/>
        <v>0.25362318840579706</v>
      </c>
      <c r="P145" s="22"/>
    </row>
    <row r="146" spans="1:16" ht="30">
      <c r="A146" s="13" t="s">
        <v>306</v>
      </c>
      <c r="B146" s="27" t="s">
        <v>307</v>
      </c>
      <c r="C146" s="13" t="s">
        <v>14</v>
      </c>
      <c r="D146" s="13">
        <v>226</v>
      </c>
      <c r="E146" s="13"/>
      <c r="F146" s="13" t="s">
        <v>12</v>
      </c>
      <c r="G146" s="28">
        <v>8</v>
      </c>
      <c r="H146" s="440">
        <v>10</v>
      </c>
      <c r="I146" s="28">
        <v>1</v>
      </c>
      <c r="J146" s="441">
        <f t="shared" si="26"/>
        <v>1.25</v>
      </c>
      <c r="K146" s="28">
        <v>1</v>
      </c>
      <c r="L146" s="435">
        <f t="shared" si="27"/>
        <v>1.25</v>
      </c>
      <c r="M146" s="266">
        <f t="shared" si="28"/>
        <v>250</v>
      </c>
      <c r="N146" s="433">
        <v>200</v>
      </c>
      <c r="O146" s="435">
        <f t="shared" si="29"/>
        <v>1.25</v>
      </c>
      <c r="P146" s="480"/>
    </row>
    <row r="147" spans="1:16" ht="15">
      <c r="A147" s="13" t="s">
        <v>296</v>
      </c>
      <c r="B147" s="56" t="s">
        <v>105</v>
      </c>
      <c r="C147" s="13" t="s">
        <v>33</v>
      </c>
      <c r="D147" s="13">
        <v>219</v>
      </c>
      <c r="E147" s="13"/>
      <c r="F147" s="13" t="s">
        <v>96</v>
      </c>
      <c r="G147" s="28">
        <v>11.40</v>
      </c>
      <c r="H147" s="440">
        <v>10</v>
      </c>
      <c r="I147" s="28">
        <v>2</v>
      </c>
      <c r="J147" s="441">
        <f t="shared" si="26"/>
        <v>1.7543859649122806</v>
      </c>
      <c r="K147" s="28">
        <v>1</v>
      </c>
      <c r="L147" s="267">
        <f t="shared" si="27"/>
        <v>1.7543859649122806</v>
      </c>
      <c r="M147" s="433">
        <f t="shared" si="28"/>
        <v>350.87719298245611</v>
      </c>
      <c r="N147" s="434">
        <v>200</v>
      </c>
      <c r="O147" s="435">
        <f t="shared" si="29"/>
        <v>0.8771929824561403</v>
      </c>
      <c r="P147" s="480"/>
    </row>
    <row r="148" spans="1:16" ht="15">
      <c r="A148" s="523" t="s">
        <v>1695</v>
      </c>
      <c r="B148" s="522" t="s">
        <v>1696</v>
      </c>
      <c r="C148" s="523" t="s">
        <v>33</v>
      </c>
      <c r="D148" s="523">
        <v>226</v>
      </c>
      <c r="E148" s="523"/>
      <c r="F148" s="523" t="s">
        <v>12</v>
      </c>
      <c r="G148" s="527">
        <v>20</v>
      </c>
      <c r="H148" s="530">
        <v>10</v>
      </c>
      <c r="I148" s="527">
        <v>1</v>
      </c>
      <c r="J148" s="531">
        <f t="shared" si="26"/>
        <v>0.50</v>
      </c>
      <c r="K148" s="527">
        <v>1</v>
      </c>
      <c r="L148" s="267">
        <f t="shared" si="27"/>
        <v>0.50</v>
      </c>
      <c r="M148" s="433">
        <f t="shared" si="28"/>
        <v>100</v>
      </c>
      <c r="N148" s="434">
        <v>200</v>
      </c>
      <c r="O148" s="435">
        <f t="shared" si="29"/>
        <v>0.50</v>
      </c>
      <c r="P148" s="480"/>
    </row>
    <row r="149" spans="1:16" ht="15">
      <c r="A149" s="13" t="s">
        <v>308</v>
      </c>
      <c r="B149" s="27" t="s">
        <v>309</v>
      </c>
      <c r="C149" s="13" t="s">
        <v>14</v>
      </c>
      <c r="D149" s="13">
        <v>226</v>
      </c>
      <c r="E149" s="13"/>
      <c r="F149" s="13" t="s">
        <v>58</v>
      </c>
      <c r="G149" s="442">
        <v>23.25</v>
      </c>
      <c r="H149" s="440">
        <v>10</v>
      </c>
      <c r="I149" s="28">
        <v>1</v>
      </c>
      <c r="J149" s="441">
        <f t="shared" si="26"/>
        <v>0.43010752688172044</v>
      </c>
      <c r="K149" s="28">
        <v>1</v>
      </c>
      <c r="L149" s="435">
        <f t="shared" si="27"/>
        <v>0.43010752688172044</v>
      </c>
      <c r="M149" s="266">
        <f t="shared" si="28"/>
        <v>65.376344086021504</v>
      </c>
      <c r="N149" s="433">
        <v>152</v>
      </c>
      <c r="O149" s="435">
        <f t="shared" si="29"/>
        <v>0.43010752688172044</v>
      </c>
      <c r="P149" s="480"/>
    </row>
    <row r="150" spans="1:16" ht="15">
      <c r="A150" s="13" t="s">
        <v>294</v>
      </c>
      <c r="B150" s="27" t="s">
        <v>521</v>
      </c>
      <c r="C150" s="13" t="s">
        <v>14</v>
      </c>
      <c r="D150" s="13">
        <v>226</v>
      </c>
      <c r="E150" s="13"/>
      <c r="F150" s="13" t="s">
        <v>58</v>
      </c>
      <c r="G150" s="28">
        <v>23.16</v>
      </c>
      <c r="H150" s="440">
        <v>10</v>
      </c>
      <c r="I150" s="28">
        <v>1</v>
      </c>
      <c r="J150" s="441">
        <f t="shared" si="26"/>
        <v>0.43177892918825561</v>
      </c>
      <c r="K150" s="28">
        <v>7.20</v>
      </c>
      <c r="L150" s="267">
        <f t="shared" si="27"/>
        <v>3.1088082901554404</v>
      </c>
      <c r="M150" s="433">
        <f t="shared" si="28"/>
        <v>621.76165803108802</v>
      </c>
      <c r="N150" s="434">
        <v>200</v>
      </c>
      <c r="O150" s="435">
        <f t="shared" si="29"/>
        <v>3.1088082901554404</v>
      </c>
      <c r="P150" s="480"/>
    </row>
    <row r="151" spans="1:16" ht="15">
      <c r="A151" s="13" t="s">
        <v>1639</v>
      </c>
      <c r="B151" s="27" t="s">
        <v>1640</v>
      </c>
      <c r="C151" s="13" t="s">
        <v>33</v>
      </c>
      <c r="D151" s="13" t="s">
        <v>1333</v>
      </c>
      <c r="E151" s="13"/>
      <c r="F151" s="13" t="s">
        <v>12</v>
      </c>
      <c r="G151" s="442">
        <v>30</v>
      </c>
      <c r="H151" s="440">
        <v>10</v>
      </c>
      <c r="I151" s="28">
        <v>2</v>
      </c>
      <c r="J151" s="441">
        <f t="shared" si="26"/>
        <v>0.66666666666666663</v>
      </c>
      <c r="K151" s="28">
        <v>1</v>
      </c>
      <c r="L151" s="267">
        <f t="shared" si="27"/>
        <v>0.66666666666666663</v>
      </c>
      <c r="M151" s="433">
        <f t="shared" si="28"/>
        <v>101.33333333333333</v>
      </c>
      <c r="N151" s="434">
        <v>152</v>
      </c>
      <c r="O151" s="435">
        <f t="shared" si="29"/>
        <v>0.33333333333333331</v>
      </c>
      <c r="P151" s="21"/>
    </row>
    <row r="152" spans="1:16" ht="15">
      <c r="A152" s="13" t="s">
        <v>295</v>
      </c>
      <c r="B152" s="27" t="s">
        <v>104</v>
      </c>
      <c r="C152" s="13" t="s">
        <v>33</v>
      </c>
      <c r="D152" s="13" t="s">
        <v>1333</v>
      </c>
      <c r="E152" s="13"/>
      <c r="F152" s="13" t="s">
        <v>12</v>
      </c>
      <c r="G152" s="28">
        <v>11</v>
      </c>
      <c r="H152" s="440">
        <v>10</v>
      </c>
      <c r="I152" s="28">
        <v>2</v>
      </c>
      <c r="J152" s="441">
        <f t="shared" si="26"/>
        <v>1.8181818181818181</v>
      </c>
      <c r="K152" s="28">
        <v>1</v>
      </c>
      <c r="L152" s="267">
        <f t="shared" si="27"/>
        <v>1.8181818181818181</v>
      </c>
      <c r="M152" s="433">
        <f t="shared" si="28"/>
        <v>276.36363636363637</v>
      </c>
      <c r="N152" s="434">
        <v>152</v>
      </c>
      <c r="O152" s="435">
        <f t="shared" si="29"/>
        <v>0.90909090909090906</v>
      </c>
      <c r="P152" s="21"/>
    </row>
    <row r="153" spans="1:15" s="22" customFormat="1" ht="15">
      <c r="A153" s="443"/>
      <c r="B153" s="495" t="s">
        <v>15</v>
      </c>
      <c r="C153" s="443"/>
      <c r="D153" s="443"/>
      <c r="E153" s="443"/>
      <c r="F153" s="444"/>
      <c r="G153" s="443"/>
      <c r="H153" s="445"/>
      <c r="I153" s="443"/>
      <c r="J153" s="446"/>
      <c r="K153" s="443"/>
      <c r="L153" s="447">
        <f>SUM(L6:L152)</f>
        <v>198.48207450593924</v>
      </c>
      <c r="M153" s="455">
        <f>M18+M47+M60+M73+M84+M131+M80+M5</f>
        <v>39128.843022834284</v>
      </c>
      <c r="N153" s="110"/>
      <c r="O153" s="454">
        <f>O18+O47+O60+O73+O84+O131+O80+O5</f>
        <v>139.11050850518851</v>
      </c>
    </row>
    <row r="154" spans="12:15" ht="15">
      <c r="L154" s="448" t="s">
        <v>16</v>
      </c>
      <c r="O154" s="448" t="s">
        <v>17</v>
      </c>
    </row>
    <row r="155" spans="6:15" ht="15">
      <c r="F155" s="107"/>
      <c r="J155" s="450"/>
      <c r="K155" s="451" t="s">
        <v>18</v>
      </c>
      <c r="L155" s="452">
        <f>L153/G2</f>
        <v>139.97325423550018</v>
      </c>
      <c r="M155" s="450" t="s">
        <v>19</v>
      </c>
      <c r="N155" s="450"/>
      <c r="O155" s="450"/>
    </row>
    <row r="156" spans="6:6" ht="15">
      <c r="F156" s="107"/>
    </row>
    <row r="157" spans="2:8" ht="15">
      <c r="B157" s="493" t="s">
        <v>1242</v>
      </c>
      <c r="C157" s="449"/>
      <c r="F157" s="107"/>
      <c r="H157" s="268"/>
    </row>
    <row r="158" spans="6:6" ht="15">
      <c r="F158" s="107"/>
    </row>
    <row r="159" spans="2:3" ht="15">
      <c r="B159" s="493" t="s">
        <v>848</v>
      </c>
      <c r="C159" s="449"/>
    </row>
    <row r="161" spans="2:3" ht="15">
      <c r="B161" s="493" t="s">
        <v>849</v>
      </c>
      <c r="C161" s="449"/>
    </row>
    <row r="164" ht="15" hidden="1"/>
    <row r="165" spans="1:8" ht="15" hidden="1">
      <c r="A165" s="481" t="s">
        <v>328</v>
      </c>
      <c r="B165" s="496" t="s">
        <v>329</v>
      </c>
      <c r="C165" s="481" t="s">
        <v>330</v>
      </c>
      <c r="D165" s="481" t="s">
        <v>331</v>
      </c>
      <c r="E165" s="481" t="s">
        <v>332</v>
      </c>
      <c r="F165" s="481" t="s">
        <v>333</v>
      </c>
      <c r="G165" s="427"/>
      <c r="H165" s="268"/>
    </row>
    <row r="166" spans="1:8" ht="75" hidden="1">
      <c r="A166" s="482">
        <v>1</v>
      </c>
      <c r="B166" s="483" t="s">
        <v>1283</v>
      </c>
      <c r="C166" s="482">
        <v>600</v>
      </c>
      <c r="D166" s="482">
        <v>400</v>
      </c>
      <c r="E166" s="482" t="s">
        <v>954</v>
      </c>
      <c r="F166" s="484">
        <v>44602</v>
      </c>
      <c r="G166" s="427"/>
      <c r="H166" s="268"/>
    </row>
    <row r="167" spans="1:8" ht="30.75" hidden="1" thickBot="1">
      <c r="A167" s="482">
        <v>2</v>
      </c>
      <c r="B167" s="483" t="s">
        <v>1284</v>
      </c>
      <c r="C167" s="485"/>
      <c r="D167" s="485"/>
      <c r="E167" s="482" t="s">
        <v>954</v>
      </c>
      <c r="F167" s="484">
        <v>44602</v>
      </c>
      <c r="G167" s="427"/>
      <c r="H167" s="268"/>
    </row>
    <row r="168" spans="1:15" ht="15" hidden="1">
      <c r="A168" s="500" t="s">
        <v>328</v>
      </c>
      <c r="B168" s="631" t="s">
        <v>1593</v>
      </c>
      <c r="C168" s="632"/>
      <c r="D168" s="633"/>
      <c r="E168" s="501" t="s">
        <v>332</v>
      </c>
      <c r="F168" s="502" t="s">
        <v>333</v>
      </c>
      <c r="G168" s="427"/>
      <c r="H168" s="268"/>
      <c r="O168" s="503"/>
    </row>
    <row r="169" spans="1:15" ht="15.75" hidden="1" thickBot="1">
      <c r="A169" s="504">
        <v>1</v>
      </c>
      <c r="B169" s="634" t="s">
        <v>1594</v>
      </c>
      <c r="C169" s="635"/>
      <c r="D169" s="636"/>
      <c r="E169" s="505" t="s">
        <v>1334</v>
      </c>
      <c r="F169" s="506">
        <v>44677</v>
      </c>
      <c r="G169" s="427"/>
      <c r="H169" s="268"/>
      <c r="O169" s="503"/>
    </row>
    <row r="170" spans="1:15" ht="15" hidden="1">
      <c r="A170" s="54" t="s">
        <v>656</v>
      </c>
      <c r="B170" s="55" t="s">
        <v>1237</v>
      </c>
      <c r="C170" s="13" t="s">
        <v>862</v>
      </c>
      <c r="D170" s="13">
        <v>224</v>
      </c>
      <c r="E170" s="13"/>
      <c r="F170" s="17"/>
      <c r="G170" s="432">
        <f>(600-20)/3</f>
        <v>193.33333333333334</v>
      </c>
      <c r="H170" s="440">
        <v>10</v>
      </c>
      <c r="I170" s="28">
        <v>2</v>
      </c>
      <c r="J170" s="441">
        <f>H170/G170*I170</f>
        <v>0.10344827586206896</v>
      </c>
      <c r="K170" s="28">
        <v>3</v>
      </c>
      <c r="L170" s="267">
        <f>J170*K170</f>
        <v>0.31034482758620691</v>
      </c>
      <c r="M170" s="433">
        <f>L170*N170</f>
        <v>62.068965517241381</v>
      </c>
      <c r="N170" s="434">
        <v>200</v>
      </c>
      <c r="O170" s="435">
        <f>J170/I170*K170</f>
        <v>0.15517241379310345</v>
      </c>
    </row>
    <row r="171" spans="1:15" ht="15" hidden="1">
      <c r="A171" s="645" t="s">
        <v>198</v>
      </c>
      <c r="B171" s="639" t="s">
        <v>1078</v>
      </c>
      <c r="C171" s="13" t="s">
        <v>28</v>
      </c>
      <c r="D171" s="13">
        <v>112</v>
      </c>
      <c r="E171" s="13"/>
      <c r="F171" s="4" t="s">
        <v>868</v>
      </c>
      <c r="G171" s="28">
        <v>15</v>
      </c>
      <c r="H171" s="437">
        <v>10</v>
      </c>
      <c r="I171" s="28">
        <v>2</v>
      </c>
      <c r="J171" s="438">
        <f>H171/G171*I171</f>
        <v>1.3333333333333333</v>
      </c>
      <c r="K171" s="28">
        <v>1</v>
      </c>
      <c r="L171" s="267">
        <f>J171*K171</f>
        <v>1.3333333333333333</v>
      </c>
      <c r="M171" s="433">
        <f>L171*N171</f>
        <v>266.66666666666663</v>
      </c>
      <c r="N171" s="434">
        <v>200</v>
      </c>
      <c r="O171" s="435">
        <f>J171/I171*K171</f>
        <v>0.66666666666666663</v>
      </c>
    </row>
    <row r="172" spans="1:15" ht="15.75" hidden="1" thickBot="1">
      <c r="A172" s="647"/>
      <c r="B172" s="641"/>
      <c r="C172" s="13" t="s">
        <v>49</v>
      </c>
      <c r="D172" s="13">
        <v>112</v>
      </c>
      <c r="E172" s="13" t="s">
        <v>1238</v>
      </c>
      <c r="F172" s="13" t="s">
        <v>10</v>
      </c>
      <c r="G172" s="28">
        <v>40</v>
      </c>
      <c r="H172" s="437">
        <v>10</v>
      </c>
      <c r="I172" s="28">
        <v>1</v>
      </c>
      <c r="J172" s="438">
        <f>H172/G172*I172</f>
        <v>0.25</v>
      </c>
      <c r="K172" s="436">
        <f>(1140+620*2+200*2)/1000</f>
        <v>2.78</v>
      </c>
      <c r="L172" s="267">
        <f>J172*K172</f>
        <v>0.695</v>
      </c>
      <c r="M172" s="433">
        <f>L172*N172</f>
        <v>139</v>
      </c>
      <c r="N172" s="434">
        <v>200</v>
      </c>
      <c r="O172" s="435">
        <f>J172/I172*K172</f>
        <v>0.695</v>
      </c>
    </row>
    <row r="173" spans="1:15" ht="15" hidden="1">
      <c r="A173" s="500" t="s">
        <v>328</v>
      </c>
      <c r="B173" s="631" t="s">
        <v>1593</v>
      </c>
      <c r="C173" s="632"/>
      <c r="D173" s="633"/>
      <c r="E173" s="501" t="s">
        <v>332</v>
      </c>
      <c r="F173" s="502" t="s">
        <v>333</v>
      </c>
      <c r="G173" s="427"/>
      <c r="H173" s="268"/>
      <c r="O173" s="503"/>
    </row>
    <row r="174" spans="1:15" ht="15.75" hidden="1" thickBot="1">
      <c r="A174" s="504">
        <v>2</v>
      </c>
      <c r="B174" s="634" t="s">
        <v>1605</v>
      </c>
      <c r="C174" s="635"/>
      <c r="D174" s="636"/>
      <c r="E174" s="505" t="s">
        <v>1334</v>
      </c>
      <c r="F174" s="506">
        <v>44677</v>
      </c>
      <c r="G174" s="427"/>
      <c r="H174" s="268"/>
      <c r="O174" s="503"/>
    </row>
    <row r="175" spans="1:15" ht="15" hidden="1">
      <c r="A175" s="57" t="s">
        <v>1285</v>
      </c>
      <c r="B175" s="56" t="s">
        <v>1616</v>
      </c>
      <c r="C175" s="13" t="s">
        <v>1617</v>
      </c>
      <c r="D175" s="13">
        <v>105</v>
      </c>
      <c r="E175" s="13"/>
      <c r="F175" s="13" t="s">
        <v>353</v>
      </c>
      <c r="G175" s="442">
        <v>25.10</v>
      </c>
      <c r="H175" s="440">
        <v>10</v>
      </c>
      <c r="I175" s="28">
        <v>1</v>
      </c>
      <c r="J175" s="441">
        <f t="shared" si="30" ref="J175:J181">H175/G175*I175</f>
        <v>0.39840637450199201</v>
      </c>
      <c r="K175" s="432">
        <v>1</v>
      </c>
      <c r="L175" s="435">
        <f t="shared" si="31" ref="L175:L181">J175*K175</f>
        <v>0.39840637450199201</v>
      </c>
      <c r="M175" s="266">
        <f t="shared" si="32" ref="M175:M181">L175*N175</f>
        <v>79.681274900398407</v>
      </c>
      <c r="N175" s="433">
        <v>200</v>
      </c>
      <c r="O175" s="435">
        <f t="shared" si="33" ref="O175:O181">J175/I175*K175</f>
        <v>0.39840637450199201</v>
      </c>
    </row>
    <row r="176" spans="1:15" ht="15" hidden="1">
      <c r="A176" s="57" t="s">
        <v>648</v>
      </c>
      <c r="B176" s="508" t="s">
        <v>1615</v>
      </c>
      <c r="C176" s="13" t="s">
        <v>1618</v>
      </c>
      <c r="D176" s="13">
        <v>108</v>
      </c>
      <c r="E176" s="13"/>
      <c r="F176" s="13" t="s">
        <v>10</v>
      </c>
      <c r="G176" s="28">
        <v>40</v>
      </c>
      <c r="H176" s="440">
        <v>10</v>
      </c>
      <c r="I176" s="28">
        <v>1</v>
      </c>
      <c r="J176" s="453">
        <f t="shared" si="30"/>
        <v>0.25</v>
      </c>
      <c r="K176" s="436">
        <f>177*2/1000</f>
        <v>0.35399999999999998</v>
      </c>
      <c r="L176" s="267">
        <f t="shared" si="31"/>
        <v>0.088499999999999995</v>
      </c>
      <c r="M176" s="433">
        <f t="shared" si="32"/>
        <v>17.70</v>
      </c>
      <c r="N176" s="434">
        <v>200</v>
      </c>
      <c r="O176" s="435">
        <f t="shared" si="33"/>
        <v>0.088499999999999995</v>
      </c>
    </row>
    <row r="177" spans="1:15" ht="15" hidden="1">
      <c r="A177" s="57" t="s">
        <v>1288</v>
      </c>
      <c r="B177" s="56" t="s">
        <v>1614</v>
      </c>
      <c r="C177" s="13" t="s">
        <v>1617</v>
      </c>
      <c r="D177" s="13">
        <v>105</v>
      </c>
      <c r="E177" s="13"/>
      <c r="F177" s="13" t="s">
        <v>353</v>
      </c>
      <c r="G177" s="442">
        <f>25.1/0.65</f>
        <v>38.615384615384613</v>
      </c>
      <c r="H177" s="440">
        <v>10</v>
      </c>
      <c r="I177" s="28">
        <v>1</v>
      </c>
      <c r="J177" s="441">
        <f t="shared" si="30"/>
        <v>0.25896414342629481</v>
      </c>
      <c r="K177" s="432">
        <v>1</v>
      </c>
      <c r="L177" s="435">
        <f t="shared" si="31"/>
        <v>0.25896414342629481</v>
      </c>
      <c r="M177" s="266">
        <f t="shared" si="32"/>
        <v>51.792828685258961</v>
      </c>
      <c r="N177" s="433">
        <v>200</v>
      </c>
      <c r="O177" s="435">
        <f t="shared" si="33"/>
        <v>0.25896414342629481</v>
      </c>
    </row>
    <row r="178" spans="1:15" ht="15" hidden="1">
      <c r="A178" s="57" t="s">
        <v>176</v>
      </c>
      <c r="B178" s="56" t="s">
        <v>1613</v>
      </c>
      <c r="C178" s="13" t="s">
        <v>154</v>
      </c>
      <c r="D178" s="13">
        <v>124</v>
      </c>
      <c r="E178" s="13"/>
      <c r="F178" s="13" t="s">
        <v>354</v>
      </c>
      <c r="G178" s="442">
        <v>6.65</v>
      </c>
      <c r="H178" s="440">
        <v>10</v>
      </c>
      <c r="I178" s="28">
        <v>1</v>
      </c>
      <c r="J178" s="441">
        <f t="shared" si="30"/>
        <v>1.5037593984962405</v>
      </c>
      <c r="K178" s="432">
        <v>1</v>
      </c>
      <c r="L178" s="267">
        <f t="shared" si="31"/>
        <v>1.5037593984962405</v>
      </c>
      <c r="M178" s="433">
        <f t="shared" si="32"/>
        <v>300.75187969924809</v>
      </c>
      <c r="N178" s="434">
        <v>200</v>
      </c>
      <c r="O178" s="435">
        <f t="shared" si="33"/>
        <v>1.5037593984962405</v>
      </c>
    </row>
    <row r="179" spans="1:15" ht="30" hidden="1">
      <c r="A179" s="57" t="s">
        <v>1289</v>
      </c>
      <c r="B179" s="56" t="s">
        <v>1612</v>
      </c>
      <c r="C179" s="13" t="s">
        <v>24</v>
      </c>
      <c r="D179" s="13">
        <v>117</v>
      </c>
      <c r="E179" s="13"/>
      <c r="F179" s="4" t="s">
        <v>38</v>
      </c>
      <c r="G179" s="442">
        <v>20</v>
      </c>
      <c r="H179" s="440">
        <v>10</v>
      </c>
      <c r="I179" s="28">
        <v>2</v>
      </c>
      <c r="J179" s="441">
        <f t="shared" si="30"/>
        <v>1</v>
      </c>
      <c r="K179" s="28">
        <v>1</v>
      </c>
      <c r="L179" s="267">
        <f t="shared" si="31"/>
        <v>1</v>
      </c>
      <c r="M179" s="433">
        <f t="shared" si="32"/>
        <v>200</v>
      </c>
      <c r="N179" s="434">
        <v>200</v>
      </c>
      <c r="O179" s="435">
        <f t="shared" si="33"/>
        <v>0.50</v>
      </c>
    </row>
    <row r="180" spans="1:15" ht="30" hidden="1">
      <c r="A180" s="13" t="s">
        <v>1290</v>
      </c>
      <c r="B180" s="56" t="s">
        <v>1611</v>
      </c>
      <c r="C180" s="13" t="s">
        <v>160</v>
      </c>
      <c r="D180" s="13">
        <v>117</v>
      </c>
      <c r="E180" s="13" t="s">
        <v>869</v>
      </c>
      <c r="F180" s="13" t="s">
        <v>10</v>
      </c>
      <c r="G180" s="28">
        <v>40</v>
      </c>
      <c r="H180" s="440">
        <v>10</v>
      </c>
      <c r="I180" s="28">
        <v>1</v>
      </c>
      <c r="J180" s="441">
        <f t="shared" si="30"/>
        <v>0.25</v>
      </c>
      <c r="K180" s="436">
        <f>534*3.1415*2/1000</f>
        <v>3.3551220000000002</v>
      </c>
      <c r="L180" s="267">
        <f t="shared" si="31"/>
        <v>0.83878050000000004</v>
      </c>
      <c r="M180" s="433">
        <f t="shared" si="32"/>
        <v>167.7561</v>
      </c>
      <c r="N180" s="434">
        <v>200</v>
      </c>
      <c r="O180" s="435">
        <f t="shared" si="33"/>
        <v>0.83878050000000004</v>
      </c>
    </row>
    <row r="181" spans="1:15" ht="30.75" hidden="1" thickBot="1">
      <c r="A181" s="57" t="s">
        <v>1291</v>
      </c>
      <c r="B181" s="56" t="s">
        <v>1609</v>
      </c>
      <c r="C181" s="13" t="s">
        <v>24</v>
      </c>
      <c r="D181" s="13">
        <v>110</v>
      </c>
      <c r="E181" s="13"/>
      <c r="F181" s="4" t="s">
        <v>38</v>
      </c>
      <c r="G181" s="442">
        <v>20</v>
      </c>
      <c r="H181" s="440">
        <v>10</v>
      </c>
      <c r="I181" s="28">
        <v>2</v>
      </c>
      <c r="J181" s="441">
        <f t="shared" si="30"/>
        <v>1</v>
      </c>
      <c r="K181" s="28">
        <v>1</v>
      </c>
      <c r="L181" s="267">
        <f t="shared" si="31"/>
        <v>1</v>
      </c>
      <c r="M181" s="433">
        <f t="shared" si="32"/>
        <v>200</v>
      </c>
      <c r="N181" s="434">
        <v>200</v>
      </c>
      <c r="O181" s="435">
        <f t="shared" si="33"/>
        <v>0.50</v>
      </c>
    </row>
    <row r="182" spans="1:15" ht="15" hidden="1">
      <c r="A182" s="500" t="s">
        <v>328</v>
      </c>
      <c r="B182" s="631" t="s">
        <v>1593</v>
      </c>
      <c r="C182" s="632"/>
      <c r="D182" s="633"/>
      <c r="E182" s="501" t="s">
        <v>332</v>
      </c>
      <c r="F182" s="502" t="s">
        <v>333</v>
      </c>
      <c r="G182" s="427"/>
      <c r="H182" s="268"/>
      <c r="O182" s="503"/>
    </row>
    <row r="183" spans="1:15" ht="15.75" hidden="1" thickBot="1">
      <c r="A183" s="504">
        <v>3</v>
      </c>
      <c r="B183" s="634" t="s">
        <v>1606</v>
      </c>
      <c r="C183" s="635"/>
      <c r="D183" s="636"/>
      <c r="E183" s="505" t="s">
        <v>1334</v>
      </c>
      <c r="F183" s="506">
        <v>44677</v>
      </c>
      <c r="G183" s="427"/>
      <c r="H183" s="268"/>
      <c r="O183" s="503"/>
    </row>
    <row r="184" spans="1:15" ht="15" hidden="1">
      <c r="A184" s="637" t="s">
        <v>177</v>
      </c>
      <c r="B184" s="638" t="s">
        <v>178</v>
      </c>
      <c r="C184" s="13" t="s">
        <v>39</v>
      </c>
      <c r="D184" s="13">
        <v>110</v>
      </c>
      <c r="E184" s="13"/>
      <c r="F184" s="4" t="s">
        <v>179</v>
      </c>
      <c r="G184" s="28">
        <v>22</v>
      </c>
      <c r="H184" s="440">
        <v>10</v>
      </c>
      <c r="I184" s="28">
        <v>2</v>
      </c>
      <c r="J184" s="441">
        <f t="shared" si="34" ref="J184:J186">H184/G184*I184</f>
        <v>0.90909090909090906</v>
      </c>
      <c r="K184" s="28">
        <v>1</v>
      </c>
      <c r="L184" s="435">
        <f t="shared" si="35" ref="L184:L186">J184*K184</f>
        <v>0.90909090909090906</v>
      </c>
      <c r="M184" s="266">
        <f t="shared" si="36" ref="M184:M186">L184*N184</f>
        <v>181.81818181818181</v>
      </c>
      <c r="N184" s="433">
        <v>200</v>
      </c>
      <c r="O184" s="435">
        <f t="shared" si="37" ref="O184:O186">J184/I184*K184</f>
        <v>0.45454545454545453</v>
      </c>
    </row>
    <row r="185" spans="1:15" ht="15" hidden="1">
      <c r="A185" s="637"/>
      <c r="B185" s="638"/>
      <c r="C185" s="13" t="s">
        <v>180</v>
      </c>
      <c r="D185" s="13">
        <v>110</v>
      </c>
      <c r="E185" s="13" t="s">
        <v>65</v>
      </c>
      <c r="F185" s="13" t="s">
        <v>10</v>
      </c>
      <c r="G185" s="28">
        <v>40</v>
      </c>
      <c r="H185" s="440">
        <v>10</v>
      </c>
      <c r="I185" s="28">
        <v>1</v>
      </c>
      <c r="J185" s="441">
        <f t="shared" si="34"/>
        <v>0.25</v>
      </c>
      <c r="K185" s="436">
        <f>202*2/1000</f>
        <v>0.40400000000000003</v>
      </c>
      <c r="L185" s="435">
        <f t="shared" si="35"/>
        <v>0.10100000000000001</v>
      </c>
      <c r="M185" s="266">
        <f t="shared" si="36"/>
        <v>20.200000000000003</v>
      </c>
      <c r="N185" s="433">
        <v>200</v>
      </c>
      <c r="O185" s="435">
        <f t="shared" si="37"/>
        <v>0.10100000000000001</v>
      </c>
    </row>
    <row r="186" spans="1:15" ht="30.75" hidden="1" thickBot="1">
      <c r="A186" s="13" t="s">
        <v>177</v>
      </c>
      <c r="B186" s="56" t="s">
        <v>1610</v>
      </c>
      <c r="C186" s="13" t="s">
        <v>160</v>
      </c>
      <c r="D186" s="13">
        <v>110</v>
      </c>
      <c r="E186" s="13" t="s">
        <v>1604</v>
      </c>
      <c r="F186" s="13" t="s">
        <v>10</v>
      </c>
      <c r="G186" s="28">
        <v>40</v>
      </c>
      <c r="H186" s="440">
        <v>10</v>
      </c>
      <c r="I186" s="28">
        <v>1</v>
      </c>
      <c r="J186" s="441">
        <f t="shared" si="34"/>
        <v>0.25</v>
      </c>
      <c r="K186" s="436">
        <f>550*3.1415*2/1000</f>
        <v>3.4556499999999999</v>
      </c>
      <c r="L186" s="267">
        <f t="shared" si="35"/>
        <v>0.86391249999999997</v>
      </c>
      <c r="M186" s="433">
        <f t="shared" si="36"/>
        <v>172.7825</v>
      </c>
      <c r="N186" s="434">
        <v>200</v>
      </c>
      <c r="O186" s="435">
        <f t="shared" si="37"/>
        <v>0.86391249999999997</v>
      </c>
    </row>
    <row r="187" spans="1:15" ht="15" hidden="1">
      <c r="A187" s="500" t="s">
        <v>328</v>
      </c>
      <c r="B187" s="631" t="s">
        <v>1593</v>
      </c>
      <c r="C187" s="632"/>
      <c r="D187" s="633"/>
      <c r="E187" s="501" t="s">
        <v>332</v>
      </c>
      <c r="F187" s="502" t="s">
        <v>333</v>
      </c>
      <c r="G187" s="427"/>
      <c r="H187" s="268"/>
      <c r="O187" s="503"/>
    </row>
    <row r="188" spans="1:15" ht="15.75" hidden="1" thickBot="1">
      <c r="A188" s="504">
        <v>4</v>
      </c>
      <c r="B188" s="634" t="s">
        <v>1605</v>
      </c>
      <c r="C188" s="635"/>
      <c r="D188" s="636"/>
      <c r="E188" s="505" t="s">
        <v>1334</v>
      </c>
      <c r="F188" s="506">
        <v>44677</v>
      </c>
      <c r="G188" s="427"/>
      <c r="H188" s="268"/>
      <c r="O188" s="503"/>
    </row>
    <row r="189" spans="1:16" ht="15" hidden="1">
      <c r="A189" s="13" t="s">
        <v>1639</v>
      </c>
      <c r="B189" s="27" t="s">
        <v>1640</v>
      </c>
      <c r="C189" s="13" t="s">
        <v>33</v>
      </c>
      <c r="D189" s="13" t="s">
        <v>1333</v>
      </c>
      <c r="E189" s="13"/>
      <c r="F189" s="13" t="s">
        <v>12</v>
      </c>
      <c r="G189" s="442">
        <v>30</v>
      </c>
      <c r="H189" s="440">
        <v>10</v>
      </c>
      <c r="I189" s="28">
        <v>2</v>
      </c>
      <c r="J189" s="441">
        <f t="shared" si="38" ref="J189">H189/G189*I189</f>
        <v>0.66666666666666663</v>
      </c>
      <c r="K189" s="28">
        <v>1</v>
      </c>
      <c r="L189" s="267">
        <f t="shared" si="39" ref="L189">J189*K189</f>
        <v>0.66666666666666663</v>
      </c>
      <c r="M189" s="433">
        <f t="shared" si="40" ref="M189">L189*N189</f>
        <v>101.33333333333333</v>
      </c>
      <c r="N189" s="434">
        <v>152</v>
      </c>
      <c r="O189" s="435">
        <f t="shared" si="41" ref="O189">J189/I189*K189</f>
        <v>0.33333333333333331</v>
      </c>
      <c r="P189" s="21"/>
    </row>
    <row r="190" ht="15.75" thickBot="1"/>
    <row r="191" spans="1:7" ht="15">
      <c r="A191" s="500" t="s">
        <v>328</v>
      </c>
      <c r="B191" s="631" t="s">
        <v>1593</v>
      </c>
      <c r="C191" s="632"/>
      <c r="D191" s="633"/>
      <c r="E191" s="501" t="s">
        <v>332</v>
      </c>
      <c r="F191" s="502" t="s">
        <v>333</v>
      </c>
      <c r="G191" s="68"/>
    </row>
    <row r="192" spans="1:7" ht="15.75" thickBot="1">
      <c r="A192" s="504">
        <v>5</v>
      </c>
      <c r="B192" s="634" t="s">
        <v>1605</v>
      </c>
      <c r="C192" s="635"/>
      <c r="D192" s="636"/>
      <c r="E192" s="505" t="s">
        <v>1682</v>
      </c>
      <c r="F192" s="506">
        <v>44987</v>
      </c>
      <c r="G192" s="68"/>
    </row>
    <row r="193" spans="1:15" ht="30">
      <c r="A193" s="529" t="s">
        <v>1662</v>
      </c>
      <c r="B193" s="522" t="s">
        <v>1661</v>
      </c>
      <c r="C193" s="523" t="s">
        <v>9</v>
      </c>
      <c r="D193" s="523">
        <v>109</v>
      </c>
      <c r="E193" s="523"/>
      <c r="F193" s="524" t="s">
        <v>10</v>
      </c>
      <c r="G193" s="525">
        <v>33</v>
      </c>
      <c r="H193" s="526">
        <v>10</v>
      </c>
      <c r="I193" s="527">
        <v>1</v>
      </c>
      <c r="J193" s="528">
        <f t="shared" si="42" ref="J193:J197">H193/G193*I193</f>
        <v>0.30303030303030304</v>
      </c>
      <c r="K193" s="525">
        <f>(350*2)/1000</f>
        <v>0.70</v>
      </c>
      <c r="L193" s="267">
        <f t="shared" si="43" ref="L193:L197">J193*K193</f>
        <v>0.21212121212121213</v>
      </c>
      <c r="M193" s="266">
        <f t="shared" si="44" ref="M193:M197">L193*N193</f>
        <v>32.242424242424242</v>
      </c>
      <c r="N193" s="433">
        <v>152</v>
      </c>
      <c r="O193" s="267">
        <f t="shared" si="45" ref="O193:O197">J193/I193*K193</f>
        <v>0.21212121212121213</v>
      </c>
    </row>
    <row r="194" spans="1:15" ht="30">
      <c r="A194" s="523" t="s">
        <v>1668</v>
      </c>
      <c r="B194" s="522" t="s">
        <v>1670</v>
      </c>
      <c r="C194" s="523" t="s">
        <v>33</v>
      </c>
      <c r="D194" s="523">
        <v>116</v>
      </c>
      <c r="E194" s="523"/>
      <c r="F194" s="523" t="s">
        <v>1666</v>
      </c>
      <c r="G194" s="527">
        <v>13.38</v>
      </c>
      <c r="H194" s="530">
        <v>10</v>
      </c>
      <c r="I194" s="527">
        <v>2</v>
      </c>
      <c r="J194" s="531">
        <f t="shared" si="42"/>
        <v>1.4947683109118086</v>
      </c>
      <c r="K194" s="527">
        <v>1</v>
      </c>
      <c r="L194" s="267">
        <f t="shared" si="43"/>
        <v>1.4947683109118086</v>
      </c>
      <c r="M194" s="433">
        <f t="shared" si="44"/>
        <v>298.95366218236171</v>
      </c>
      <c r="N194" s="434">
        <v>200</v>
      </c>
      <c r="O194" s="435">
        <f t="shared" si="45"/>
        <v>0.74738415545590431</v>
      </c>
    </row>
    <row r="195" spans="1:15" ht="30">
      <c r="A195" s="523" t="s">
        <v>1669</v>
      </c>
      <c r="B195" s="522" t="s">
        <v>1671</v>
      </c>
      <c r="C195" s="523" t="s">
        <v>33</v>
      </c>
      <c r="D195" s="523">
        <v>116</v>
      </c>
      <c r="E195" s="523"/>
      <c r="F195" s="523" t="s">
        <v>10</v>
      </c>
      <c r="G195" s="527">
        <v>40</v>
      </c>
      <c r="H195" s="530">
        <v>10</v>
      </c>
      <c r="I195" s="527">
        <v>1</v>
      </c>
      <c r="J195" s="531">
        <f t="shared" si="42"/>
        <v>0.25</v>
      </c>
      <c r="K195" s="525">
        <f>3320/1000</f>
        <v>3.32</v>
      </c>
      <c r="L195" s="267">
        <f t="shared" si="43"/>
        <v>0.83</v>
      </c>
      <c r="M195" s="433">
        <f t="shared" si="44"/>
        <v>166</v>
      </c>
      <c r="N195" s="434">
        <v>200</v>
      </c>
      <c r="O195" s="435">
        <f t="shared" si="45"/>
        <v>0.83</v>
      </c>
    </row>
    <row r="196" spans="1:15" ht="30">
      <c r="A196" s="523" t="s">
        <v>1663</v>
      </c>
      <c r="B196" s="522" t="s">
        <v>1665</v>
      </c>
      <c r="C196" s="523" t="s">
        <v>33</v>
      </c>
      <c r="D196" s="523">
        <v>116</v>
      </c>
      <c r="E196" s="523"/>
      <c r="F196" s="523" t="s">
        <v>1666</v>
      </c>
      <c r="G196" s="527">
        <v>12.41</v>
      </c>
      <c r="H196" s="530">
        <v>10</v>
      </c>
      <c r="I196" s="527">
        <v>2</v>
      </c>
      <c r="J196" s="531">
        <f t="shared" si="42"/>
        <v>1.6116035455278002</v>
      </c>
      <c r="K196" s="527">
        <v>1</v>
      </c>
      <c r="L196" s="267">
        <f t="shared" si="43"/>
        <v>1.6116035455278002</v>
      </c>
      <c r="M196" s="433">
        <f t="shared" si="44"/>
        <v>322.32070910556001</v>
      </c>
      <c r="N196" s="434">
        <v>200</v>
      </c>
      <c r="O196" s="435">
        <f t="shared" si="45"/>
        <v>0.80580177276390008</v>
      </c>
    </row>
    <row r="197" spans="1:15" ht="30">
      <c r="A197" s="523" t="s">
        <v>1664</v>
      </c>
      <c r="B197" s="522" t="s">
        <v>1667</v>
      </c>
      <c r="C197" s="523" t="s">
        <v>33</v>
      </c>
      <c r="D197" s="523">
        <v>116</v>
      </c>
      <c r="E197" s="523"/>
      <c r="F197" s="523" t="s">
        <v>10</v>
      </c>
      <c r="G197" s="527">
        <v>40</v>
      </c>
      <c r="H197" s="530">
        <v>10</v>
      </c>
      <c r="I197" s="527">
        <v>1</v>
      </c>
      <c r="J197" s="531">
        <f t="shared" si="42"/>
        <v>0.25</v>
      </c>
      <c r="K197" s="525">
        <f>3461/1000</f>
        <v>3.4609999999999999</v>
      </c>
      <c r="L197" s="267">
        <f t="shared" si="43"/>
        <v>0.86524999999999996</v>
      </c>
      <c r="M197" s="433">
        <f t="shared" si="44"/>
        <v>173.04999999999998</v>
      </c>
      <c r="N197" s="434">
        <v>200</v>
      </c>
      <c r="O197" s="435">
        <f t="shared" si="45"/>
        <v>0.86524999999999996</v>
      </c>
    </row>
    <row r="198" ht="15.75" thickBot="1"/>
    <row r="199" spans="1:6" ht="15">
      <c r="A199" s="500" t="s">
        <v>328</v>
      </c>
      <c r="B199" s="631" t="s">
        <v>1593</v>
      </c>
      <c r="C199" s="632"/>
      <c r="D199" s="633"/>
      <c r="E199" s="501" t="s">
        <v>332</v>
      </c>
      <c r="F199" s="502" t="s">
        <v>333</v>
      </c>
    </row>
    <row r="200" spans="1:6" ht="15.75" thickBot="1">
      <c r="A200" s="504">
        <v>6</v>
      </c>
      <c r="B200" s="634" t="s">
        <v>1605</v>
      </c>
      <c r="C200" s="635"/>
      <c r="D200" s="636"/>
      <c r="E200" s="505" t="s">
        <v>1682</v>
      </c>
      <c r="F200" s="506">
        <v>45055</v>
      </c>
    </row>
    <row r="201" spans="1:15" ht="15">
      <c r="A201" s="523" t="s">
        <v>1695</v>
      </c>
      <c r="B201" s="522" t="s">
        <v>1696</v>
      </c>
      <c r="C201" s="523" t="s">
        <v>33</v>
      </c>
      <c r="D201" s="523">
        <v>226</v>
      </c>
      <c r="E201" s="523"/>
      <c r="F201" s="523" t="s">
        <v>12</v>
      </c>
      <c r="G201" s="527">
        <v>20</v>
      </c>
      <c r="H201" s="530">
        <v>10</v>
      </c>
      <c r="I201" s="527">
        <v>1</v>
      </c>
      <c r="J201" s="531">
        <f t="shared" si="46" ref="J201">H201/G201*I201</f>
        <v>0.50</v>
      </c>
      <c r="K201" s="527">
        <v>1</v>
      </c>
      <c r="L201" s="267">
        <f t="shared" si="47" ref="L201">J201*K201</f>
        <v>0.50</v>
      </c>
      <c r="M201" s="433">
        <f t="shared" si="48" ref="M201">L201*N201</f>
        <v>100</v>
      </c>
      <c r="N201" s="434">
        <v>200</v>
      </c>
      <c r="O201" s="435">
        <f t="shared" si="49" ref="O201">J201/I201*K201</f>
        <v>0.50</v>
      </c>
    </row>
    <row r="202" ht="15.75" thickBot="1"/>
    <row r="203" spans="1:6" ht="15">
      <c r="A203" s="500" t="s">
        <v>328</v>
      </c>
      <c r="B203" s="631" t="s">
        <v>1593</v>
      </c>
      <c r="C203" s="632"/>
      <c r="D203" s="633"/>
      <c r="E203" s="501" t="s">
        <v>332</v>
      </c>
      <c r="F203" s="502" t="s">
        <v>333</v>
      </c>
    </row>
    <row r="204" spans="1:6" ht="15.75" thickBot="1">
      <c r="A204" s="504">
        <v>7</v>
      </c>
      <c r="B204" s="634" t="s">
        <v>1657</v>
      </c>
      <c r="C204" s="635"/>
      <c r="D204" s="636"/>
      <c r="E204" s="505" t="s">
        <v>1697</v>
      </c>
      <c r="F204" s="506">
        <v>45142</v>
      </c>
    </row>
    <row r="205" spans="1:16" ht="15">
      <c r="A205" s="13" t="s">
        <v>292</v>
      </c>
      <c r="B205" s="27" t="s">
        <v>21</v>
      </c>
      <c r="C205" s="13" t="s">
        <v>33</v>
      </c>
      <c r="D205" s="13">
        <v>219</v>
      </c>
      <c r="E205" s="13"/>
      <c r="F205" s="13" t="s">
        <v>12</v>
      </c>
      <c r="G205" s="436">
        <v>3.60</v>
      </c>
      <c r="H205" s="440">
        <v>10</v>
      </c>
      <c r="I205" s="28">
        <v>2</v>
      </c>
      <c r="J205" s="441">
        <f t="shared" si="50" ref="J205:J206">H205/G205*I205</f>
        <v>5.5555555555555554</v>
      </c>
      <c r="K205" s="28">
        <v>1</v>
      </c>
      <c r="L205" s="267">
        <f t="shared" si="51" ref="L205:L206">J205*K205</f>
        <v>5.5555555555555554</v>
      </c>
      <c r="M205" s="433">
        <f t="shared" si="52" ref="M205:M206">L205*N205</f>
        <v>922.22222222222217</v>
      </c>
      <c r="N205" s="434">
        <v>166</v>
      </c>
      <c r="O205" s="435">
        <f t="shared" si="53" ref="O205:O206">J205/I205*K205</f>
        <v>2.7777777777777777</v>
      </c>
      <c r="P205" s="22"/>
    </row>
    <row r="206" spans="1:16" ht="15">
      <c r="A206" s="13" t="s">
        <v>292</v>
      </c>
      <c r="B206" s="27" t="s">
        <v>21</v>
      </c>
      <c r="C206" s="13" t="s">
        <v>33</v>
      </c>
      <c r="D206" s="13">
        <v>219</v>
      </c>
      <c r="E206" s="13"/>
      <c r="F206" s="13" t="s">
        <v>12</v>
      </c>
      <c r="G206" s="569">
        <f t="shared" si="54" ref="G206">3.6*2</f>
        <v>7.20</v>
      </c>
      <c r="H206" s="440">
        <v>10</v>
      </c>
      <c r="I206" s="28">
        <v>2</v>
      </c>
      <c r="J206" s="441">
        <f t="shared" si="50"/>
        <v>2.7777777777777777</v>
      </c>
      <c r="K206" s="28">
        <v>1</v>
      </c>
      <c r="L206" s="267">
        <f t="shared" si="51"/>
        <v>2.7777777777777777</v>
      </c>
      <c r="M206" s="433">
        <f t="shared" si="52"/>
        <v>461.11111111111109</v>
      </c>
      <c r="N206" s="434">
        <v>166</v>
      </c>
      <c r="O206" s="435">
        <f t="shared" si="53"/>
        <v>1.3888888888888888</v>
      </c>
      <c r="P206" s="22"/>
    </row>
  </sheetData>
  <autoFilter ref="A4:P155"/>
  <mergeCells count="58">
    <mergeCell ref="B188:D188"/>
    <mergeCell ref="B182:D182"/>
    <mergeCell ref="B183:D183"/>
    <mergeCell ref="A184:A185"/>
    <mergeCell ref="B184:B185"/>
    <mergeCell ref="B187:D187"/>
    <mergeCell ref="B173:D173"/>
    <mergeCell ref="B174:D174"/>
    <mergeCell ref="A171:A172"/>
    <mergeCell ref="B171:B172"/>
    <mergeCell ref="B168:D168"/>
    <mergeCell ref="B169:D169"/>
    <mergeCell ref="B73:K73"/>
    <mergeCell ref="B80:K80"/>
    <mergeCell ref="A52:A53"/>
    <mergeCell ref="B52:B53"/>
    <mergeCell ref="E52:E53"/>
    <mergeCell ref="A56:A57"/>
    <mergeCell ref="B56:B57"/>
    <mergeCell ref="A22:A24"/>
    <mergeCell ref="B22:B24"/>
    <mergeCell ref="B60:K60"/>
    <mergeCell ref="A61:A63"/>
    <mergeCell ref="B61:B63"/>
    <mergeCell ref="B5:K5"/>
    <mergeCell ref="B18:K18"/>
    <mergeCell ref="A20:A21"/>
    <mergeCell ref="B20:B21"/>
    <mergeCell ref="E20:E21"/>
    <mergeCell ref="B131:K131"/>
    <mergeCell ref="A91:A92"/>
    <mergeCell ref="B91:B92"/>
    <mergeCell ref="A104:A105"/>
    <mergeCell ref="B104:B105"/>
    <mergeCell ref="A106:A108"/>
    <mergeCell ref="B106:B108"/>
    <mergeCell ref="B84:K84"/>
    <mergeCell ref="A109:A110"/>
    <mergeCell ref="B109:B110"/>
    <mergeCell ref="E22:E24"/>
    <mergeCell ref="A50:A51"/>
    <mergeCell ref="B50:B51"/>
    <mergeCell ref="E50:E51"/>
    <mergeCell ref="A31:A32"/>
    <mergeCell ref="B31:B32"/>
    <mergeCell ref="E31:E32"/>
    <mergeCell ref="A33:A35"/>
    <mergeCell ref="B33:B35"/>
    <mergeCell ref="E33:E35"/>
    <mergeCell ref="A37:A38"/>
    <mergeCell ref="B37:B38"/>
    <mergeCell ref="B47:K47"/>
    <mergeCell ref="B203:D203"/>
    <mergeCell ref="B204:D204"/>
    <mergeCell ref="B199:D199"/>
    <mergeCell ref="B200:D200"/>
    <mergeCell ref="B191:D191"/>
    <mergeCell ref="B192:D192"/>
  </mergeCells>
  <pageMargins left="0.7" right="0.7" top="0.75" bottom="0.75" header="0.3" footer="0.3"/>
  <pageSetup orientation="portrait" paperSize="9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22"/>
  <sheetViews>
    <sheetView zoomScale="85" zoomScaleNormal="85" workbookViewId="0" topLeftCell="A1">
      <pane ySplit="4" topLeftCell="A28" activePane="bottomLeft" state="frozen"/>
      <selection pane="topLeft" activeCell="A1" sqref="A1"/>
      <selection pane="bottomLeft" activeCell="C38" sqref="A38:XFD39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5.285714285714285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44508</v>
      </c>
    </row>
    <row r="2" spans="2:9" ht="31.5">
      <c r="B2" s="492" t="s">
        <v>1042</v>
      </c>
      <c r="F2" s="429" t="s">
        <v>22</v>
      </c>
      <c r="G2" s="268">
        <f>1418/1000</f>
        <v>1.4179999999999999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SUM(M6:M18)</f>
        <v>573.40800000000013</v>
      </c>
      <c r="N5" s="263"/>
      <c r="O5" s="264">
        <f>SUM(O6:O18)</f>
        <v>3.258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8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18</v>
      </c>
      <c r="L6" s="465">
        <f t="shared" si="1" ref="L6:L18">J6*K6</f>
        <v>0.35099999999999998</v>
      </c>
      <c r="M6" s="466">
        <f t="shared" si="2" ref="M6:M18">L6*N6</f>
        <v>61.775999999999996</v>
      </c>
      <c r="N6" s="466">
        <v>176</v>
      </c>
      <c r="O6" s="456">
        <f t="shared" si="3" ref="O6:O18">J6/I6*K6</f>
        <v>0.35099999999999998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2</v>
      </c>
      <c r="L9" s="465">
        <f t="shared" si="1"/>
        <v>0.034333333333333334</v>
      </c>
      <c r="M9" s="466">
        <f t="shared" si="2"/>
        <v>6.0426666666666664</v>
      </c>
      <c r="N9" s="466">
        <v>176</v>
      </c>
      <c r="O9" s="456">
        <f t="shared" si="3"/>
        <v>0.034333333333333334</v>
      </c>
    </row>
    <row r="10" spans="1:15" s="457" customFormat="1" ht="15">
      <c r="A10" s="459" t="s">
        <v>839</v>
      </c>
      <c r="B10" s="494" t="s">
        <v>929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44.477390659747961</v>
      </c>
      <c r="H10" s="462">
        <v>10</v>
      </c>
      <c r="I10" s="463">
        <v>1</v>
      </c>
      <c r="J10" s="464">
        <f>13.49/60</f>
        <v>0.22483333333333333</v>
      </c>
      <c r="K10" s="461">
        <v>1</v>
      </c>
      <c r="L10" s="465">
        <f t="shared" si="1"/>
        <v>0.22483333333333333</v>
      </c>
      <c r="M10" s="466">
        <f t="shared" si="2"/>
        <v>39.570666666666668</v>
      </c>
      <c r="N10" s="466">
        <v>176</v>
      </c>
      <c r="O10" s="456">
        <f t="shared" si="3"/>
        <v>0.22483333333333333</v>
      </c>
    </row>
    <row r="11" spans="1:15" s="457" customFormat="1" ht="15">
      <c r="A11" s="459" t="s">
        <v>840</v>
      </c>
      <c r="B11" s="494" t="s">
        <v>930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550.45871559633019</v>
      </c>
      <c r="H11" s="462">
        <v>10</v>
      </c>
      <c r="I11" s="463">
        <v>1</v>
      </c>
      <c r="J11" s="464">
        <f>1.09/60</f>
        <v>0.018166666666666668</v>
      </c>
      <c r="K11" s="461">
        <v>1</v>
      </c>
      <c r="L11" s="465">
        <f t="shared" si="1"/>
        <v>0.018166666666666668</v>
      </c>
      <c r="M11" s="466">
        <f t="shared" si="2"/>
        <v>3.1973333333333334</v>
      </c>
      <c r="N11" s="466">
        <v>176</v>
      </c>
      <c r="O11" s="456">
        <f t="shared" si="3"/>
        <v>0.018166666666666668</v>
      </c>
    </row>
    <row r="12" spans="1:15" s="457" customFormat="1" ht="15">
      <c r="A12" s="459" t="s">
        <v>841</v>
      </c>
      <c r="B12" s="494" t="s">
        <v>931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419.58041958041963</v>
      </c>
      <c r="H12" s="462">
        <v>10</v>
      </c>
      <c r="I12" s="463">
        <v>1</v>
      </c>
      <c r="J12" s="464">
        <f>1.43/60</f>
        <v>0.023833333333333331</v>
      </c>
      <c r="K12" s="461">
        <v>6</v>
      </c>
      <c r="L12" s="465">
        <f t="shared" si="1"/>
        <v>0.14299999999999999</v>
      </c>
      <c r="M12" s="466">
        <f t="shared" si="2"/>
        <v>25.167999999999999</v>
      </c>
      <c r="N12" s="466">
        <v>176</v>
      </c>
      <c r="O12" s="456">
        <f t="shared" si="3"/>
        <v>0.14299999999999999</v>
      </c>
    </row>
    <row r="13" spans="1:15" s="457" customFormat="1" ht="15">
      <c r="A13" s="459" t="s">
        <v>842</v>
      </c>
      <c r="B13" s="494" t="s">
        <v>1043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322.58064516129036</v>
      </c>
      <c r="H13" s="462">
        <v>10</v>
      </c>
      <c r="I13" s="463">
        <v>1</v>
      </c>
      <c r="J13" s="464">
        <f>1.86/60</f>
        <v>0.030999999999999996</v>
      </c>
      <c r="K13" s="461">
        <v>1</v>
      </c>
      <c r="L13" s="465">
        <f t="shared" si="1"/>
        <v>0.030999999999999996</v>
      </c>
      <c r="M13" s="466">
        <f t="shared" si="2"/>
        <v>5.4559999999999995</v>
      </c>
      <c r="N13" s="466">
        <v>176</v>
      </c>
      <c r="O13" s="456">
        <f t="shared" si="3"/>
        <v>0.030999999999999996</v>
      </c>
    </row>
    <row r="14" spans="1:15" s="457" customFormat="1" ht="15">
      <c r="A14" s="459" t="s">
        <v>843</v>
      </c>
      <c r="B14" s="494" t="s">
        <v>856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257.51072961373387</v>
      </c>
      <c r="H14" s="462">
        <v>10</v>
      </c>
      <c r="I14" s="463">
        <v>1</v>
      </c>
      <c r="J14" s="464">
        <f>2.33/60</f>
        <v>0.038833333333333338</v>
      </c>
      <c r="K14" s="461">
        <v>48</v>
      </c>
      <c r="L14" s="465">
        <f t="shared" si="1"/>
        <v>1.8640000000000003</v>
      </c>
      <c r="M14" s="466">
        <f t="shared" si="2"/>
        <v>328.06400000000008</v>
      </c>
      <c r="N14" s="466">
        <v>176</v>
      </c>
      <c r="O14" s="456">
        <f t="shared" si="3"/>
        <v>1.8640000000000003</v>
      </c>
    </row>
    <row r="15" spans="1:15" s="457" customFormat="1" ht="15">
      <c r="A15" s="459" t="s">
        <v>844</v>
      </c>
      <c r="B15" s="494" t="s">
        <v>932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132.45033112582783</v>
      </c>
      <c r="H15" s="462">
        <v>10</v>
      </c>
      <c r="I15" s="463">
        <v>1</v>
      </c>
      <c r="J15" s="464">
        <f>4.53/60</f>
        <v>0.075499999999999998</v>
      </c>
      <c r="K15" s="461">
        <v>2</v>
      </c>
      <c r="L15" s="465">
        <f t="shared" si="1"/>
        <v>0.151</v>
      </c>
      <c r="M15" s="466">
        <f t="shared" si="2"/>
        <v>26.576000000000001</v>
      </c>
      <c r="N15" s="466">
        <v>176</v>
      </c>
      <c r="O15" s="456">
        <f t="shared" si="3"/>
        <v>0.151</v>
      </c>
    </row>
    <row r="16" spans="1:15" s="457" customFormat="1" ht="15">
      <c r="A16" s="459" t="s">
        <v>845</v>
      </c>
      <c r="B16" s="494" t="s">
        <v>854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631.57894736842115</v>
      </c>
      <c r="H16" s="462">
        <v>10</v>
      </c>
      <c r="I16" s="463">
        <v>1</v>
      </c>
      <c r="J16" s="464">
        <f>0.95/60</f>
        <v>0.015833333333333331</v>
      </c>
      <c r="K16" s="461">
        <v>8</v>
      </c>
      <c r="L16" s="465">
        <f t="shared" si="1"/>
        <v>0.12666666666666665</v>
      </c>
      <c r="M16" s="466">
        <f t="shared" si="2"/>
        <v>22.293333333333329</v>
      </c>
      <c r="N16" s="466">
        <v>176</v>
      </c>
      <c r="O16" s="456">
        <f t="shared" si="3"/>
        <v>0.12666666666666665</v>
      </c>
    </row>
    <row r="17" spans="1:15" s="457" customFormat="1" ht="15">
      <c r="A17" s="459" t="s">
        <v>846</v>
      </c>
      <c r="B17" s="494" t="s">
        <v>855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454.5454545454545</v>
      </c>
      <c r="H17" s="462">
        <v>10</v>
      </c>
      <c r="I17" s="463">
        <v>1</v>
      </c>
      <c r="J17" s="464">
        <f>1.32/60</f>
        <v>0.022000000000000002</v>
      </c>
      <c r="K17" s="461">
        <v>4</v>
      </c>
      <c r="L17" s="465">
        <f t="shared" si="1"/>
        <v>0.088000000000000009</v>
      </c>
      <c r="M17" s="466">
        <f t="shared" si="2"/>
        <v>15.488000000000001</v>
      </c>
      <c r="N17" s="466">
        <v>176</v>
      </c>
      <c r="O17" s="456">
        <f t="shared" si="3"/>
        <v>0.088000000000000009</v>
      </c>
    </row>
    <row r="18" spans="1:15" s="457" customFormat="1" ht="15">
      <c r="A18" s="459" t="s">
        <v>847</v>
      </c>
      <c r="B18" s="494" t="s">
        <v>861</v>
      </c>
      <c r="C18" s="460" t="s">
        <v>532</v>
      </c>
      <c r="D18" s="460" t="s">
        <v>1330</v>
      </c>
      <c r="E18" s="460"/>
      <c r="F18" s="460" t="s">
        <v>533</v>
      </c>
      <c r="G18" s="461">
        <f t="shared" si="0"/>
        <v>857.14285714285722</v>
      </c>
      <c r="H18" s="462">
        <v>10</v>
      </c>
      <c r="I18" s="463">
        <v>1</v>
      </c>
      <c r="J18" s="464">
        <f>0.7/60</f>
        <v>0.011666666666666665</v>
      </c>
      <c r="K18" s="461">
        <v>2</v>
      </c>
      <c r="L18" s="465">
        <f t="shared" si="1"/>
        <v>0.023333333333333331</v>
      </c>
      <c r="M18" s="466">
        <f t="shared" si="2"/>
        <v>4.1066666666666665</v>
      </c>
      <c r="N18" s="466">
        <v>176</v>
      </c>
      <c r="O18" s="456">
        <f t="shared" si="3"/>
        <v>0.023333333333333331</v>
      </c>
    </row>
    <row r="19" spans="1:15" ht="15">
      <c r="A19" s="39"/>
      <c r="B19" s="649" t="s">
        <v>130</v>
      </c>
      <c r="C19" s="649"/>
      <c r="D19" s="649"/>
      <c r="E19" s="649"/>
      <c r="F19" s="649"/>
      <c r="G19" s="649"/>
      <c r="H19" s="649"/>
      <c r="I19" s="649"/>
      <c r="J19" s="649"/>
      <c r="K19" s="649"/>
      <c r="L19" s="265"/>
      <c r="M19" s="262">
        <f>SUM(M20:M47)</f>
        <v>3704.7746788391114</v>
      </c>
      <c r="N19" s="430"/>
      <c r="O19" s="264">
        <f>SUM(O20:O47)</f>
        <v>16.293838407742594</v>
      </c>
    </row>
    <row r="20" spans="1:15" s="0" customFormat="1" ht="15">
      <c r="A20" s="57" t="s">
        <v>143</v>
      </c>
      <c r="B20" s="56" t="s">
        <v>144</v>
      </c>
      <c r="C20" s="13" t="s">
        <v>1044</v>
      </c>
      <c r="D20" s="13">
        <v>105</v>
      </c>
      <c r="E20" s="13"/>
      <c r="F20" s="17" t="s">
        <v>353</v>
      </c>
      <c r="G20" s="469">
        <v>18.20</v>
      </c>
      <c r="H20" s="252">
        <v>10</v>
      </c>
      <c r="I20" s="16">
        <v>1</v>
      </c>
      <c r="J20" s="253">
        <f>H20/G20*I20</f>
        <v>0.5494505494505495</v>
      </c>
      <c r="K20" s="52">
        <v>1</v>
      </c>
      <c r="L20" s="26">
        <f t="shared" si="4" ref="L20:L47">J20*K20</f>
        <v>0.5494505494505495</v>
      </c>
      <c r="M20" s="37">
        <f>L20*N20</f>
        <v>109.8901098901099</v>
      </c>
      <c r="N20" s="85">
        <v>200</v>
      </c>
      <c r="O20" s="8">
        <f>J20/I20*K20</f>
        <v>0.5494505494505495</v>
      </c>
    </row>
    <row r="21" spans="1:15" s="0" customFormat="1" ht="15">
      <c r="A21" s="642" t="s">
        <v>146</v>
      </c>
      <c r="B21" s="639" t="s">
        <v>411</v>
      </c>
      <c r="C21" s="13" t="s">
        <v>1045</v>
      </c>
      <c r="D21" s="460">
        <v>109</v>
      </c>
      <c r="E21" s="645" t="s">
        <v>911</v>
      </c>
      <c r="F21" s="17" t="s">
        <v>10</v>
      </c>
      <c r="G21" s="16">
        <v>40</v>
      </c>
      <c r="H21" s="252">
        <v>10</v>
      </c>
      <c r="I21" s="16">
        <v>1</v>
      </c>
      <c r="J21" s="253">
        <f t="shared" si="5" ref="J21:J47">H21/G21*I21</f>
        <v>0.25</v>
      </c>
      <c r="K21" s="260">
        <f>1302/1000+0.1</f>
        <v>1.4020000000000001</v>
      </c>
      <c r="L21" s="26">
        <f t="shared" si="4"/>
        <v>0.35050000000000003</v>
      </c>
      <c r="M21" s="43">
        <f t="shared" si="6" ref="M21:M47">L21*N21</f>
        <v>70.100000000000009</v>
      </c>
      <c r="N21" s="85">
        <v>200</v>
      </c>
      <c r="O21" s="8">
        <f t="shared" si="7" ref="O21:O47">J21/I21*K21</f>
        <v>0.35050000000000003</v>
      </c>
    </row>
    <row r="22" spans="1:15" s="0" customFormat="1" ht="15">
      <c r="A22" s="647"/>
      <c r="B22" s="641"/>
      <c r="C22" s="13" t="s">
        <v>1046</v>
      </c>
      <c r="D22" s="460">
        <v>109</v>
      </c>
      <c r="E22" s="647"/>
      <c r="F22" s="17" t="s">
        <v>10</v>
      </c>
      <c r="G22" s="16">
        <v>27</v>
      </c>
      <c r="H22" s="252">
        <v>10</v>
      </c>
      <c r="I22" s="16">
        <v>1</v>
      </c>
      <c r="J22" s="253">
        <f t="shared" si="5"/>
        <v>0.37037037037037035</v>
      </c>
      <c r="K22" s="260">
        <f>1302/1000+0.1</f>
        <v>1.4020000000000001</v>
      </c>
      <c r="L22" s="26">
        <f t="shared" si="4"/>
        <v>0.51925925925925931</v>
      </c>
      <c r="M22" s="43">
        <f t="shared" si="6"/>
        <v>103.85185185185186</v>
      </c>
      <c r="N22" s="85">
        <v>200</v>
      </c>
      <c r="O22" s="8">
        <f t="shared" si="7"/>
        <v>0.51925925925925931</v>
      </c>
    </row>
    <row r="23" spans="1:15" s="0" customFormat="1" ht="15">
      <c r="A23" s="650" t="s">
        <v>148</v>
      </c>
      <c r="B23" s="638" t="s">
        <v>412</v>
      </c>
      <c r="C23" s="13" t="s">
        <v>1047</v>
      </c>
      <c r="D23" s="13">
        <v>107</v>
      </c>
      <c r="E23" s="637" t="s">
        <v>43</v>
      </c>
      <c r="F23" s="17" t="s">
        <v>10</v>
      </c>
      <c r="G23" s="16">
        <v>40</v>
      </c>
      <c r="H23" s="252">
        <v>10</v>
      </c>
      <c r="I23" s="16">
        <v>1</v>
      </c>
      <c r="J23" s="253">
        <f t="shared" si="5"/>
        <v>0.25</v>
      </c>
      <c r="K23" s="30">
        <f>1302/1000+0.1</f>
        <v>1.4020000000000001</v>
      </c>
      <c r="L23" s="26">
        <f t="shared" si="4"/>
        <v>0.35050000000000003</v>
      </c>
      <c r="M23" s="37">
        <f t="shared" si="6"/>
        <v>70.100000000000009</v>
      </c>
      <c r="N23" s="85">
        <v>200</v>
      </c>
      <c r="O23" s="8">
        <f t="shared" si="7"/>
        <v>0.35050000000000003</v>
      </c>
    </row>
    <row r="24" spans="1:15" s="0" customFormat="1" ht="15">
      <c r="A24" s="650"/>
      <c r="B24" s="638"/>
      <c r="C24" s="13" t="s">
        <v>1048</v>
      </c>
      <c r="D24" s="13">
        <v>107</v>
      </c>
      <c r="E24" s="637"/>
      <c r="F24" s="17" t="s">
        <v>10</v>
      </c>
      <c r="G24" s="16">
        <v>25</v>
      </c>
      <c r="H24" s="252">
        <v>10</v>
      </c>
      <c r="I24" s="16">
        <v>1</v>
      </c>
      <c r="J24" s="253">
        <f t="shared" si="5"/>
        <v>0.40</v>
      </c>
      <c r="K24" s="30">
        <f>1302/1000</f>
        <v>1.302</v>
      </c>
      <c r="L24" s="26">
        <f t="shared" si="4"/>
        <v>0.52080000000000004</v>
      </c>
      <c r="M24" s="37">
        <f t="shared" si="6"/>
        <v>91.660800000000009</v>
      </c>
      <c r="N24" s="85">
        <v>176</v>
      </c>
      <c r="O24" s="8">
        <f t="shared" si="7"/>
        <v>0.52080000000000004</v>
      </c>
    </row>
    <row r="25" spans="1:15" s="0" customFormat="1" ht="15">
      <c r="A25" s="650"/>
      <c r="B25" s="638"/>
      <c r="C25" s="13" t="s">
        <v>1049</v>
      </c>
      <c r="D25" s="13">
        <v>107</v>
      </c>
      <c r="E25" s="637"/>
      <c r="F25" s="17" t="s">
        <v>10</v>
      </c>
      <c r="G25" s="16">
        <v>28.50</v>
      </c>
      <c r="H25" s="252">
        <v>10</v>
      </c>
      <c r="I25" s="16">
        <v>1</v>
      </c>
      <c r="J25" s="253">
        <f t="shared" si="5"/>
        <v>0.35087719298245612</v>
      </c>
      <c r="K25" s="30">
        <f>1302/1000+0.1</f>
        <v>1.4020000000000001</v>
      </c>
      <c r="L25" s="26">
        <f t="shared" si="4"/>
        <v>0.49192982456140355</v>
      </c>
      <c r="M25" s="37">
        <f t="shared" si="6"/>
        <v>98.385964912280713</v>
      </c>
      <c r="N25" s="85">
        <v>200</v>
      </c>
      <c r="O25" s="8">
        <f t="shared" si="7"/>
        <v>0.49192982456140355</v>
      </c>
    </row>
    <row r="26" spans="1:15" s="0" customFormat="1" ht="30">
      <c r="A26" s="57" t="s">
        <v>421</v>
      </c>
      <c r="B26" s="91" t="s">
        <v>149</v>
      </c>
      <c r="C26" s="13" t="s">
        <v>1044</v>
      </c>
      <c r="D26" s="13">
        <v>105</v>
      </c>
      <c r="E26" s="13"/>
      <c r="F26" s="17" t="s">
        <v>353</v>
      </c>
      <c r="G26" s="469">
        <f>18.2/0.65</f>
        <v>27.999999999999996</v>
      </c>
      <c r="H26" s="252">
        <v>10</v>
      </c>
      <c r="I26" s="16">
        <v>1</v>
      </c>
      <c r="J26" s="253">
        <f t="shared" si="5"/>
        <v>0.35714285714285721</v>
      </c>
      <c r="K26" s="52">
        <v>1</v>
      </c>
      <c r="L26" s="26">
        <f t="shared" si="4"/>
        <v>0.35714285714285721</v>
      </c>
      <c r="M26" s="37">
        <f t="shared" si="6"/>
        <v>71.428571428571445</v>
      </c>
      <c r="N26" s="43">
        <v>200</v>
      </c>
      <c r="O26" s="8">
        <f t="shared" si="7"/>
        <v>0.35714285714285721</v>
      </c>
    </row>
    <row r="27" spans="1:15" s="0" customFormat="1" ht="30">
      <c r="A27" s="529" t="s">
        <v>1662</v>
      </c>
      <c r="B27" s="522" t="s">
        <v>1661</v>
      </c>
      <c r="C27" s="523" t="s">
        <v>9</v>
      </c>
      <c r="D27" s="523">
        <v>109</v>
      </c>
      <c r="E27" s="523"/>
      <c r="F27" s="524" t="s">
        <v>10</v>
      </c>
      <c r="G27" s="525">
        <v>33</v>
      </c>
      <c r="H27" s="526">
        <v>10</v>
      </c>
      <c r="I27" s="527">
        <v>1</v>
      </c>
      <c r="J27" s="528">
        <f t="shared" si="5"/>
        <v>0.30303030303030304</v>
      </c>
      <c r="K27" s="525">
        <f>(350*2)/1000</f>
        <v>0.70</v>
      </c>
      <c r="L27" s="267">
        <f t="shared" si="4"/>
        <v>0.21212121212121213</v>
      </c>
      <c r="M27" s="266">
        <f t="shared" si="6"/>
        <v>32.242424242424242</v>
      </c>
      <c r="N27" s="433">
        <v>152</v>
      </c>
      <c r="O27" s="267">
        <f t="shared" si="7"/>
        <v>0.21212121212121213</v>
      </c>
    </row>
    <row r="28" spans="1:15" ht="15">
      <c r="A28" s="57" t="s">
        <v>152</v>
      </c>
      <c r="B28" s="56" t="s">
        <v>153</v>
      </c>
      <c r="C28" s="13" t="s">
        <v>154</v>
      </c>
      <c r="D28" s="13">
        <v>124</v>
      </c>
      <c r="E28" s="13"/>
      <c r="F28" s="13" t="s">
        <v>354</v>
      </c>
      <c r="G28" s="442">
        <v>13.10</v>
      </c>
      <c r="H28" s="440">
        <v>10</v>
      </c>
      <c r="I28" s="28">
        <v>1</v>
      </c>
      <c r="J28" s="441">
        <f t="shared" si="5"/>
        <v>0.76335877862595425</v>
      </c>
      <c r="K28" s="432">
        <v>1</v>
      </c>
      <c r="L28" s="267">
        <f t="shared" si="4"/>
        <v>0.76335877862595425</v>
      </c>
      <c r="M28" s="433">
        <f t="shared" si="6"/>
        <v>152.67175572519085</v>
      </c>
      <c r="N28" s="434">
        <v>200</v>
      </c>
      <c r="O28" s="435">
        <f t="shared" si="7"/>
        <v>0.76335877862595425</v>
      </c>
    </row>
    <row r="29" spans="1:15" ht="30">
      <c r="A29" s="57" t="s">
        <v>155</v>
      </c>
      <c r="B29" s="56" t="s">
        <v>156</v>
      </c>
      <c r="C29" s="13" t="s">
        <v>157</v>
      </c>
      <c r="D29" s="13" t="s">
        <v>1329</v>
      </c>
      <c r="E29" s="13"/>
      <c r="F29" s="13" t="s">
        <v>354</v>
      </c>
      <c r="G29" s="442">
        <v>5.63</v>
      </c>
      <c r="H29" s="440">
        <v>10</v>
      </c>
      <c r="I29" s="28">
        <v>1</v>
      </c>
      <c r="J29" s="441">
        <f t="shared" si="5"/>
        <v>1.7761989342806395</v>
      </c>
      <c r="K29" s="432">
        <v>1</v>
      </c>
      <c r="L29" s="267">
        <f t="shared" si="4"/>
        <v>1.7761989342806395</v>
      </c>
      <c r="M29" s="433">
        <f t="shared" si="6"/>
        <v>355.23978685612792</v>
      </c>
      <c r="N29" s="434">
        <v>200</v>
      </c>
      <c r="O29" s="435">
        <f t="shared" si="7"/>
        <v>1.7761989342806395</v>
      </c>
    </row>
    <row r="30" spans="1:15" ht="30">
      <c r="A30" s="57" t="s">
        <v>158</v>
      </c>
      <c r="B30" s="56" t="s">
        <v>159</v>
      </c>
      <c r="C30" s="13" t="s">
        <v>160</v>
      </c>
      <c r="D30" s="13" t="s">
        <v>1331</v>
      </c>
      <c r="E30" s="13" t="s">
        <v>161</v>
      </c>
      <c r="F30" s="13" t="s">
        <v>10</v>
      </c>
      <c r="G30" s="439">
        <v>15.40</v>
      </c>
      <c r="H30" s="440">
        <v>10</v>
      </c>
      <c r="I30" s="28">
        <v>1</v>
      </c>
      <c r="J30" s="441">
        <f t="shared" si="5"/>
        <v>0.64935064935064934</v>
      </c>
      <c r="K30" s="436">
        <f>(61/1000)*3.1415*4</f>
        <v>0.76652600000000004</v>
      </c>
      <c r="L30" s="435">
        <f t="shared" si="4"/>
        <v>0.49774415584415588</v>
      </c>
      <c r="M30" s="266">
        <f t="shared" si="6"/>
        <v>99.548831168831171</v>
      </c>
      <c r="N30" s="433">
        <v>200</v>
      </c>
      <c r="O30" s="435">
        <f t="shared" si="7"/>
        <v>0.49774415584415588</v>
      </c>
    </row>
    <row r="31" spans="1:15" ht="15">
      <c r="A31" s="57" t="s">
        <v>427</v>
      </c>
      <c r="B31" s="56" t="s">
        <v>428</v>
      </c>
      <c r="C31" s="13" t="s">
        <v>24</v>
      </c>
      <c r="D31" s="13">
        <v>110</v>
      </c>
      <c r="E31" s="13"/>
      <c r="F31" s="4" t="s">
        <v>38</v>
      </c>
      <c r="G31" s="442">
        <v>13.08</v>
      </c>
      <c r="H31" s="440">
        <v>10</v>
      </c>
      <c r="I31" s="28">
        <v>2</v>
      </c>
      <c r="J31" s="441">
        <f t="shared" si="5"/>
        <v>1.5290519877675841</v>
      </c>
      <c r="K31" s="28">
        <v>1</v>
      </c>
      <c r="L31" s="267">
        <f t="shared" si="4"/>
        <v>1.5290519877675841</v>
      </c>
      <c r="M31" s="433">
        <f t="shared" si="6"/>
        <v>305.81039755351685</v>
      </c>
      <c r="N31" s="434">
        <v>200</v>
      </c>
      <c r="O31" s="435">
        <f t="shared" si="7"/>
        <v>0.76452599388379205</v>
      </c>
    </row>
    <row r="32" spans="1:15" ht="15">
      <c r="A32" s="637" t="s">
        <v>162</v>
      </c>
      <c r="B32" s="638" t="s">
        <v>429</v>
      </c>
      <c r="C32" s="13" t="s">
        <v>160</v>
      </c>
      <c r="D32" s="13">
        <v>109</v>
      </c>
      <c r="E32" s="645" t="s">
        <v>911</v>
      </c>
      <c r="F32" s="13" t="s">
        <v>10</v>
      </c>
      <c r="G32" s="28">
        <v>40</v>
      </c>
      <c r="H32" s="440">
        <v>10</v>
      </c>
      <c r="I32" s="28">
        <v>1</v>
      </c>
      <c r="J32" s="441">
        <f t="shared" si="5"/>
        <v>0.25</v>
      </c>
      <c r="K32" s="436">
        <f>630/1000*3.1415</f>
        <v>1.9791450000000002</v>
      </c>
      <c r="L32" s="267">
        <f t="shared" si="4"/>
        <v>0.49478625000000004</v>
      </c>
      <c r="M32" s="433">
        <f t="shared" si="6"/>
        <v>98.957250000000002</v>
      </c>
      <c r="N32" s="434">
        <v>200</v>
      </c>
      <c r="O32" s="435">
        <f t="shared" si="7"/>
        <v>0.49478625000000004</v>
      </c>
    </row>
    <row r="33" spans="1:15" ht="15">
      <c r="A33" s="637"/>
      <c r="B33" s="638"/>
      <c r="C33" s="13" t="s">
        <v>9</v>
      </c>
      <c r="D33" s="13">
        <v>109</v>
      </c>
      <c r="E33" s="647"/>
      <c r="F33" s="13" t="s">
        <v>10</v>
      </c>
      <c r="G33" s="28">
        <v>27</v>
      </c>
      <c r="H33" s="440">
        <v>10</v>
      </c>
      <c r="I33" s="28">
        <v>1</v>
      </c>
      <c r="J33" s="441">
        <f t="shared" si="5"/>
        <v>0.37037037037037035</v>
      </c>
      <c r="K33" s="436">
        <f>630/1000*3.1415</f>
        <v>1.9791450000000002</v>
      </c>
      <c r="L33" s="267">
        <f t="shared" si="4"/>
        <v>0.73301666666666665</v>
      </c>
      <c r="M33" s="433">
        <f t="shared" si="6"/>
        <v>146.60333333333332</v>
      </c>
      <c r="N33" s="434">
        <v>200</v>
      </c>
      <c r="O33" s="435">
        <f t="shared" si="7"/>
        <v>0.73301666666666665</v>
      </c>
    </row>
    <row r="34" spans="1:15" ht="15">
      <c r="A34" s="642" t="s">
        <v>430</v>
      </c>
      <c r="B34" s="639" t="s">
        <v>431</v>
      </c>
      <c r="C34" s="13" t="s">
        <v>160</v>
      </c>
      <c r="D34" s="54">
        <v>107</v>
      </c>
      <c r="E34" s="645" t="s">
        <v>43</v>
      </c>
      <c r="F34" s="13" t="s">
        <v>10</v>
      </c>
      <c r="G34" s="28">
        <v>40</v>
      </c>
      <c r="H34" s="440">
        <v>10</v>
      </c>
      <c r="I34" s="28">
        <v>1</v>
      </c>
      <c r="J34" s="441">
        <f t="shared" si="5"/>
        <v>0.25</v>
      </c>
      <c r="K34" s="436">
        <f>630/1000*3.1415</f>
        <v>1.9791450000000002</v>
      </c>
      <c r="L34" s="267">
        <f t="shared" si="4"/>
        <v>0.49478625000000004</v>
      </c>
      <c r="M34" s="433">
        <f t="shared" si="6"/>
        <v>98.957250000000002</v>
      </c>
      <c r="N34" s="434">
        <v>200</v>
      </c>
      <c r="O34" s="435">
        <f t="shared" si="7"/>
        <v>0.49478625000000004</v>
      </c>
    </row>
    <row r="35" spans="1:15" ht="15">
      <c r="A35" s="643"/>
      <c r="B35" s="640"/>
      <c r="C35" s="13" t="s">
        <v>511</v>
      </c>
      <c r="D35" s="274">
        <v>107</v>
      </c>
      <c r="E35" s="646"/>
      <c r="F35" s="13" t="s">
        <v>10</v>
      </c>
      <c r="G35" s="28">
        <v>25</v>
      </c>
      <c r="H35" s="440">
        <v>10</v>
      </c>
      <c r="I35" s="28">
        <v>1</v>
      </c>
      <c r="J35" s="453">
        <f t="shared" si="5"/>
        <v>0.40</v>
      </c>
      <c r="K35" s="436">
        <f>630*3.1415/1000</f>
        <v>1.9791450000000002</v>
      </c>
      <c r="L35" s="267">
        <f t="shared" si="4"/>
        <v>0.79165800000000008</v>
      </c>
      <c r="M35" s="433">
        <f t="shared" si="6"/>
        <v>139.33180800000002</v>
      </c>
      <c r="N35" s="434">
        <v>176</v>
      </c>
      <c r="O35" s="435">
        <f t="shared" si="7"/>
        <v>0.79165800000000008</v>
      </c>
    </row>
    <row r="36" spans="1:15" ht="15">
      <c r="A36" s="644"/>
      <c r="B36" s="641"/>
      <c r="C36" s="13" t="s">
        <v>313</v>
      </c>
      <c r="D36" s="90">
        <v>107</v>
      </c>
      <c r="E36" s="647"/>
      <c r="F36" s="13" t="s">
        <v>10</v>
      </c>
      <c r="G36" s="28">
        <v>28.50</v>
      </c>
      <c r="H36" s="440">
        <v>10</v>
      </c>
      <c r="I36" s="28">
        <v>1</v>
      </c>
      <c r="J36" s="453">
        <f t="shared" si="5"/>
        <v>0.35087719298245612</v>
      </c>
      <c r="K36" s="436">
        <f>630*3.1415/1000</f>
        <v>1.9791450000000002</v>
      </c>
      <c r="L36" s="267">
        <f t="shared" si="4"/>
        <v>0.69443684210526313</v>
      </c>
      <c r="M36" s="433">
        <f t="shared" si="6"/>
        <v>138.88736842105263</v>
      </c>
      <c r="N36" s="434">
        <v>200</v>
      </c>
      <c r="O36" s="435">
        <f t="shared" si="7"/>
        <v>0.69443684210526313</v>
      </c>
    </row>
    <row r="37" spans="1:15" ht="15">
      <c r="A37" s="57" t="s">
        <v>629</v>
      </c>
      <c r="B37" s="56" t="s">
        <v>1050</v>
      </c>
      <c r="C37" s="13" t="s">
        <v>862</v>
      </c>
      <c r="D37" s="13">
        <v>224</v>
      </c>
      <c r="E37" s="13"/>
      <c r="F37" s="17"/>
      <c r="G37" s="28">
        <f>(600-25)/10</f>
        <v>57.50</v>
      </c>
      <c r="H37" s="440">
        <v>10</v>
      </c>
      <c r="I37" s="28">
        <v>2</v>
      </c>
      <c r="J37" s="441">
        <f t="shared" si="5"/>
        <v>0.34782608695652173</v>
      </c>
      <c r="K37" s="28">
        <v>1</v>
      </c>
      <c r="L37" s="267">
        <f t="shared" si="4"/>
        <v>0.34782608695652173</v>
      </c>
      <c r="M37" s="433">
        <f t="shared" si="6"/>
        <v>69.565217391304344</v>
      </c>
      <c r="N37" s="434">
        <v>200</v>
      </c>
      <c r="O37" s="435">
        <f t="shared" si="7"/>
        <v>0.17391304347826086</v>
      </c>
    </row>
    <row r="38" spans="1:15" ht="15">
      <c r="A38" s="637" t="s">
        <v>314</v>
      </c>
      <c r="B38" s="638" t="s">
        <v>107</v>
      </c>
      <c r="C38" s="13" t="s">
        <v>24</v>
      </c>
      <c r="D38" s="13">
        <v>110</v>
      </c>
      <c r="E38" s="13"/>
      <c r="F38" s="4" t="s">
        <v>40</v>
      </c>
      <c r="G38" s="442">
        <v>20</v>
      </c>
      <c r="H38" s="440">
        <v>10</v>
      </c>
      <c r="I38" s="28">
        <v>2</v>
      </c>
      <c r="J38" s="441">
        <f t="shared" si="5"/>
        <v>1</v>
      </c>
      <c r="K38" s="28">
        <v>1</v>
      </c>
      <c r="L38" s="267">
        <f t="shared" si="4"/>
        <v>1</v>
      </c>
      <c r="M38" s="433">
        <f t="shared" si="6"/>
        <v>200</v>
      </c>
      <c r="N38" s="434">
        <v>200</v>
      </c>
      <c r="O38" s="435">
        <f t="shared" si="7"/>
        <v>0.50</v>
      </c>
    </row>
    <row r="39" spans="1:15" ht="15">
      <c r="A39" s="637"/>
      <c r="B39" s="638"/>
      <c r="C39" s="13" t="s">
        <v>25</v>
      </c>
      <c r="D39" s="13">
        <v>110</v>
      </c>
      <c r="E39" s="13" t="s">
        <v>41</v>
      </c>
      <c r="F39" s="13" t="s">
        <v>10</v>
      </c>
      <c r="G39" s="28">
        <v>40</v>
      </c>
      <c r="H39" s="440">
        <v>10</v>
      </c>
      <c r="I39" s="28">
        <v>1</v>
      </c>
      <c r="J39" s="441">
        <f t="shared" si="5"/>
        <v>0.25</v>
      </c>
      <c r="K39" s="436">
        <f>630/1000*3.1415*2</f>
        <v>3.9582900000000003</v>
      </c>
      <c r="L39" s="267">
        <f t="shared" si="4"/>
        <v>0.98957250000000008</v>
      </c>
      <c r="M39" s="433">
        <f t="shared" si="6"/>
        <v>197.9145</v>
      </c>
      <c r="N39" s="434">
        <v>200</v>
      </c>
      <c r="O39" s="435">
        <f t="shared" si="7"/>
        <v>0.98957250000000008</v>
      </c>
    </row>
    <row r="40" spans="1:15" ht="15">
      <c r="A40" s="57" t="s">
        <v>1285</v>
      </c>
      <c r="B40" s="56" t="s">
        <v>1376</v>
      </c>
      <c r="C40" s="13" t="s">
        <v>1316</v>
      </c>
      <c r="D40" s="13">
        <v>105</v>
      </c>
      <c r="E40" s="13"/>
      <c r="F40" s="13" t="s">
        <v>353</v>
      </c>
      <c r="G40" s="436">
        <v>20</v>
      </c>
      <c r="H40" s="440">
        <v>10</v>
      </c>
      <c r="I40" s="28">
        <v>1</v>
      </c>
      <c r="J40" s="441">
        <f t="shared" si="5"/>
        <v>0.50</v>
      </c>
      <c r="K40" s="432">
        <v>1</v>
      </c>
      <c r="L40" s="435">
        <f t="shared" si="4"/>
        <v>0.50</v>
      </c>
      <c r="M40" s="266">
        <f t="shared" si="6"/>
        <v>100</v>
      </c>
      <c r="N40" s="433">
        <v>200</v>
      </c>
      <c r="O40" s="435">
        <f t="shared" si="7"/>
        <v>0.50</v>
      </c>
    </row>
    <row r="41" spans="1:15" ht="15">
      <c r="A41" s="57" t="s">
        <v>648</v>
      </c>
      <c r="B41" s="499" t="s">
        <v>1377</v>
      </c>
      <c r="C41" s="13" t="s">
        <v>1317</v>
      </c>
      <c r="D41" s="13">
        <v>108</v>
      </c>
      <c r="E41" s="13"/>
      <c r="F41" s="13" t="s">
        <v>10</v>
      </c>
      <c r="G41" s="28">
        <v>40</v>
      </c>
      <c r="H41" s="440">
        <v>10</v>
      </c>
      <c r="I41" s="28">
        <v>1</v>
      </c>
      <c r="J41" s="453">
        <f t="shared" si="5"/>
        <v>0.25</v>
      </c>
      <c r="K41" s="436">
        <f>178*2/1000</f>
        <v>0.35599999999999998</v>
      </c>
      <c r="L41" s="267">
        <f t="shared" si="4"/>
        <v>0.088999999999999996</v>
      </c>
      <c r="M41" s="433">
        <f t="shared" si="6"/>
        <v>17.80</v>
      </c>
      <c r="N41" s="434">
        <v>200</v>
      </c>
      <c r="O41" s="435">
        <f t="shared" si="7"/>
        <v>0.088999999999999996</v>
      </c>
    </row>
    <row r="42" spans="1:15" ht="15">
      <c r="A42" s="57" t="s">
        <v>1288</v>
      </c>
      <c r="B42" s="56" t="s">
        <v>1378</v>
      </c>
      <c r="C42" s="13" t="s">
        <v>1316</v>
      </c>
      <c r="D42" s="13">
        <v>105</v>
      </c>
      <c r="E42" s="13"/>
      <c r="F42" s="13" t="s">
        <v>353</v>
      </c>
      <c r="G42" s="436">
        <f>20/0.65</f>
        <v>30.769230769230766</v>
      </c>
      <c r="H42" s="440">
        <v>10</v>
      </c>
      <c r="I42" s="28">
        <v>1</v>
      </c>
      <c r="J42" s="441">
        <f t="shared" si="5"/>
        <v>0.325</v>
      </c>
      <c r="K42" s="432">
        <v>1</v>
      </c>
      <c r="L42" s="435">
        <f t="shared" si="4"/>
        <v>0.325</v>
      </c>
      <c r="M42" s="266">
        <f t="shared" si="6"/>
        <v>65</v>
      </c>
      <c r="N42" s="433">
        <v>200</v>
      </c>
      <c r="O42" s="435">
        <f t="shared" si="7"/>
        <v>0.325</v>
      </c>
    </row>
    <row r="43" spans="1:15" ht="15">
      <c r="A43" s="57" t="s">
        <v>176</v>
      </c>
      <c r="B43" s="56" t="s">
        <v>1475</v>
      </c>
      <c r="C43" s="13" t="s">
        <v>154</v>
      </c>
      <c r="D43" s="13">
        <v>124</v>
      </c>
      <c r="E43" s="13"/>
      <c r="F43" s="13" t="s">
        <v>354</v>
      </c>
      <c r="G43" s="442">
        <v>15.50</v>
      </c>
      <c r="H43" s="440">
        <v>10</v>
      </c>
      <c r="I43" s="28">
        <v>1</v>
      </c>
      <c r="J43" s="441">
        <f t="shared" si="5"/>
        <v>0.64516129032258063</v>
      </c>
      <c r="K43" s="432">
        <v>1</v>
      </c>
      <c r="L43" s="267">
        <f t="shared" si="4"/>
        <v>0.64516129032258063</v>
      </c>
      <c r="M43" s="433">
        <f t="shared" si="6"/>
        <v>129.03225806451613</v>
      </c>
      <c r="N43" s="434">
        <v>200</v>
      </c>
      <c r="O43" s="435">
        <f t="shared" si="7"/>
        <v>0.64516129032258063</v>
      </c>
    </row>
    <row r="44" spans="1:15" ht="30">
      <c r="A44" s="57" t="s">
        <v>1289</v>
      </c>
      <c r="B44" s="56" t="s">
        <v>1476</v>
      </c>
      <c r="C44" s="13" t="s">
        <v>24</v>
      </c>
      <c r="D44" s="13">
        <v>117</v>
      </c>
      <c r="E44" s="13"/>
      <c r="F44" s="4" t="s">
        <v>38</v>
      </c>
      <c r="G44" s="442">
        <v>20</v>
      </c>
      <c r="H44" s="440">
        <v>10</v>
      </c>
      <c r="I44" s="28">
        <v>2</v>
      </c>
      <c r="J44" s="441">
        <f t="shared" si="5"/>
        <v>1</v>
      </c>
      <c r="K44" s="28">
        <v>1</v>
      </c>
      <c r="L44" s="267">
        <f t="shared" si="4"/>
        <v>1</v>
      </c>
      <c r="M44" s="433">
        <f t="shared" si="6"/>
        <v>200</v>
      </c>
      <c r="N44" s="434">
        <v>200</v>
      </c>
      <c r="O44" s="435">
        <f t="shared" si="7"/>
        <v>0.50</v>
      </c>
    </row>
    <row r="45" spans="1:15" ht="30">
      <c r="A45" s="13" t="s">
        <v>1290</v>
      </c>
      <c r="B45" s="56" t="s">
        <v>1477</v>
      </c>
      <c r="C45" s="13" t="s">
        <v>160</v>
      </c>
      <c r="D45" s="13">
        <v>117</v>
      </c>
      <c r="E45" s="13" t="s">
        <v>869</v>
      </c>
      <c r="F45" s="13" t="s">
        <v>10</v>
      </c>
      <c r="G45" s="28">
        <v>40</v>
      </c>
      <c r="H45" s="440">
        <v>10</v>
      </c>
      <c r="I45" s="28">
        <v>1</v>
      </c>
      <c r="J45" s="441">
        <f t="shared" si="5"/>
        <v>0.25</v>
      </c>
      <c r="K45" s="436">
        <f>544*3.1415*2/1000</f>
        <v>3.4179520000000001</v>
      </c>
      <c r="L45" s="267">
        <f t="shared" si="4"/>
        <v>0.85448800000000003</v>
      </c>
      <c r="M45" s="433">
        <f t="shared" si="6"/>
        <v>170.89760000000001</v>
      </c>
      <c r="N45" s="434">
        <v>200</v>
      </c>
      <c r="O45" s="435">
        <f t="shared" si="7"/>
        <v>0.85448800000000003</v>
      </c>
    </row>
    <row r="46" spans="1:15" ht="30">
      <c r="A46" s="57" t="s">
        <v>1291</v>
      </c>
      <c r="B46" s="56" t="s">
        <v>1379</v>
      </c>
      <c r="C46" s="13" t="s">
        <v>24</v>
      </c>
      <c r="D46" s="13">
        <v>110</v>
      </c>
      <c r="E46" s="13"/>
      <c r="F46" s="4" t="s">
        <v>38</v>
      </c>
      <c r="G46" s="442">
        <v>20</v>
      </c>
      <c r="H46" s="440">
        <v>10</v>
      </c>
      <c r="I46" s="28">
        <v>2</v>
      </c>
      <c r="J46" s="441">
        <f t="shared" si="5"/>
        <v>1</v>
      </c>
      <c r="K46" s="28">
        <v>1</v>
      </c>
      <c r="L46" s="267">
        <f t="shared" si="4"/>
        <v>1</v>
      </c>
      <c r="M46" s="433">
        <f t="shared" si="6"/>
        <v>200</v>
      </c>
      <c r="N46" s="434">
        <v>200</v>
      </c>
      <c r="O46" s="435">
        <f t="shared" si="7"/>
        <v>0.50</v>
      </c>
    </row>
    <row r="47" spans="1:15" ht="30">
      <c r="A47" s="13" t="s">
        <v>177</v>
      </c>
      <c r="B47" s="56" t="s">
        <v>1380</v>
      </c>
      <c r="C47" s="13" t="s">
        <v>160</v>
      </c>
      <c r="D47" s="13">
        <v>110</v>
      </c>
      <c r="E47" s="13" t="s">
        <v>869</v>
      </c>
      <c r="F47" s="13" t="s">
        <v>10</v>
      </c>
      <c r="G47" s="28">
        <v>40</v>
      </c>
      <c r="H47" s="440">
        <v>10</v>
      </c>
      <c r="I47" s="28">
        <v>1</v>
      </c>
      <c r="J47" s="441">
        <f t="shared" si="5"/>
        <v>0.25</v>
      </c>
      <c r="K47" s="436">
        <f>544*3.1415*2/1000</f>
        <v>3.4179520000000001</v>
      </c>
      <c r="L47" s="267">
        <f t="shared" si="4"/>
        <v>0.85448800000000003</v>
      </c>
      <c r="M47" s="433">
        <f t="shared" si="6"/>
        <v>170.89760000000001</v>
      </c>
      <c r="N47" s="434">
        <v>200</v>
      </c>
      <c r="O47" s="435">
        <f t="shared" si="7"/>
        <v>0.85448800000000003</v>
      </c>
    </row>
    <row r="48" spans="1:15" ht="15">
      <c r="A48" s="39"/>
      <c r="B48" s="649" t="s">
        <v>131</v>
      </c>
      <c r="C48" s="649"/>
      <c r="D48" s="649"/>
      <c r="E48" s="649"/>
      <c r="F48" s="649"/>
      <c r="G48" s="649"/>
      <c r="H48" s="649"/>
      <c r="I48" s="649"/>
      <c r="J48" s="649"/>
      <c r="K48" s="649"/>
      <c r="L48" s="267"/>
      <c r="M48" s="262">
        <f>SUM(M49:M66)</f>
        <v>3241.6487269012646</v>
      </c>
      <c r="N48" s="263"/>
      <c r="O48" s="264">
        <f>SUM(O49:O66)</f>
        <v>13.216079924361397</v>
      </c>
    </row>
    <row r="49" spans="1:15" ht="15">
      <c r="A49" s="642" t="s">
        <v>651</v>
      </c>
      <c r="B49" s="639" t="s">
        <v>1051</v>
      </c>
      <c r="C49" s="13" t="s">
        <v>1052</v>
      </c>
      <c r="D49" s="13">
        <v>106</v>
      </c>
      <c r="E49" s="13"/>
      <c r="F49" s="13" t="s">
        <v>1053</v>
      </c>
      <c r="G49" s="442">
        <v>20</v>
      </c>
      <c r="H49" s="437">
        <v>10</v>
      </c>
      <c r="I49" s="28">
        <v>2</v>
      </c>
      <c r="J49" s="468">
        <f t="shared" si="8" ref="J49:J66">H49/G49*I49</f>
        <v>1</v>
      </c>
      <c r="K49" s="442">
        <v>1</v>
      </c>
      <c r="L49" s="267">
        <f t="shared" si="9" ref="L49:L66">J49*K49</f>
        <v>1</v>
      </c>
      <c r="M49" s="474">
        <f t="shared" si="10" ref="M49:M66">L49*N49</f>
        <v>200</v>
      </c>
      <c r="N49" s="475">
        <v>200</v>
      </c>
      <c r="O49" s="267">
        <f t="shared" si="11" ref="O49:O66">J49/I49*K49</f>
        <v>0.50</v>
      </c>
    </row>
    <row r="50" spans="1:15" ht="15">
      <c r="A50" s="643"/>
      <c r="B50" s="640"/>
      <c r="C50" s="13" t="s">
        <v>1054</v>
      </c>
      <c r="D50" s="13">
        <v>106</v>
      </c>
      <c r="E50" s="13"/>
      <c r="F50" s="13" t="s">
        <v>10</v>
      </c>
      <c r="G50" s="442">
        <v>40</v>
      </c>
      <c r="H50" s="437">
        <v>10</v>
      </c>
      <c r="I50" s="28">
        <v>1</v>
      </c>
      <c r="J50" s="468">
        <f t="shared" si="8"/>
        <v>0.25</v>
      </c>
      <c r="K50" s="442">
        <f>(1546)/1000</f>
        <v>1.546</v>
      </c>
      <c r="L50" s="267">
        <f t="shared" si="9"/>
        <v>0.38650000000000001</v>
      </c>
      <c r="M50" s="266">
        <f t="shared" si="10"/>
        <v>77.30</v>
      </c>
      <c r="N50" s="433">
        <v>200</v>
      </c>
      <c r="O50" s="267">
        <f t="shared" si="11"/>
        <v>0.38650000000000001</v>
      </c>
    </row>
    <row r="51" spans="1:15" ht="15">
      <c r="A51" s="643"/>
      <c r="B51" s="640"/>
      <c r="C51" s="13" t="s">
        <v>1055</v>
      </c>
      <c r="D51" s="13">
        <v>106</v>
      </c>
      <c r="E51" s="13" t="s">
        <v>44</v>
      </c>
      <c r="F51" s="13" t="s">
        <v>10</v>
      </c>
      <c r="G51" s="442">
        <v>27</v>
      </c>
      <c r="H51" s="437">
        <v>10</v>
      </c>
      <c r="I51" s="28">
        <v>1</v>
      </c>
      <c r="J51" s="468">
        <f t="shared" si="8"/>
        <v>0.37037037037037035</v>
      </c>
      <c r="K51" s="442">
        <f>(1546*2)/1000+0.2</f>
        <v>3.2920000000000003</v>
      </c>
      <c r="L51" s="267">
        <f t="shared" si="9"/>
        <v>1.2192592592592593</v>
      </c>
      <c r="M51" s="266">
        <f t="shared" si="10"/>
        <v>243.85185185185185</v>
      </c>
      <c r="N51" s="433">
        <v>200</v>
      </c>
      <c r="O51" s="267">
        <f t="shared" si="11"/>
        <v>1.2192592592592593</v>
      </c>
    </row>
    <row r="52" spans="1:15" ht="15">
      <c r="A52" s="643"/>
      <c r="B52" s="640"/>
      <c r="C52" s="13" t="s">
        <v>1052</v>
      </c>
      <c r="D52" s="13">
        <v>106</v>
      </c>
      <c r="E52" s="13"/>
      <c r="F52" s="13" t="s">
        <v>1053</v>
      </c>
      <c r="G52" s="442">
        <v>20</v>
      </c>
      <c r="H52" s="437">
        <v>10</v>
      </c>
      <c r="I52" s="28">
        <v>2</v>
      </c>
      <c r="J52" s="468">
        <f t="shared" si="8"/>
        <v>1</v>
      </c>
      <c r="K52" s="442">
        <v>1</v>
      </c>
      <c r="L52" s="267">
        <f t="shared" si="9"/>
        <v>1</v>
      </c>
      <c r="M52" s="474">
        <f t="shared" si="10"/>
        <v>200</v>
      </c>
      <c r="N52" s="475">
        <v>200</v>
      </c>
      <c r="O52" s="267">
        <f t="shared" si="11"/>
        <v>0.50</v>
      </c>
    </row>
    <row r="53" spans="1:15" ht="15">
      <c r="A53" s="643"/>
      <c r="B53" s="640"/>
      <c r="C53" s="13" t="s">
        <v>1056</v>
      </c>
      <c r="D53" s="13">
        <v>106</v>
      </c>
      <c r="E53" s="13"/>
      <c r="F53" s="13" t="s">
        <v>10</v>
      </c>
      <c r="G53" s="442">
        <v>40</v>
      </c>
      <c r="H53" s="437">
        <v>10</v>
      </c>
      <c r="I53" s="28">
        <v>1</v>
      </c>
      <c r="J53" s="468">
        <f t="shared" si="8"/>
        <v>0.25</v>
      </c>
      <c r="K53" s="442">
        <f>(1546)/1000</f>
        <v>1.546</v>
      </c>
      <c r="L53" s="267">
        <f t="shared" si="9"/>
        <v>0.38650000000000001</v>
      </c>
      <c r="M53" s="266">
        <f t="shared" si="10"/>
        <v>77.30</v>
      </c>
      <c r="N53" s="433">
        <v>200</v>
      </c>
      <c r="O53" s="267">
        <f t="shared" si="11"/>
        <v>0.38650000000000001</v>
      </c>
    </row>
    <row r="54" spans="1:15" ht="15">
      <c r="A54" s="644"/>
      <c r="B54" s="641"/>
      <c r="C54" s="13" t="s">
        <v>1057</v>
      </c>
      <c r="D54" s="13">
        <v>106</v>
      </c>
      <c r="E54" s="13" t="s">
        <v>44</v>
      </c>
      <c r="F54" s="13" t="s">
        <v>10</v>
      </c>
      <c r="G54" s="442">
        <v>27</v>
      </c>
      <c r="H54" s="437">
        <v>10</v>
      </c>
      <c r="I54" s="28">
        <v>1</v>
      </c>
      <c r="J54" s="468">
        <f t="shared" si="8"/>
        <v>0.37037037037037035</v>
      </c>
      <c r="K54" s="442">
        <f>(1546*2)/1000+0.2</f>
        <v>3.2920000000000003</v>
      </c>
      <c r="L54" s="267">
        <f t="shared" si="9"/>
        <v>1.2192592592592593</v>
      </c>
      <c r="M54" s="266">
        <f t="shared" si="10"/>
        <v>243.85185185185185</v>
      </c>
      <c r="N54" s="433">
        <v>200</v>
      </c>
      <c r="O54" s="267">
        <f t="shared" si="11"/>
        <v>1.2192592592592593</v>
      </c>
    </row>
    <row r="55" spans="1:15" ht="15">
      <c r="A55" s="57" t="s">
        <v>182</v>
      </c>
      <c r="B55" s="56" t="s">
        <v>183</v>
      </c>
      <c r="C55" s="13" t="s">
        <v>1058</v>
      </c>
      <c r="D55" s="13">
        <v>105</v>
      </c>
      <c r="E55" s="13"/>
      <c r="F55" s="13" t="s">
        <v>353</v>
      </c>
      <c r="G55" s="436">
        <v>12.92</v>
      </c>
      <c r="H55" s="440">
        <v>10</v>
      </c>
      <c r="I55" s="28">
        <v>1</v>
      </c>
      <c r="J55" s="441">
        <f t="shared" si="8"/>
        <v>0.77399380804953566</v>
      </c>
      <c r="K55" s="432">
        <v>1</v>
      </c>
      <c r="L55" s="435">
        <f t="shared" si="9"/>
        <v>0.77399380804953566</v>
      </c>
      <c r="M55" s="266">
        <f t="shared" si="10"/>
        <v>154.79876160990713</v>
      </c>
      <c r="N55" s="433">
        <v>200</v>
      </c>
      <c r="O55" s="435">
        <f t="shared" si="11"/>
        <v>0.77399380804953566</v>
      </c>
    </row>
    <row r="56" spans="1:15" ht="30">
      <c r="A56" s="57" t="s">
        <v>185</v>
      </c>
      <c r="B56" s="56" t="s">
        <v>186</v>
      </c>
      <c r="C56" s="13" t="s">
        <v>187</v>
      </c>
      <c r="D56" s="13">
        <v>105</v>
      </c>
      <c r="E56" s="13"/>
      <c r="F56" s="13" t="s">
        <v>522</v>
      </c>
      <c r="G56" s="28">
        <v>55</v>
      </c>
      <c r="H56" s="440">
        <v>10</v>
      </c>
      <c r="I56" s="28">
        <v>1</v>
      </c>
      <c r="J56" s="441">
        <f t="shared" si="8"/>
        <v>0.18181818181818182</v>
      </c>
      <c r="K56" s="432">
        <v>5</v>
      </c>
      <c r="L56" s="435">
        <f t="shared" si="9"/>
        <v>0.90909090909090917</v>
      </c>
      <c r="M56" s="266">
        <f t="shared" si="10"/>
        <v>181.81818181818184</v>
      </c>
      <c r="N56" s="433">
        <v>200</v>
      </c>
      <c r="O56" s="435">
        <f t="shared" si="11"/>
        <v>0.90909090909090917</v>
      </c>
    </row>
    <row r="57" spans="1:15" ht="15">
      <c r="A57" s="650" t="s">
        <v>188</v>
      </c>
      <c r="B57" s="656" t="s">
        <v>438</v>
      </c>
      <c r="C57" s="13" t="s">
        <v>1059</v>
      </c>
      <c r="D57" s="13">
        <v>109</v>
      </c>
      <c r="E57" s="637" t="s">
        <v>44</v>
      </c>
      <c r="F57" s="13" t="s">
        <v>10</v>
      </c>
      <c r="G57" s="28">
        <v>40</v>
      </c>
      <c r="H57" s="440">
        <v>10</v>
      </c>
      <c r="I57" s="28">
        <v>1</v>
      </c>
      <c r="J57" s="453">
        <f t="shared" si="8"/>
        <v>0.25</v>
      </c>
      <c r="K57" s="436">
        <f>(1546)/1000</f>
        <v>1.546</v>
      </c>
      <c r="L57" s="267">
        <f t="shared" si="9"/>
        <v>0.38650000000000001</v>
      </c>
      <c r="M57" s="433">
        <f t="shared" si="10"/>
        <v>77.30</v>
      </c>
      <c r="N57" s="434">
        <v>200</v>
      </c>
      <c r="O57" s="435">
        <f t="shared" si="11"/>
        <v>0.38650000000000001</v>
      </c>
    </row>
    <row r="58" spans="1:15" ht="15">
      <c r="A58" s="652"/>
      <c r="B58" s="654"/>
      <c r="C58" s="13" t="s">
        <v>1060</v>
      </c>
      <c r="D58" s="13">
        <v>109</v>
      </c>
      <c r="E58" s="637"/>
      <c r="F58" s="13" t="s">
        <v>10</v>
      </c>
      <c r="G58" s="28">
        <v>27</v>
      </c>
      <c r="H58" s="440">
        <v>10</v>
      </c>
      <c r="I58" s="28">
        <v>1</v>
      </c>
      <c r="J58" s="441">
        <f t="shared" si="8"/>
        <v>0.37037037037037035</v>
      </c>
      <c r="K58" s="436">
        <f>(1546*2)/1000+0.2</f>
        <v>3.2920000000000003</v>
      </c>
      <c r="L58" s="435">
        <f t="shared" si="9"/>
        <v>1.2192592592592593</v>
      </c>
      <c r="M58" s="266">
        <f t="shared" si="10"/>
        <v>243.85185185185185</v>
      </c>
      <c r="N58" s="433">
        <v>200</v>
      </c>
      <c r="O58" s="435">
        <f t="shared" si="11"/>
        <v>1.2192592592592593</v>
      </c>
    </row>
    <row r="59" spans="1:15" ht="15">
      <c r="A59" s="642" t="s">
        <v>437</v>
      </c>
      <c r="B59" s="639" t="s">
        <v>439</v>
      </c>
      <c r="C59" s="13" t="s">
        <v>1061</v>
      </c>
      <c r="D59" s="13">
        <v>107</v>
      </c>
      <c r="E59" s="637" t="s">
        <v>43</v>
      </c>
      <c r="F59" s="13" t="s">
        <v>10</v>
      </c>
      <c r="G59" s="28">
        <v>25</v>
      </c>
      <c r="H59" s="440">
        <v>10</v>
      </c>
      <c r="I59" s="28">
        <v>1</v>
      </c>
      <c r="J59" s="453">
        <f t="shared" si="8"/>
        <v>0.40</v>
      </c>
      <c r="K59" s="436">
        <f>(1546*2)/1000</f>
        <v>3.0920000000000001</v>
      </c>
      <c r="L59" s="267">
        <f t="shared" si="9"/>
        <v>1.2368000000000001</v>
      </c>
      <c r="M59" s="433">
        <f t="shared" si="10"/>
        <v>217.67680000000001</v>
      </c>
      <c r="N59" s="434">
        <v>176</v>
      </c>
      <c r="O59" s="435">
        <f t="shared" si="11"/>
        <v>1.2368000000000001</v>
      </c>
    </row>
    <row r="60" spans="1:15" ht="15">
      <c r="A60" s="644"/>
      <c r="B60" s="641"/>
      <c r="C60" s="13" t="s">
        <v>1062</v>
      </c>
      <c r="D60" s="13">
        <v>107</v>
      </c>
      <c r="E60" s="637"/>
      <c r="F60" s="13" t="s">
        <v>10</v>
      </c>
      <c r="G60" s="28">
        <v>28.50</v>
      </c>
      <c r="H60" s="440">
        <v>10</v>
      </c>
      <c r="I60" s="28">
        <v>1</v>
      </c>
      <c r="J60" s="453">
        <f t="shared" si="8"/>
        <v>0.35087719298245612</v>
      </c>
      <c r="K60" s="436">
        <f>1546*2/1000+0.2</f>
        <v>3.2920000000000003</v>
      </c>
      <c r="L60" s="267">
        <f t="shared" si="9"/>
        <v>1.1550877192982456</v>
      </c>
      <c r="M60" s="433">
        <f t="shared" si="10"/>
        <v>231.01754385964912</v>
      </c>
      <c r="N60" s="434">
        <v>200</v>
      </c>
      <c r="O60" s="435">
        <f t="shared" si="11"/>
        <v>1.1550877192982456</v>
      </c>
    </row>
    <row r="61" spans="1:15" s="0" customFormat="1" ht="15">
      <c r="A61" s="58" t="s">
        <v>348</v>
      </c>
      <c r="B61" s="55" t="s">
        <v>1007</v>
      </c>
      <c r="C61" s="17" t="s">
        <v>523</v>
      </c>
      <c r="D61" s="17">
        <v>224</v>
      </c>
      <c r="E61" s="13"/>
      <c r="F61" s="17"/>
      <c r="G61" s="16">
        <v>60</v>
      </c>
      <c r="H61" s="18">
        <v>10</v>
      </c>
      <c r="I61" s="16">
        <v>1</v>
      </c>
      <c r="J61" s="20">
        <f t="shared" si="8"/>
        <v>0.16666666666666666</v>
      </c>
      <c r="K61" s="30">
        <v>3</v>
      </c>
      <c r="L61" s="8">
        <f t="shared" si="9"/>
        <v>0.50</v>
      </c>
      <c r="M61" s="42">
        <f t="shared" si="10"/>
        <v>100</v>
      </c>
      <c r="N61" s="43">
        <v>200</v>
      </c>
      <c r="O61" s="8">
        <f t="shared" si="11"/>
        <v>0.50</v>
      </c>
    </row>
    <row r="62" spans="1:15" ht="15">
      <c r="A62" s="57" t="s">
        <v>325</v>
      </c>
      <c r="B62" s="56" t="s">
        <v>327</v>
      </c>
      <c r="C62" s="13" t="s">
        <v>326</v>
      </c>
      <c r="D62" s="13">
        <v>112</v>
      </c>
      <c r="E62" s="13"/>
      <c r="F62" s="13" t="s">
        <v>513</v>
      </c>
      <c r="G62" s="28">
        <v>15</v>
      </c>
      <c r="H62" s="440">
        <v>10</v>
      </c>
      <c r="I62" s="28">
        <v>2</v>
      </c>
      <c r="J62" s="441">
        <f t="shared" si="8"/>
        <v>1.3333333333333333</v>
      </c>
      <c r="K62" s="432">
        <v>1</v>
      </c>
      <c r="L62" s="435">
        <f t="shared" si="9"/>
        <v>1.3333333333333333</v>
      </c>
      <c r="M62" s="266">
        <f t="shared" si="10"/>
        <v>266.66666666666663</v>
      </c>
      <c r="N62" s="433">
        <v>200</v>
      </c>
      <c r="O62" s="435">
        <f t="shared" si="11"/>
        <v>0.66666666666666663</v>
      </c>
    </row>
    <row r="63" spans="1:15" s="0" customFormat="1" ht="15">
      <c r="A63" s="637" t="s">
        <v>197</v>
      </c>
      <c r="B63" s="638" t="s">
        <v>110</v>
      </c>
      <c r="C63" s="13" t="s">
        <v>47</v>
      </c>
      <c r="D63" s="13">
        <v>112</v>
      </c>
      <c r="E63" s="13"/>
      <c r="F63" s="25" t="s">
        <v>111</v>
      </c>
      <c r="G63" s="16">
        <v>20</v>
      </c>
      <c r="H63" s="252">
        <v>10</v>
      </c>
      <c r="I63" s="16">
        <v>2</v>
      </c>
      <c r="J63" s="253">
        <f t="shared" si="8"/>
        <v>1</v>
      </c>
      <c r="K63" s="16">
        <v>1</v>
      </c>
      <c r="L63" s="26">
        <f t="shared" si="9"/>
        <v>1</v>
      </c>
      <c r="M63" s="43">
        <f t="shared" si="10"/>
        <v>200</v>
      </c>
      <c r="N63" s="46">
        <v>200</v>
      </c>
      <c r="O63" s="8">
        <f t="shared" si="11"/>
        <v>0.50</v>
      </c>
    </row>
    <row r="64" spans="1:15" s="0" customFormat="1" ht="30">
      <c r="A64" s="637"/>
      <c r="B64" s="638"/>
      <c r="C64" s="13" t="s">
        <v>48</v>
      </c>
      <c r="D64" s="13">
        <v>112</v>
      </c>
      <c r="E64" s="4" t="s">
        <v>520</v>
      </c>
      <c r="F64" s="17" t="s">
        <v>10</v>
      </c>
      <c r="G64" s="16">
        <v>40</v>
      </c>
      <c r="H64" s="252">
        <v>10</v>
      </c>
      <c r="I64" s="16">
        <v>1</v>
      </c>
      <c r="J64" s="253">
        <f t="shared" si="8"/>
        <v>0.25</v>
      </c>
      <c r="K64" s="30">
        <f>((270*2)+(1462)+(731))/1000</f>
        <v>2.7330000000000001</v>
      </c>
      <c r="L64" s="26">
        <f t="shared" si="9"/>
        <v>0.68325000000000002</v>
      </c>
      <c r="M64" s="43">
        <f t="shared" si="10"/>
        <v>136.65000000000001</v>
      </c>
      <c r="N64" s="46">
        <v>200</v>
      </c>
      <c r="O64" s="8">
        <f t="shared" si="11"/>
        <v>0.68325000000000002</v>
      </c>
    </row>
    <row r="65" spans="1:15" ht="15">
      <c r="A65" s="54" t="s">
        <v>888</v>
      </c>
      <c r="B65" s="56" t="s">
        <v>1404</v>
      </c>
      <c r="C65" s="13" t="s">
        <v>862</v>
      </c>
      <c r="D65" s="13">
        <v>224</v>
      </c>
      <c r="E65" s="13"/>
      <c r="F65" s="17"/>
      <c r="G65" s="28">
        <f>(600-25)/10</f>
        <v>57.50</v>
      </c>
      <c r="H65" s="440">
        <v>10</v>
      </c>
      <c r="I65" s="28">
        <v>2</v>
      </c>
      <c r="J65" s="441">
        <f t="shared" si="8"/>
        <v>0.34782608695652173</v>
      </c>
      <c r="K65" s="28">
        <v>1</v>
      </c>
      <c r="L65" s="267">
        <f t="shared" si="9"/>
        <v>0.34782608695652173</v>
      </c>
      <c r="M65" s="433">
        <f t="shared" si="10"/>
        <v>69.565217391304344</v>
      </c>
      <c r="N65" s="434">
        <v>200</v>
      </c>
      <c r="O65" s="435">
        <f t="shared" si="11"/>
        <v>0.17391304347826086</v>
      </c>
    </row>
    <row r="66" spans="1:15" ht="15">
      <c r="A66" s="13" t="s">
        <v>199</v>
      </c>
      <c r="B66" s="27" t="s">
        <v>890</v>
      </c>
      <c r="C66" s="13" t="s">
        <v>47</v>
      </c>
      <c r="D66" s="13">
        <v>112</v>
      </c>
      <c r="E66" s="13"/>
      <c r="F66" s="4" t="s">
        <v>870</v>
      </c>
      <c r="G66" s="28">
        <v>12.50</v>
      </c>
      <c r="H66" s="440">
        <v>10</v>
      </c>
      <c r="I66" s="28">
        <v>2</v>
      </c>
      <c r="J66" s="441">
        <f t="shared" si="8"/>
        <v>1.60</v>
      </c>
      <c r="K66" s="28">
        <v>1</v>
      </c>
      <c r="L66" s="267">
        <f t="shared" si="9"/>
        <v>1.60</v>
      </c>
      <c r="M66" s="433">
        <f t="shared" si="10"/>
        <v>320</v>
      </c>
      <c r="N66" s="434">
        <v>200</v>
      </c>
      <c r="O66" s="435">
        <f t="shared" si="11"/>
        <v>0.80</v>
      </c>
    </row>
    <row r="67" spans="1:15" ht="15">
      <c r="A67" s="39"/>
      <c r="B67" s="649" t="s">
        <v>132</v>
      </c>
      <c r="C67" s="649"/>
      <c r="D67" s="649"/>
      <c r="E67" s="649"/>
      <c r="F67" s="649"/>
      <c r="G67" s="649"/>
      <c r="H67" s="649"/>
      <c r="I67" s="649"/>
      <c r="J67" s="649"/>
      <c r="K67" s="649"/>
      <c r="L67" s="267"/>
      <c r="M67" s="262">
        <f>SUM(M68:M79)</f>
        <v>5906.2336144837882</v>
      </c>
      <c r="N67" s="263"/>
      <c r="O67" s="264">
        <f>SUM(O68:O79)</f>
        <v>22.050983705034799</v>
      </c>
    </row>
    <row r="68" spans="1:15" ht="15">
      <c r="A68" s="650" t="s">
        <v>200</v>
      </c>
      <c r="B68" s="638" t="s">
        <v>871</v>
      </c>
      <c r="C68" s="13" t="s">
        <v>946</v>
      </c>
      <c r="D68" s="13">
        <v>224</v>
      </c>
      <c r="E68" s="13"/>
      <c r="F68" s="13" t="s">
        <v>353</v>
      </c>
      <c r="G68" s="442">
        <f>600/10</f>
        <v>60</v>
      </c>
      <c r="H68" s="440">
        <v>10</v>
      </c>
      <c r="I68" s="28">
        <v>1</v>
      </c>
      <c r="J68" s="441">
        <f t="shared" si="12" ref="J68:J79">H68/G68*I68</f>
        <v>0.16666666666666666</v>
      </c>
      <c r="K68" s="432">
        <v>2</v>
      </c>
      <c r="L68" s="435">
        <f t="shared" si="13" ref="L68:L71">J68*K68</f>
        <v>0.33333333333333331</v>
      </c>
      <c r="M68" s="266">
        <f t="shared" si="14" ref="M68:M79">L68*N68</f>
        <v>66.666666666666657</v>
      </c>
      <c r="N68" s="433">
        <v>200</v>
      </c>
      <c r="O68" s="435">
        <f t="shared" si="15" ref="O68:O79">J68/I68*K68</f>
        <v>0.33333333333333331</v>
      </c>
    </row>
    <row r="69" spans="1:15" ht="15">
      <c r="A69" s="650"/>
      <c r="B69" s="638"/>
      <c r="C69" s="13" t="s">
        <v>947</v>
      </c>
      <c r="D69" s="13">
        <v>224</v>
      </c>
      <c r="E69" s="13"/>
      <c r="F69" s="13" t="s">
        <v>353</v>
      </c>
      <c r="G69" s="442">
        <v>120</v>
      </c>
      <c r="H69" s="440">
        <v>10</v>
      </c>
      <c r="I69" s="28">
        <v>1</v>
      </c>
      <c r="J69" s="441">
        <f t="shared" si="12"/>
        <v>0.083333333333333329</v>
      </c>
      <c r="K69" s="432">
        <v>2</v>
      </c>
      <c r="L69" s="435">
        <f t="shared" si="13"/>
        <v>0.16666666666666666</v>
      </c>
      <c r="M69" s="266">
        <f t="shared" si="14"/>
        <v>33.333333333333329</v>
      </c>
      <c r="N69" s="433">
        <v>200</v>
      </c>
      <c r="O69" s="435">
        <f t="shared" si="15"/>
        <v>0.16666666666666666</v>
      </c>
    </row>
    <row r="70" spans="1:15" ht="15">
      <c r="A70" s="650"/>
      <c r="B70" s="638"/>
      <c r="C70" s="13" t="s">
        <v>873</v>
      </c>
      <c r="D70" s="13">
        <v>224</v>
      </c>
      <c r="E70" s="13"/>
      <c r="F70" s="13" t="s">
        <v>353</v>
      </c>
      <c r="G70" s="442">
        <f>600/5</f>
        <v>120</v>
      </c>
      <c r="H70" s="440">
        <v>10</v>
      </c>
      <c r="I70" s="28">
        <v>1</v>
      </c>
      <c r="J70" s="441">
        <f t="shared" si="12"/>
        <v>0.083333333333333329</v>
      </c>
      <c r="K70" s="432">
        <v>2</v>
      </c>
      <c r="L70" s="435">
        <f t="shared" si="13"/>
        <v>0.16666666666666666</v>
      </c>
      <c r="M70" s="266">
        <f t="shared" si="14"/>
        <v>33.333333333333329</v>
      </c>
      <c r="N70" s="433">
        <v>200</v>
      </c>
      <c r="O70" s="435">
        <f t="shared" si="15"/>
        <v>0.16666666666666666</v>
      </c>
    </row>
    <row r="71" spans="1:15" ht="15">
      <c r="A71" s="57" t="s">
        <v>662</v>
      </c>
      <c r="B71" s="56" t="s">
        <v>1063</v>
      </c>
      <c r="C71" s="13" t="s">
        <v>862</v>
      </c>
      <c r="D71" s="13">
        <v>224</v>
      </c>
      <c r="E71" s="13"/>
      <c r="F71" s="17"/>
      <c r="G71" s="442">
        <f>(600-25)/10</f>
        <v>57.50</v>
      </c>
      <c r="H71" s="440">
        <v>10</v>
      </c>
      <c r="I71" s="28">
        <v>2</v>
      </c>
      <c r="J71" s="441">
        <f t="shared" si="12"/>
        <v>0.34782608695652173</v>
      </c>
      <c r="K71" s="28">
        <v>1</v>
      </c>
      <c r="L71" s="267">
        <f t="shared" si="13"/>
        <v>0.34782608695652173</v>
      </c>
      <c r="M71" s="433">
        <f t="shared" si="14"/>
        <v>69.565217391304344</v>
      </c>
      <c r="N71" s="434">
        <v>200</v>
      </c>
      <c r="O71" s="435">
        <f t="shared" si="15"/>
        <v>0.17391304347826086</v>
      </c>
    </row>
    <row r="72" spans="1:15" ht="15">
      <c r="A72" s="13" t="s">
        <v>205</v>
      </c>
      <c r="B72" s="27" t="s">
        <v>875</v>
      </c>
      <c r="C72" s="13" t="s">
        <v>138</v>
      </c>
      <c r="D72" s="13">
        <v>117</v>
      </c>
      <c r="E72" s="13"/>
      <c r="F72" s="4" t="s">
        <v>13</v>
      </c>
      <c r="G72" s="442">
        <f>1.538*1.4</f>
        <v>2.1532</v>
      </c>
      <c r="H72" s="440">
        <v>10</v>
      </c>
      <c r="I72" s="28">
        <v>2</v>
      </c>
      <c r="J72" s="441">
        <f t="shared" si="12"/>
        <v>9.2885008359650758</v>
      </c>
      <c r="K72" s="28">
        <v>1</v>
      </c>
      <c r="L72" s="267">
        <f>J72*K72</f>
        <v>9.2885008359650758</v>
      </c>
      <c r="M72" s="433">
        <f t="shared" si="14"/>
        <v>1857.7001671930152</v>
      </c>
      <c r="N72" s="434">
        <v>200</v>
      </c>
      <c r="O72" s="435">
        <f t="shared" si="15"/>
        <v>4.6442504179825379</v>
      </c>
    </row>
    <row r="73" spans="1:15" ht="15">
      <c r="A73" s="13" t="s">
        <v>877</v>
      </c>
      <c r="B73" s="27" t="s">
        <v>876</v>
      </c>
      <c r="C73" s="13" t="s">
        <v>160</v>
      </c>
      <c r="D73" s="13">
        <v>117</v>
      </c>
      <c r="E73" s="13"/>
      <c r="F73" s="4" t="s">
        <v>13</v>
      </c>
      <c r="G73" s="442">
        <v>40</v>
      </c>
      <c r="H73" s="440">
        <v>10</v>
      </c>
      <c r="I73" s="28">
        <v>1</v>
      </c>
      <c r="J73" s="441">
        <f t="shared" si="12"/>
        <v>0.25</v>
      </c>
      <c r="K73" s="442">
        <f>(3427+3095+3060+950*2+16*3.1415*18+327*3.1415+30*3)/1000</f>
        <v>13.504022500000001</v>
      </c>
      <c r="L73" s="267">
        <f>J73*K73</f>
        <v>3.3760056250000003</v>
      </c>
      <c r="M73" s="433">
        <f t="shared" si="14"/>
        <v>675.20112500000005</v>
      </c>
      <c r="N73" s="434">
        <v>200</v>
      </c>
      <c r="O73" s="435">
        <f t="shared" si="15"/>
        <v>3.3760056250000003</v>
      </c>
    </row>
    <row r="74" spans="1:15" ht="15">
      <c r="A74" s="13" t="s">
        <v>206</v>
      </c>
      <c r="B74" s="27" t="s">
        <v>94</v>
      </c>
      <c r="C74" s="13" t="s">
        <v>160</v>
      </c>
      <c r="D74" s="13">
        <v>114</v>
      </c>
      <c r="E74" s="13"/>
      <c r="F74" s="4" t="s">
        <v>13</v>
      </c>
      <c r="G74" s="442">
        <v>40</v>
      </c>
      <c r="H74" s="440">
        <v>10</v>
      </c>
      <c r="I74" s="28">
        <v>1</v>
      </c>
      <c r="J74" s="441">
        <f t="shared" si="12"/>
        <v>0.25</v>
      </c>
      <c r="K74" s="442">
        <f>(3427*2+120*3+16*3.1415*18+327*3.1415+3095+3243+3280+19*3.1415*2+23*3.1415*2+3060)/1000</f>
        <v>22.087908499999998</v>
      </c>
      <c r="L74" s="267">
        <f>J74*K74</f>
        <v>5.5219771249999994</v>
      </c>
      <c r="M74" s="433">
        <f t="shared" si="14"/>
        <v>1104.3954249999999</v>
      </c>
      <c r="N74" s="434">
        <v>200</v>
      </c>
      <c r="O74" s="435">
        <f t="shared" si="15"/>
        <v>5.5219771249999994</v>
      </c>
    </row>
    <row r="75" spans="1:15" ht="15">
      <c r="A75" s="13" t="s">
        <v>207</v>
      </c>
      <c r="B75" s="56" t="s">
        <v>55</v>
      </c>
      <c r="C75" s="13" t="s">
        <v>29</v>
      </c>
      <c r="D75" s="13">
        <v>120</v>
      </c>
      <c r="E75" s="13"/>
      <c r="F75" s="13" t="s">
        <v>13</v>
      </c>
      <c r="G75" s="31">
        <v>12.30</v>
      </c>
      <c r="H75" s="440">
        <v>10</v>
      </c>
      <c r="I75" s="28">
        <v>1</v>
      </c>
      <c r="J75" s="441">
        <f t="shared" si="12"/>
        <v>0.81300813008130079</v>
      </c>
      <c r="K75" s="28">
        <v>1</v>
      </c>
      <c r="L75" s="267">
        <f t="shared" si="16" ref="L75:L78">J75*K75</f>
        <v>0.81300813008130079</v>
      </c>
      <c r="M75" s="433">
        <f t="shared" si="14"/>
        <v>143.08943089430895</v>
      </c>
      <c r="N75" s="434">
        <v>176</v>
      </c>
      <c r="O75" s="435">
        <f t="shared" si="15"/>
        <v>0.81300813008130079</v>
      </c>
    </row>
    <row r="76" spans="1:15" ht="15">
      <c r="A76" s="13" t="s">
        <v>208</v>
      </c>
      <c r="B76" s="56" t="s">
        <v>56</v>
      </c>
      <c r="C76" s="13" t="s">
        <v>29</v>
      </c>
      <c r="D76" s="13">
        <v>120</v>
      </c>
      <c r="E76" s="13"/>
      <c r="F76" s="13" t="s">
        <v>13</v>
      </c>
      <c r="G76" s="31">
        <v>12.30</v>
      </c>
      <c r="H76" s="440">
        <v>10</v>
      </c>
      <c r="I76" s="28">
        <v>1</v>
      </c>
      <c r="J76" s="441">
        <f t="shared" si="12"/>
        <v>0.81300813008130079</v>
      </c>
      <c r="K76" s="28">
        <v>1</v>
      </c>
      <c r="L76" s="267">
        <f t="shared" si="16"/>
        <v>0.81300813008130079</v>
      </c>
      <c r="M76" s="433">
        <f t="shared" si="14"/>
        <v>143.08943089430895</v>
      </c>
      <c r="N76" s="434">
        <v>176</v>
      </c>
      <c r="O76" s="435">
        <f t="shared" si="15"/>
        <v>0.81300813008130079</v>
      </c>
    </row>
    <row r="77" spans="1:16" ht="30">
      <c r="A77" s="13" t="s">
        <v>209</v>
      </c>
      <c r="B77" s="27" t="s">
        <v>892</v>
      </c>
      <c r="C77" s="13" t="s">
        <v>14</v>
      </c>
      <c r="D77" s="13">
        <v>119</v>
      </c>
      <c r="E77" s="13"/>
      <c r="F77" s="13" t="s">
        <v>58</v>
      </c>
      <c r="G77" s="16">
        <v>61</v>
      </c>
      <c r="H77" s="440">
        <v>10</v>
      </c>
      <c r="I77" s="28">
        <v>1</v>
      </c>
      <c r="J77" s="441">
        <f t="shared" si="12"/>
        <v>0.16393442622950818</v>
      </c>
      <c r="K77" s="28">
        <v>2</v>
      </c>
      <c r="L77" s="267">
        <f t="shared" si="16"/>
        <v>0.32786885245901637</v>
      </c>
      <c r="M77" s="433">
        <f t="shared" si="14"/>
        <v>65.573770491803273</v>
      </c>
      <c r="N77" s="434">
        <v>200</v>
      </c>
      <c r="O77" s="435">
        <f t="shared" si="15"/>
        <v>0.32786885245901637</v>
      </c>
      <c r="P77" s="22"/>
    </row>
    <row r="78" spans="1:16" ht="30">
      <c r="A78" s="13" t="s">
        <v>210</v>
      </c>
      <c r="B78" s="27" t="s">
        <v>114</v>
      </c>
      <c r="C78" s="13" t="s">
        <v>54</v>
      </c>
      <c r="D78" s="13">
        <v>116</v>
      </c>
      <c r="E78" s="13"/>
      <c r="F78" s="13" t="s">
        <v>13</v>
      </c>
      <c r="G78" s="469">
        <v>3.50</v>
      </c>
      <c r="H78" s="440">
        <v>10</v>
      </c>
      <c r="I78" s="28">
        <v>2</v>
      </c>
      <c r="J78" s="441">
        <f t="shared" si="12"/>
        <v>5.7142857142857144</v>
      </c>
      <c r="K78" s="28">
        <v>1</v>
      </c>
      <c r="L78" s="267">
        <f t="shared" si="16"/>
        <v>5.7142857142857144</v>
      </c>
      <c r="M78" s="433">
        <f t="shared" si="14"/>
        <v>1142.8571428571429</v>
      </c>
      <c r="N78" s="434">
        <v>200</v>
      </c>
      <c r="O78" s="435">
        <f t="shared" si="15"/>
        <v>2.8571428571428572</v>
      </c>
      <c r="P78" s="22"/>
    </row>
    <row r="79" spans="1:15" ht="30">
      <c r="A79" s="13" t="s">
        <v>211</v>
      </c>
      <c r="B79" s="56" t="s">
        <v>60</v>
      </c>
      <c r="C79" s="13" t="s">
        <v>14</v>
      </c>
      <c r="D79" s="13">
        <v>226</v>
      </c>
      <c r="E79" s="13"/>
      <c r="F79" s="4" t="s">
        <v>58</v>
      </c>
      <c r="G79" s="470">
        <v>3.50</v>
      </c>
      <c r="H79" s="440">
        <v>10</v>
      </c>
      <c r="I79" s="28">
        <v>1</v>
      </c>
      <c r="J79" s="441">
        <f t="shared" si="12"/>
        <v>2.8571428571428572</v>
      </c>
      <c r="K79" s="28">
        <v>1</v>
      </c>
      <c r="L79" s="267">
        <f>J79*K79</f>
        <v>2.8571428571428572</v>
      </c>
      <c r="M79" s="433">
        <f t="shared" si="14"/>
        <v>571.42857142857144</v>
      </c>
      <c r="N79" s="434">
        <v>200</v>
      </c>
      <c r="O79" s="435">
        <f t="shared" si="15"/>
        <v>2.8571428571428572</v>
      </c>
    </row>
    <row r="80" spans="1:15" ht="15">
      <c r="A80" s="39"/>
      <c r="B80" s="649" t="s">
        <v>140</v>
      </c>
      <c r="C80" s="649"/>
      <c r="D80" s="649"/>
      <c r="E80" s="649"/>
      <c r="F80" s="649"/>
      <c r="G80" s="649"/>
      <c r="H80" s="649"/>
      <c r="I80" s="649"/>
      <c r="J80" s="649"/>
      <c r="K80" s="649"/>
      <c r="L80" s="267"/>
      <c r="M80" s="262">
        <f>SUM(M81:M86)</f>
        <v>2295.5365203674587</v>
      </c>
      <c r="N80" s="263"/>
      <c r="O80" s="264">
        <f>SUM(O81:O86)</f>
        <v>7.5538508063278336</v>
      </c>
    </row>
    <row r="81" spans="1:15" ht="15">
      <c r="A81" s="57" t="s">
        <v>893</v>
      </c>
      <c r="B81" s="27" t="s">
        <v>881</v>
      </c>
      <c r="C81" s="13" t="s">
        <v>880</v>
      </c>
      <c r="D81" s="13">
        <v>224</v>
      </c>
      <c r="E81" s="13"/>
      <c r="F81" s="13" t="s">
        <v>353</v>
      </c>
      <c r="G81" s="436">
        <f>600/20</f>
        <v>30</v>
      </c>
      <c r="H81" s="440">
        <v>10</v>
      </c>
      <c r="I81" s="28">
        <v>1</v>
      </c>
      <c r="J81" s="441">
        <f t="shared" si="17" ref="J81:J86">H81/G81*I81</f>
        <v>0.33333333333333331</v>
      </c>
      <c r="K81" s="432">
        <v>1</v>
      </c>
      <c r="L81" s="435">
        <f t="shared" si="18" ref="L81:L86">J81*K81</f>
        <v>0.33333333333333331</v>
      </c>
      <c r="M81" s="266">
        <f t="shared" si="19" ref="M81:M86">L81*N81</f>
        <v>66.666666666666657</v>
      </c>
      <c r="N81" s="433">
        <v>200</v>
      </c>
      <c r="O81" s="435">
        <f t="shared" si="20" ref="O81:O86">J81/I81*K81</f>
        <v>0.33333333333333331</v>
      </c>
    </row>
    <row r="82" spans="1:15" ht="15">
      <c r="A82" s="57" t="s">
        <v>212</v>
      </c>
      <c r="B82" s="56" t="s">
        <v>1414</v>
      </c>
      <c r="C82" s="13" t="s">
        <v>862</v>
      </c>
      <c r="D82" s="13">
        <v>224</v>
      </c>
      <c r="E82" s="13"/>
      <c r="F82" s="17"/>
      <c r="G82" s="28">
        <f>(600-25)/10</f>
        <v>57.50</v>
      </c>
      <c r="H82" s="440">
        <v>10</v>
      </c>
      <c r="I82" s="28">
        <v>2</v>
      </c>
      <c r="J82" s="441">
        <f t="shared" si="17"/>
        <v>0.34782608695652173</v>
      </c>
      <c r="K82" s="28">
        <v>1</v>
      </c>
      <c r="L82" s="267">
        <f t="shared" si="18"/>
        <v>0.34782608695652173</v>
      </c>
      <c r="M82" s="433">
        <f t="shared" si="19"/>
        <v>69.565217391304344</v>
      </c>
      <c r="N82" s="434">
        <v>200</v>
      </c>
      <c r="O82" s="435">
        <f t="shared" si="20"/>
        <v>0.17391304347826086</v>
      </c>
    </row>
    <row r="83" spans="1:15" ht="15">
      <c r="A83" s="57" t="s">
        <v>878</v>
      </c>
      <c r="B83" s="27" t="s">
        <v>882</v>
      </c>
      <c r="C83" s="13" t="s">
        <v>949</v>
      </c>
      <c r="D83" s="13">
        <v>117</v>
      </c>
      <c r="E83" s="13"/>
      <c r="F83" s="13" t="s">
        <v>353</v>
      </c>
      <c r="G83" s="28">
        <v>46.10</v>
      </c>
      <c r="H83" s="440">
        <v>10</v>
      </c>
      <c r="I83" s="28">
        <v>1</v>
      </c>
      <c r="J83" s="441">
        <f t="shared" si="17"/>
        <v>0.21691973969631237</v>
      </c>
      <c r="K83" s="432">
        <v>1</v>
      </c>
      <c r="L83" s="435">
        <f t="shared" si="18"/>
        <v>0.21691973969631237</v>
      </c>
      <c r="M83" s="266">
        <f t="shared" si="19"/>
        <v>43.383947939262477</v>
      </c>
      <c r="N83" s="433">
        <v>200</v>
      </c>
      <c r="O83" s="435">
        <f t="shared" si="20"/>
        <v>0.21691973969631237</v>
      </c>
    </row>
    <row r="84" spans="1:15" ht="15">
      <c r="A84" s="57" t="s">
        <v>214</v>
      </c>
      <c r="B84" s="56" t="s">
        <v>883</v>
      </c>
      <c r="C84" s="13" t="s">
        <v>33</v>
      </c>
      <c r="D84" s="13">
        <v>118</v>
      </c>
      <c r="E84" s="13"/>
      <c r="F84" s="13" t="s">
        <v>510</v>
      </c>
      <c r="G84" s="28">
        <v>40</v>
      </c>
      <c r="H84" s="440">
        <v>10</v>
      </c>
      <c r="I84" s="28">
        <v>2</v>
      </c>
      <c r="J84" s="441">
        <f t="shared" si="17"/>
        <v>0.50</v>
      </c>
      <c r="K84" s="432">
        <v>2</v>
      </c>
      <c r="L84" s="267">
        <f t="shared" si="18"/>
        <v>1</v>
      </c>
      <c r="M84" s="433">
        <f t="shared" si="19"/>
        <v>200</v>
      </c>
      <c r="N84" s="434">
        <v>200</v>
      </c>
      <c r="O84" s="435">
        <f t="shared" si="20"/>
        <v>0.50</v>
      </c>
    </row>
    <row r="85" spans="1:15" ht="15">
      <c r="A85" s="13" t="s">
        <v>219</v>
      </c>
      <c r="B85" s="56" t="s">
        <v>91</v>
      </c>
      <c r="C85" s="13" t="s">
        <v>54</v>
      </c>
      <c r="D85" s="13">
        <v>118</v>
      </c>
      <c r="E85" s="13"/>
      <c r="F85" s="4" t="s">
        <v>59</v>
      </c>
      <c r="G85" s="30">
        <v>3.077</v>
      </c>
      <c r="H85" s="440">
        <v>10</v>
      </c>
      <c r="I85" s="28">
        <v>2</v>
      </c>
      <c r="J85" s="441">
        <f t="shared" si="17"/>
        <v>6.4998375040623984</v>
      </c>
      <c r="K85" s="432">
        <v>1</v>
      </c>
      <c r="L85" s="267">
        <f t="shared" si="18"/>
        <v>6.4998375040623984</v>
      </c>
      <c r="M85" s="433">
        <f t="shared" si="19"/>
        <v>1299.9675008124796</v>
      </c>
      <c r="N85" s="434">
        <v>200</v>
      </c>
      <c r="O85" s="435">
        <f t="shared" si="20"/>
        <v>3.2499187520311992</v>
      </c>
    </row>
    <row r="86" spans="1:15" ht="15">
      <c r="A86" s="13" t="s">
        <v>220</v>
      </c>
      <c r="B86" s="56" t="s">
        <v>92</v>
      </c>
      <c r="C86" s="13" t="s">
        <v>54</v>
      </c>
      <c r="D86" s="13">
        <v>118</v>
      </c>
      <c r="E86" s="13"/>
      <c r="F86" s="4" t="s">
        <v>59</v>
      </c>
      <c r="G86" s="30">
        <v>3.2469999999999999</v>
      </c>
      <c r="H86" s="440">
        <v>10</v>
      </c>
      <c r="I86" s="28">
        <v>1</v>
      </c>
      <c r="J86" s="441">
        <f t="shared" si="17"/>
        <v>3.0797659377887281</v>
      </c>
      <c r="K86" s="432">
        <v>1</v>
      </c>
      <c r="L86" s="267">
        <f t="shared" si="18"/>
        <v>3.0797659377887281</v>
      </c>
      <c r="M86" s="433">
        <f t="shared" si="19"/>
        <v>615.95318755774565</v>
      </c>
      <c r="N86" s="434">
        <v>200</v>
      </c>
      <c r="O86" s="435">
        <f t="shared" si="20"/>
        <v>3.0797659377887281</v>
      </c>
    </row>
    <row r="87" spans="1:15" ht="15">
      <c r="A87" s="39"/>
      <c r="B87" s="649" t="s">
        <v>135</v>
      </c>
      <c r="C87" s="649"/>
      <c r="D87" s="649"/>
      <c r="E87" s="649"/>
      <c r="F87" s="649"/>
      <c r="G87" s="649"/>
      <c r="H87" s="649"/>
      <c r="I87" s="649"/>
      <c r="J87" s="649"/>
      <c r="K87" s="649"/>
      <c r="L87" s="435"/>
      <c r="M87" s="262">
        <f>SUM(M88:M90)</f>
        <v>542.1416234887738</v>
      </c>
      <c r="N87" s="263"/>
      <c r="O87" s="264">
        <f>SUM(O88:O90)</f>
        <v>1.4607081174438687</v>
      </c>
    </row>
    <row r="88" spans="1:15" ht="15">
      <c r="A88" s="13" t="s">
        <v>136</v>
      </c>
      <c r="B88" s="56" t="s">
        <v>137</v>
      </c>
      <c r="C88" s="13" t="s">
        <v>138</v>
      </c>
      <c r="D88" s="13">
        <v>117</v>
      </c>
      <c r="E88" s="13"/>
      <c r="F88" s="4" t="s">
        <v>139</v>
      </c>
      <c r="G88" s="28">
        <v>10</v>
      </c>
      <c r="H88" s="440">
        <v>10</v>
      </c>
      <c r="I88" s="28">
        <v>2</v>
      </c>
      <c r="J88" s="441">
        <f>H88/G88*I88</f>
        <v>2</v>
      </c>
      <c r="K88" s="28">
        <v>1</v>
      </c>
      <c r="L88" s="435">
        <f t="shared" si="21" ref="L88:L90">J88*K88</f>
        <v>2</v>
      </c>
      <c r="M88" s="266">
        <f>L88*N88</f>
        <v>400</v>
      </c>
      <c r="N88" s="433">
        <v>200</v>
      </c>
      <c r="O88" s="435">
        <f>J88/I88*K88</f>
        <v>1</v>
      </c>
    </row>
    <row r="89" spans="1:15" ht="15">
      <c r="A89" s="13" t="s">
        <v>346</v>
      </c>
      <c r="B89" s="56" t="s">
        <v>347</v>
      </c>
      <c r="C89" s="13" t="s">
        <v>14</v>
      </c>
      <c r="D89" s="13">
        <v>226</v>
      </c>
      <c r="E89" s="13"/>
      <c r="F89" s="13" t="s">
        <v>58</v>
      </c>
      <c r="G89" s="28">
        <v>23.16</v>
      </c>
      <c r="H89" s="440">
        <v>10</v>
      </c>
      <c r="I89" s="28">
        <v>1</v>
      </c>
      <c r="J89" s="441">
        <f>H89/G89*I89</f>
        <v>0.43177892918825561</v>
      </c>
      <c r="K89" s="28">
        <f>0.122*4</f>
        <v>0.48799999999999999</v>
      </c>
      <c r="L89" s="435">
        <f t="shared" si="21"/>
        <v>0.21070811744386872</v>
      </c>
      <c r="M89" s="266">
        <f>L89*N89</f>
        <v>42.141623488773746</v>
      </c>
      <c r="N89" s="433">
        <v>200</v>
      </c>
      <c r="O89" s="435">
        <f>J89/I89*K89</f>
        <v>0.21070811744386872</v>
      </c>
    </row>
    <row r="90" spans="1:15" ht="15">
      <c r="A90" s="13" t="s">
        <v>344</v>
      </c>
      <c r="B90" s="56" t="s">
        <v>345</v>
      </c>
      <c r="C90" s="13" t="s">
        <v>24</v>
      </c>
      <c r="D90" s="13">
        <v>119</v>
      </c>
      <c r="E90" s="13"/>
      <c r="F90" s="4" t="s">
        <v>139</v>
      </c>
      <c r="G90" s="28">
        <v>40</v>
      </c>
      <c r="H90" s="440">
        <v>10</v>
      </c>
      <c r="I90" s="28">
        <v>2</v>
      </c>
      <c r="J90" s="441">
        <f>H90/G90*I90</f>
        <v>0.50</v>
      </c>
      <c r="K90" s="28">
        <v>1</v>
      </c>
      <c r="L90" s="435">
        <f t="shared" si="21"/>
        <v>0.50</v>
      </c>
      <c r="M90" s="266">
        <f>L90*N90</f>
        <v>100</v>
      </c>
      <c r="N90" s="433">
        <v>200</v>
      </c>
      <c r="O90" s="435">
        <f>J90/I90*K90</f>
        <v>0.25</v>
      </c>
    </row>
    <row r="91" spans="1:15" ht="15">
      <c r="A91" s="39"/>
      <c r="B91" s="649" t="s">
        <v>133</v>
      </c>
      <c r="C91" s="649"/>
      <c r="D91" s="649"/>
      <c r="E91" s="649"/>
      <c r="F91" s="649"/>
      <c r="G91" s="649"/>
      <c r="H91" s="649"/>
      <c r="I91" s="649"/>
      <c r="J91" s="649"/>
      <c r="K91" s="649"/>
      <c r="L91" s="267"/>
      <c r="M91" s="262">
        <f>SUM(M92:M138)</f>
        <v>17214.034131940232</v>
      </c>
      <c r="N91" s="263"/>
      <c r="O91" s="264">
        <f>SUM(O92:O138)</f>
        <v>55.323907822274812</v>
      </c>
    </row>
    <row r="92" spans="1:15" ht="15">
      <c r="A92" s="13" t="s">
        <v>221</v>
      </c>
      <c r="B92" s="56" t="s">
        <v>715</v>
      </c>
      <c r="C92" s="13" t="s">
        <v>24</v>
      </c>
      <c r="D92" s="13">
        <v>112</v>
      </c>
      <c r="E92" s="13"/>
      <c r="F92" s="13" t="s">
        <v>11</v>
      </c>
      <c r="G92" s="432">
        <v>8</v>
      </c>
      <c r="H92" s="440">
        <v>10</v>
      </c>
      <c r="I92" s="28">
        <v>2</v>
      </c>
      <c r="J92" s="441">
        <f t="shared" si="22" ref="J92:J138">H92/G92*I92</f>
        <v>2.50</v>
      </c>
      <c r="K92" s="28">
        <v>1</v>
      </c>
      <c r="L92" s="267">
        <f t="shared" si="23" ref="L92:L138">J92*K92</f>
        <v>2.50</v>
      </c>
      <c r="M92" s="433">
        <f t="shared" si="24" ref="M92:M138">L92*N92</f>
        <v>500</v>
      </c>
      <c r="N92" s="434">
        <v>200</v>
      </c>
      <c r="O92" s="435">
        <f t="shared" si="25" ref="O92:O138">J92/I92*K92</f>
        <v>1.25</v>
      </c>
    </row>
    <row r="93" spans="1:15" ht="15">
      <c r="A93" s="54" t="s">
        <v>1293</v>
      </c>
      <c r="B93" s="55" t="s">
        <v>1294</v>
      </c>
      <c r="C93" s="13" t="s">
        <v>160</v>
      </c>
      <c r="D93" s="13">
        <v>112</v>
      </c>
      <c r="E93" s="13" t="s">
        <v>53</v>
      </c>
      <c r="F93" s="13" t="s">
        <v>1295</v>
      </c>
      <c r="G93" s="28">
        <v>40</v>
      </c>
      <c r="H93" s="431">
        <v>10</v>
      </c>
      <c r="I93" s="28">
        <v>1</v>
      </c>
      <c r="J93" s="473">
        <f t="shared" si="22"/>
        <v>0.25</v>
      </c>
      <c r="K93" s="442">
        <f>560*3.1415*2/1000</f>
        <v>3.5184799999999998</v>
      </c>
      <c r="L93" s="267">
        <f t="shared" si="23"/>
        <v>0.87961999999999996</v>
      </c>
      <c r="M93" s="474">
        <f t="shared" si="24"/>
        <v>175.92399999999998</v>
      </c>
      <c r="N93" s="488">
        <v>200</v>
      </c>
      <c r="O93" s="435">
        <f t="shared" si="25"/>
        <v>0.87961999999999996</v>
      </c>
    </row>
    <row r="94" spans="1:15" ht="30">
      <c r="A94" s="13" t="s">
        <v>225</v>
      </c>
      <c r="B94" s="27" t="s">
        <v>230</v>
      </c>
      <c r="C94" s="13" t="s">
        <v>226</v>
      </c>
      <c r="D94" s="13">
        <v>302</v>
      </c>
      <c r="E94" s="13"/>
      <c r="F94" s="13" t="s">
        <v>227</v>
      </c>
      <c r="G94" s="28">
        <f>600/2.5</f>
        <v>240</v>
      </c>
      <c r="H94" s="440">
        <v>10</v>
      </c>
      <c r="I94" s="28">
        <v>2</v>
      </c>
      <c r="J94" s="441">
        <f t="shared" si="22"/>
        <v>0.083333333333333329</v>
      </c>
      <c r="K94" s="28">
        <v>48</v>
      </c>
      <c r="L94" s="435">
        <f t="shared" si="23"/>
        <v>4</v>
      </c>
      <c r="M94" s="433">
        <f t="shared" si="24"/>
        <v>800</v>
      </c>
      <c r="N94" s="433">
        <v>200</v>
      </c>
      <c r="O94" s="435">
        <f t="shared" si="25"/>
        <v>2</v>
      </c>
    </row>
    <row r="95" spans="1:15" ht="30">
      <c r="A95" s="13" t="s">
        <v>228</v>
      </c>
      <c r="B95" s="27" t="s">
        <v>1282</v>
      </c>
      <c r="C95" s="13" t="s">
        <v>24</v>
      </c>
      <c r="D95" s="13">
        <v>110</v>
      </c>
      <c r="E95" s="13"/>
      <c r="F95" s="13" t="s">
        <v>63</v>
      </c>
      <c r="G95" s="28">
        <f>10*40</f>
        <v>400</v>
      </c>
      <c r="H95" s="440">
        <v>10</v>
      </c>
      <c r="I95" s="28">
        <v>2</v>
      </c>
      <c r="J95" s="441">
        <f t="shared" si="22"/>
        <v>0.05</v>
      </c>
      <c r="K95" s="28">
        <v>48</v>
      </c>
      <c r="L95" s="435">
        <f t="shared" si="23"/>
        <v>2.4000000000000004</v>
      </c>
      <c r="M95" s="433">
        <f t="shared" si="24"/>
        <v>364.80000000000007</v>
      </c>
      <c r="N95" s="433">
        <v>152</v>
      </c>
      <c r="O95" s="435">
        <f t="shared" si="25"/>
        <v>1.2000000000000002</v>
      </c>
    </row>
    <row r="96" spans="1:15" ht="15">
      <c r="A96" s="13" t="s">
        <v>232</v>
      </c>
      <c r="B96" s="27" t="s">
        <v>61</v>
      </c>
      <c r="C96" s="13" t="s">
        <v>62</v>
      </c>
      <c r="D96" s="13">
        <v>112</v>
      </c>
      <c r="E96" s="13"/>
      <c r="F96" s="13" t="s">
        <v>63</v>
      </c>
      <c r="G96" s="28">
        <v>200</v>
      </c>
      <c r="H96" s="440">
        <v>10</v>
      </c>
      <c r="I96" s="28">
        <v>2</v>
      </c>
      <c r="J96" s="441">
        <f t="shared" si="22"/>
        <v>0.10000000000000001</v>
      </c>
      <c r="K96" s="28">
        <v>48</v>
      </c>
      <c r="L96" s="267">
        <f t="shared" si="23"/>
        <v>4.8000000000000007</v>
      </c>
      <c r="M96" s="433">
        <f t="shared" si="24"/>
        <v>729.60000000000014</v>
      </c>
      <c r="N96" s="434">
        <v>152</v>
      </c>
      <c r="O96" s="435">
        <f t="shared" si="25"/>
        <v>2.4000000000000004</v>
      </c>
    </row>
    <row r="97" spans="1:15" ht="15">
      <c r="A97" s="13" t="s">
        <v>536</v>
      </c>
      <c r="B97" s="27" t="s">
        <v>537</v>
      </c>
      <c r="C97" s="13" t="s">
        <v>538</v>
      </c>
      <c r="D97" s="13">
        <v>115</v>
      </c>
      <c r="E97" s="13"/>
      <c r="F97" s="13" t="s">
        <v>63</v>
      </c>
      <c r="G97" s="28">
        <v>1200</v>
      </c>
      <c r="H97" s="440">
        <v>10</v>
      </c>
      <c r="I97" s="28">
        <v>1</v>
      </c>
      <c r="J97" s="441">
        <f t="shared" si="22"/>
        <v>0.0083333333333333332</v>
      </c>
      <c r="K97" s="28">
        <v>48</v>
      </c>
      <c r="L97" s="267">
        <f t="shared" si="23"/>
        <v>0.40</v>
      </c>
      <c r="M97" s="433">
        <f t="shared" si="24"/>
        <v>80</v>
      </c>
      <c r="N97" s="434">
        <v>200</v>
      </c>
      <c r="O97" s="435">
        <f t="shared" si="25"/>
        <v>0.40</v>
      </c>
    </row>
    <row r="98" spans="1:15" ht="30">
      <c r="A98" s="13" t="s">
        <v>233</v>
      </c>
      <c r="B98" s="27" t="s">
        <v>66</v>
      </c>
      <c r="C98" s="13" t="s">
        <v>48</v>
      </c>
      <c r="D98" s="13">
        <v>112</v>
      </c>
      <c r="E98" s="13"/>
      <c r="F98" s="13" t="s">
        <v>67</v>
      </c>
      <c r="G98" s="28">
        <v>80</v>
      </c>
      <c r="H98" s="440">
        <v>10</v>
      </c>
      <c r="I98" s="28">
        <v>2</v>
      </c>
      <c r="J98" s="441">
        <f t="shared" si="22"/>
        <v>0.25</v>
      </c>
      <c r="K98" s="28">
        <v>4</v>
      </c>
      <c r="L98" s="267">
        <f t="shared" si="23"/>
        <v>1</v>
      </c>
      <c r="M98" s="433">
        <f t="shared" si="24"/>
        <v>200</v>
      </c>
      <c r="N98" s="434">
        <v>200</v>
      </c>
      <c r="O98" s="435">
        <f t="shared" si="25"/>
        <v>0.50</v>
      </c>
    </row>
    <row r="99" spans="1:15" ht="15">
      <c r="A99" s="637" t="s">
        <v>234</v>
      </c>
      <c r="B99" s="648" t="s">
        <v>235</v>
      </c>
      <c r="C99" s="13" t="s">
        <v>72</v>
      </c>
      <c r="D99" s="13">
        <v>115</v>
      </c>
      <c r="E99" s="13"/>
      <c r="F99" s="13" t="s">
        <v>236</v>
      </c>
      <c r="G99" s="28">
        <v>30</v>
      </c>
      <c r="H99" s="440">
        <v>10</v>
      </c>
      <c r="I99" s="28">
        <v>2</v>
      </c>
      <c r="J99" s="441">
        <f t="shared" si="22"/>
        <v>0.66666666666666663</v>
      </c>
      <c r="K99" s="28">
        <v>5</v>
      </c>
      <c r="L99" s="267">
        <f t="shared" si="23"/>
        <v>3.333333333333333</v>
      </c>
      <c r="M99" s="433">
        <f t="shared" si="24"/>
        <v>666.66666666666663</v>
      </c>
      <c r="N99" s="434">
        <v>200</v>
      </c>
      <c r="O99" s="435">
        <f t="shared" si="25"/>
        <v>1.6666666666666665</v>
      </c>
    </row>
    <row r="100" spans="1:15" ht="15">
      <c r="A100" s="637"/>
      <c r="B100" s="648"/>
      <c r="C100" s="13" t="s">
        <v>48</v>
      </c>
      <c r="D100" s="13">
        <v>115</v>
      </c>
      <c r="E100" s="13" t="s">
        <v>73</v>
      </c>
      <c r="F100" s="13" t="s">
        <v>10</v>
      </c>
      <c r="G100" s="28">
        <v>40</v>
      </c>
      <c r="H100" s="440">
        <v>10</v>
      </c>
      <c r="I100" s="28">
        <v>1</v>
      </c>
      <c r="J100" s="441">
        <f t="shared" si="22"/>
        <v>0.25</v>
      </c>
      <c r="K100" s="442">
        <f>(588+1178+2166+428+1198)*2/1000</f>
        <v>11.116</v>
      </c>
      <c r="L100" s="267">
        <f t="shared" si="23"/>
        <v>2.7789999999999999</v>
      </c>
      <c r="M100" s="433">
        <f t="shared" si="24"/>
        <v>555.79999999999995</v>
      </c>
      <c r="N100" s="434">
        <v>200</v>
      </c>
      <c r="O100" s="435">
        <f t="shared" si="25"/>
        <v>2.7789999999999999</v>
      </c>
    </row>
    <row r="101" spans="1:15" ht="15">
      <c r="A101" s="13" t="s">
        <v>237</v>
      </c>
      <c r="B101" s="56" t="s">
        <v>238</v>
      </c>
      <c r="C101" s="13" t="s">
        <v>69</v>
      </c>
      <c r="D101" s="13">
        <v>110</v>
      </c>
      <c r="E101" s="13"/>
      <c r="F101" s="13" t="s">
        <v>34</v>
      </c>
      <c r="G101" s="28">
        <v>10</v>
      </c>
      <c r="H101" s="440">
        <v>10</v>
      </c>
      <c r="I101" s="28">
        <v>2</v>
      </c>
      <c r="J101" s="441">
        <f t="shared" si="22"/>
        <v>2</v>
      </c>
      <c r="K101" s="28">
        <v>1</v>
      </c>
      <c r="L101" s="267">
        <f t="shared" si="23"/>
        <v>2</v>
      </c>
      <c r="M101" s="433">
        <f t="shared" si="24"/>
        <v>400</v>
      </c>
      <c r="N101" s="434">
        <v>200</v>
      </c>
      <c r="O101" s="435">
        <f t="shared" si="25"/>
        <v>1</v>
      </c>
    </row>
    <row r="102" spans="1:15" ht="30">
      <c r="A102" s="13" t="s">
        <v>896</v>
      </c>
      <c r="B102" s="56" t="s">
        <v>894</v>
      </c>
      <c r="C102" s="13" t="s">
        <v>138</v>
      </c>
      <c r="D102" s="13">
        <v>110</v>
      </c>
      <c r="E102" s="13"/>
      <c r="F102" s="13" t="s">
        <v>12</v>
      </c>
      <c r="G102" s="28">
        <v>20</v>
      </c>
      <c r="H102" s="440">
        <v>10</v>
      </c>
      <c r="I102" s="28">
        <v>2</v>
      </c>
      <c r="J102" s="441">
        <f t="shared" si="22"/>
        <v>1</v>
      </c>
      <c r="K102" s="28">
        <v>1</v>
      </c>
      <c r="L102" s="267">
        <f t="shared" si="23"/>
        <v>1</v>
      </c>
      <c r="M102" s="433">
        <f t="shared" si="24"/>
        <v>200</v>
      </c>
      <c r="N102" s="434">
        <v>200</v>
      </c>
      <c r="O102" s="435">
        <f t="shared" si="25"/>
        <v>0.50</v>
      </c>
    </row>
    <row r="103" spans="1:15" ht="30">
      <c r="A103" s="13" t="s">
        <v>243</v>
      </c>
      <c r="B103" s="56" t="s">
        <v>244</v>
      </c>
      <c r="C103" s="13" t="s">
        <v>25</v>
      </c>
      <c r="D103" s="13">
        <v>110</v>
      </c>
      <c r="E103" s="13" t="s">
        <v>53</v>
      </c>
      <c r="F103" s="13" t="s">
        <v>10</v>
      </c>
      <c r="G103" s="28">
        <v>40</v>
      </c>
      <c r="H103" s="440">
        <v>10</v>
      </c>
      <c r="I103" s="28">
        <v>1</v>
      </c>
      <c r="J103" s="441">
        <f t="shared" si="22"/>
        <v>0.25</v>
      </c>
      <c r="K103" s="28">
        <f>3380*2/1000</f>
        <v>6.76</v>
      </c>
      <c r="L103" s="267">
        <f t="shared" si="23"/>
        <v>1.69</v>
      </c>
      <c r="M103" s="433">
        <f t="shared" si="24"/>
        <v>338</v>
      </c>
      <c r="N103" s="434">
        <v>200</v>
      </c>
      <c r="O103" s="435">
        <f t="shared" si="25"/>
        <v>1.69</v>
      </c>
    </row>
    <row r="104" spans="1:15" ht="15">
      <c r="A104" s="13" t="s">
        <v>237</v>
      </c>
      <c r="B104" s="56" t="s">
        <v>71</v>
      </c>
      <c r="C104" s="13" t="s">
        <v>68</v>
      </c>
      <c r="D104" s="13">
        <v>110</v>
      </c>
      <c r="E104" s="13"/>
      <c r="F104" s="13" t="s">
        <v>34</v>
      </c>
      <c r="G104" s="28">
        <v>20</v>
      </c>
      <c r="H104" s="440">
        <v>10</v>
      </c>
      <c r="I104" s="28">
        <v>2</v>
      </c>
      <c r="J104" s="441">
        <f t="shared" si="22"/>
        <v>1</v>
      </c>
      <c r="K104" s="28">
        <v>1</v>
      </c>
      <c r="L104" s="267">
        <f t="shared" si="23"/>
        <v>1</v>
      </c>
      <c r="M104" s="433">
        <f t="shared" si="24"/>
        <v>200</v>
      </c>
      <c r="N104" s="434">
        <v>200</v>
      </c>
      <c r="O104" s="435">
        <f t="shared" si="25"/>
        <v>0.50</v>
      </c>
    </row>
    <row r="105" spans="1:15" ht="30">
      <c r="A105" s="13" t="s">
        <v>897</v>
      </c>
      <c r="B105" s="56" t="s">
        <v>895</v>
      </c>
      <c r="C105" s="13" t="s">
        <v>138</v>
      </c>
      <c r="D105" s="13">
        <v>110</v>
      </c>
      <c r="E105" s="13"/>
      <c r="F105" s="13" t="s">
        <v>12</v>
      </c>
      <c r="G105" s="28">
        <v>20</v>
      </c>
      <c r="H105" s="440">
        <v>10</v>
      </c>
      <c r="I105" s="28">
        <v>2</v>
      </c>
      <c r="J105" s="441">
        <f t="shared" si="22"/>
        <v>1</v>
      </c>
      <c r="K105" s="28">
        <v>1</v>
      </c>
      <c r="L105" s="267">
        <f t="shared" si="23"/>
        <v>1</v>
      </c>
      <c r="M105" s="433">
        <f t="shared" si="24"/>
        <v>200</v>
      </c>
      <c r="N105" s="434">
        <v>200</v>
      </c>
      <c r="O105" s="435">
        <f t="shared" si="25"/>
        <v>0.50</v>
      </c>
    </row>
    <row r="106" spans="1:15" ht="30">
      <c r="A106" s="13" t="s">
        <v>249</v>
      </c>
      <c r="B106" s="56" t="s">
        <v>248</v>
      </c>
      <c r="C106" s="13" t="s">
        <v>25</v>
      </c>
      <c r="D106" s="13">
        <v>110</v>
      </c>
      <c r="E106" s="13" t="s">
        <v>53</v>
      </c>
      <c r="F106" s="13" t="s">
        <v>10</v>
      </c>
      <c r="G106" s="28">
        <v>40</v>
      </c>
      <c r="H106" s="440">
        <v>10</v>
      </c>
      <c r="I106" s="28">
        <v>1</v>
      </c>
      <c r="J106" s="441">
        <f t="shared" si="22"/>
        <v>0.25</v>
      </c>
      <c r="K106" s="28">
        <f>3380*2/1000</f>
        <v>6.76</v>
      </c>
      <c r="L106" s="267">
        <f t="shared" si="23"/>
        <v>1.69</v>
      </c>
      <c r="M106" s="433">
        <f t="shared" si="24"/>
        <v>338</v>
      </c>
      <c r="N106" s="434">
        <v>200</v>
      </c>
      <c r="O106" s="435">
        <f t="shared" si="25"/>
        <v>1.69</v>
      </c>
    </row>
    <row r="107" spans="1:15" ht="15">
      <c r="A107" s="13" t="s">
        <v>237</v>
      </c>
      <c r="B107" s="56" t="s">
        <v>71</v>
      </c>
      <c r="C107" s="13" t="s">
        <v>68</v>
      </c>
      <c r="D107" s="13">
        <v>110</v>
      </c>
      <c r="E107" s="13"/>
      <c r="F107" s="13" t="s">
        <v>34</v>
      </c>
      <c r="G107" s="28">
        <v>20</v>
      </c>
      <c r="H107" s="440">
        <v>10</v>
      </c>
      <c r="I107" s="28">
        <v>2</v>
      </c>
      <c r="J107" s="441">
        <f t="shared" si="22"/>
        <v>1</v>
      </c>
      <c r="K107" s="28">
        <v>1</v>
      </c>
      <c r="L107" s="267">
        <f t="shared" si="23"/>
        <v>1</v>
      </c>
      <c r="M107" s="433">
        <f t="shared" si="24"/>
        <v>200</v>
      </c>
      <c r="N107" s="434">
        <v>200</v>
      </c>
      <c r="O107" s="435">
        <f t="shared" si="25"/>
        <v>0.50</v>
      </c>
    </row>
    <row r="108" spans="1:15" ht="30">
      <c r="A108" s="13" t="s">
        <v>239</v>
      </c>
      <c r="B108" s="56" t="s">
        <v>240</v>
      </c>
      <c r="C108" s="13" t="s">
        <v>25</v>
      </c>
      <c r="D108" s="13">
        <v>113</v>
      </c>
      <c r="E108" s="13"/>
      <c r="F108" s="13" t="s">
        <v>63</v>
      </c>
      <c r="G108" s="432">
        <v>112</v>
      </c>
      <c r="H108" s="440">
        <v>10</v>
      </c>
      <c r="I108" s="28">
        <v>1</v>
      </c>
      <c r="J108" s="441">
        <f t="shared" si="22"/>
        <v>0.089285714285714288</v>
      </c>
      <c r="K108" s="28">
        <v>48</v>
      </c>
      <c r="L108" s="267">
        <f t="shared" si="23"/>
        <v>4.2857142857142856</v>
      </c>
      <c r="M108" s="433">
        <f t="shared" si="24"/>
        <v>1114.2857142857142</v>
      </c>
      <c r="N108" s="434">
        <v>260</v>
      </c>
      <c r="O108" s="435">
        <f t="shared" si="25"/>
        <v>4.2857142857142856</v>
      </c>
    </row>
    <row r="109" spans="1:15" ht="30">
      <c r="A109" s="13" t="s">
        <v>317</v>
      </c>
      <c r="B109" s="56" t="s">
        <v>316</v>
      </c>
      <c r="C109" s="13" t="s">
        <v>25</v>
      </c>
      <c r="D109" s="13">
        <v>113</v>
      </c>
      <c r="E109" s="13" t="s">
        <v>70</v>
      </c>
      <c r="F109" s="13" t="s">
        <v>10</v>
      </c>
      <c r="G109" s="28">
        <v>40</v>
      </c>
      <c r="H109" s="440">
        <v>10</v>
      </c>
      <c r="I109" s="28">
        <v>1</v>
      </c>
      <c r="J109" s="441">
        <f t="shared" si="22"/>
        <v>0.25</v>
      </c>
      <c r="K109" s="436">
        <f>630/1000*3.1415</f>
        <v>1.9791450000000002</v>
      </c>
      <c r="L109" s="267">
        <f t="shared" si="23"/>
        <v>0.49478625000000004</v>
      </c>
      <c r="M109" s="433">
        <f t="shared" si="24"/>
        <v>98.957250000000002</v>
      </c>
      <c r="N109" s="434">
        <v>200</v>
      </c>
      <c r="O109" s="435">
        <f t="shared" si="25"/>
        <v>0.49478625000000004</v>
      </c>
    </row>
    <row r="110" spans="1:15" ht="30">
      <c r="A110" s="13" t="s">
        <v>245</v>
      </c>
      <c r="B110" s="56" t="s">
        <v>246</v>
      </c>
      <c r="C110" s="13" t="s">
        <v>25</v>
      </c>
      <c r="D110" s="13">
        <v>113</v>
      </c>
      <c r="E110" s="13"/>
      <c r="F110" s="13" t="s">
        <v>63</v>
      </c>
      <c r="G110" s="432">
        <v>112</v>
      </c>
      <c r="H110" s="440">
        <v>10</v>
      </c>
      <c r="I110" s="28">
        <v>1</v>
      </c>
      <c r="J110" s="441">
        <f t="shared" si="22"/>
        <v>0.089285714285714288</v>
      </c>
      <c r="K110" s="28">
        <v>48</v>
      </c>
      <c r="L110" s="267">
        <f t="shared" si="23"/>
        <v>4.2857142857142856</v>
      </c>
      <c r="M110" s="433">
        <f t="shared" si="24"/>
        <v>1114.2857142857142</v>
      </c>
      <c r="N110" s="434">
        <v>260</v>
      </c>
      <c r="O110" s="435">
        <f t="shared" si="25"/>
        <v>4.2857142857142856</v>
      </c>
    </row>
    <row r="111" spans="1:15" ht="15">
      <c r="A111" s="13" t="s">
        <v>741</v>
      </c>
      <c r="B111" s="56" t="s">
        <v>1281</v>
      </c>
      <c r="C111" s="13" t="s">
        <v>33</v>
      </c>
      <c r="D111" s="13">
        <v>115</v>
      </c>
      <c r="E111" s="13"/>
      <c r="F111" s="13"/>
      <c r="G111" s="28">
        <v>10</v>
      </c>
      <c r="H111" s="440">
        <v>10</v>
      </c>
      <c r="I111" s="28">
        <v>1</v>
      </c>
      <c r="J111" s="441">
        <f t="shared" si="22"/>
        <v>1</v>
      </c>
      <c r="K111" s="28">
        <v>1.50</v>
      </c>
      <c r="L111" s="267">
        <f t="shared" si="23"/>
        <v>1.50</v>
      </c>
      <c r="M111" s="433">
        <f t="shared" si="24"/>
        <v>300</v>
      </c>
      <c r="N111" s="434">
        <v>200</v>
      </c>
      <c r="O111" s="435">
        <f t="shared" si="25"/>
        <v>1.50</v>
      </c>
    </row>
    <row r="112" spans="1:15" ht="15">
      <c r="A112" s="645" t="s">
        <v>254</v>
      </c>
      <c r="B112" s="639" t="s">
        <v>884</v>
      </c>
      <c r="C112" s="13" t="s">
        <v>76</v>
      </c>
      <c r="D112" s="13">
        <v>115</v>
      </c>
      <c r="E112" s="13"/>
      <c r="F112" s="13" t="s">
        <v>78</v>
      </c>
      <c r="G112" s="28">
        <v>20</v>
      </c>
      <c r="H112" s="440">
        <v>10</v>
      </c>
      <c r="I112" s="28">
        <v>2</v>
      </c>
      <c r="J112" s="441">
        <f t="shared" si="22"/>
        <v>1</v>
      </c>
      <c r="K112" s="28">
        <v>2</v>
      </c>
      <c r="L112" s="267">
        <f t="shared" si="23"/>
        <v>2</v>
      </c>
      <c r="M112" s="433">
        <f t="shared" si="24"/>
        <v>400</v>
      </c>
      <c r="N112" s="434">
        <v>200</v>
      </c>
      <c r="O112" s="435">
        <f t="shared" si="25"/>
        <v>1</v>
      </c>
    </row>
    <row r="113" spans="1:15" ht="15">
      <c r="A113" s="647"/>
      <c r="B113" s="641"/>
      <c r="C113" s="13" t="s">
        <v>77</v>
      </c>
      <c r="D113" s="13">
        <v>115</v>
      </c>
      <c r="E113" s="13" t="s">
        <v>79</v>
      </c>
      <c r="F113" s="13" t="s">
        <v>10</v>
      </c>
      <c r="G113" s="28">
        <v>40</v>
      </c>
      <c r="H113" s="440">
        <v>10</v>
      </c>
      <c r="I113" s="28">
        <v>1</v>
      </c>
      <c r="J113" s="441">
        <f t="shared" si="22"/>
        <v>0.25</v>
      </c>
      <c r="K113" s="442">
        <f>(116*2*4+130*4)/1000</f>
        <v>1.448</v>
      </c>
      <c r="L113" s="267">
        <f t="shared" si="23"/>
        <v>0.36199999999999999</v>
      </c>
      <c r="M113" s="433">
        <f t="shared" si="24"/>
        <v>72.399999999999991</v>
      </c>
      <c r="N113" s="434">
        <v>200</v>
      </c>
      <c r="O113" s="435">
        <f t="shared" si="25"/>
        <v>0.36199999999999999</v>
      </c>
    </row>
    <row r="114" spans="1:15" ht="15">
      <c r="A114" s="637" t="s">
        <v>257</v>
      </c>
      <c r="B114" s="638" t="s">
        <v>258</v>
      </c>
      <c r="C114" s="13" t="s">
        <v>259</v>
      </c>
      <c r="D114" s="13">
        <v>107</v>
      </c>
      <c r="E114" s="13" t="s">
        <v>260</v>
      </c>
      <c r="F114" s="13" t="s">
        <v>261</v>
      </c>
      <c r="G114" s="442">
        <f>8*2</f>
        <v>16</v>
      </c>
      <c r="H114" s="468">
        <v>10</v>
      </c>
      <c r="I114" s="432">
        <v>2</v>
      </c>
      <c r="J114" s="468">
        <f t="shared" si="22"/>
        <v>1.25</v>
      </c>
      <c r="K114" s="442">
        <v>1</v>
      </c>
      <c r="L114" s="267">
        <f t="shared" si="23"/>
        <v>1.25</v>
      </c>
      <c r="M114" s="266">
        <f t="shared" si="24"/>
        <v>250</v>
      </c>
      <c r="N114" s="433">
        <v>200</v>
      </c>
      <c r="O114" s="267">
        <f t="shared" si="25"/>
        <v>0.625</v>
      </c>
    </row>
    <row r="115" spans="1:15" ht="15">
      <c r="A115" s="637"/>
      <c r="B115" s="638"/>
      <c r="C115" s="13" t="s">
        <v>951</v>
      </c>
      <c r="D115" s="13">
        <v>107</v>
      </c>
      <c r="E115" s="13" t="s">
        <v>260</v>
      </c>
      <c r="F115" s="17" t="s">
        <v>261</v>
      </c>
      <c r="G115" s="31">
        <v>44</v>
      </c>
      <c r="H115" s="252">
        <v>10</v>
      </c>
      <c r="I115" s="16">
        <v>2</v>
      </c>
      <c r="J115" s="253">
        <f t="shared" si="22"/>
        <v>0.45454545454545453</v>
      </c>
      <c r="K115" s="31">
        <v>2</v>
      </c>
      <c r="L115" s="8">
        <f t="shared" si="23"/>
        <v>0.90909090909090906</v>
      </c>
      <c r="M115" s="42">
        <f t="shared" si="24"/>
        <v>181.81818181818181</v>
      </c>
      <c r="N115" s="43">
        <v>200</v>
      </c>
      <c r="O115" s="8">
        <f t="shared" si="25"/>
        <v>0.45454545454545453</v>
      </c>
    </row>
    <row r="116" spans="1:15" ht="15">
      <c r="A116" s="637"/>
      <c r="B116" s="638"/>
      <c r="C116" s="13" t="s">
        <v>952</v>
      </c>
      <c r="D116" s="13">
        <v>107</v>
      </c>
      <c r="E116" s="13" t="s">
        <v>260</v>
      </c>
      <c r="F116" s="17" t="s">
        <v>261</v>
      </c>
      <c r="G116" s="31">
        <v>109</v>
      </c>
      <c r="H116" s="18">
        <v>10</v>
      </c>
      <c r="I116" s="16">
        <v>2</v>
      </c>
      <c r="J116" s="20">
        <f t="shared" si="22"/>
        <v>0.1834862385321101</v>
      </c>
      <c r="K116" s="31">
        <v>4</v>
      </c>
      <c r="L116" s="8">
        <f t="shared" si="23"/>
        <v>0.73394495412844041</v>
      </c>
      <c r="M116" s="42">
        <f t="shared" si="24"/>
        <v>146.78899082568807</v>
      </c>
      <c r="N116" s="43">
        <v>200</v>
      </c>
      <c r="O116" s="8">
        <f t="shared" si="25"/>
        <v>0.3669724770642202</v>
      </c>
    </row>
    <row r="117" spans="1:15" ht="15">
      <c r="A117" s="637" t="s">
        <v>265</v>
      </c>
      <c r="B117" s="638" t="s">
        <v>266</v>
      </c>
      <c r="C117" s="13" t="s">
        <v>76</v>
      </c>
      <c r="D117" s="13">
        <v>116</v>
      </c>
      <c r="E117" s="13"/>
      <c r="F117" s="13" t="s">
        <v>82</v>
      </c>
      <c r="G117" s="28">
        <v>9</v>
      </c>
      <c r="H117" s="440">
        <v>10</v>
      </c>
      <c r="I117" s="28">
        <v>2</v>
      </c>
      <c r="J117" s="441">
        <f t="shared" si="22"/>
        <v>2.2222222222222223</v>
      </c>
      <c r="K117" s="28">
        <v>1</v>
      </c>
      <c r="L117" s="267">
        <f t="shared" si="23"/>
        <v>2.2222222222222223</v>
      </c>
      <c r="M117" s="433">
        <f t="shared" si="24"/>
        <v>444.44444444444446</v>
      </c>
      <c r="N117" s="434">
        <v>200</v>
      </c>
      <c r="O117" s="435">
        <f t="shared" si="25"/>
        <v>1.1111111111111112</v>
      </c>
    </row>
    <row r="118" spans="1:15" ht="15">
      <c r="A118" s="637"/>
      <c r="B118" s="638"/>
      <c r="C118" s="13" t="s">
        <v>77</v>
      </c>
      <c r="D118" s="13">
        <v>116</v>
      </c>
      <c r="E118" s="13" t="s">
        <v>264</v>
      </c>
      <c r="F118" s="13" t="s">
        <v>10</v>
      </c>
      <c r="G118" s="28">
        <v>40</v>
      </c>
      <c r="H118" s="440">
        <v>10</v>
      </c>
      <c r="I118" s="28">
        <v>1</v>
      </c>
      <c r="J118" s="441">
        <f t="shared" si="22"/>
        <v>0.25</v>
      </c>
      <c r="K118" s="442">
        <f>(89*3.1415*3)*2/1000</f>
        <v>1.6775610000000001</v>
      </c>
      <c r="L118" s="267">
        <f t="shared" si="23"/>
        <v>0.41939025000000002</v>
      </c>
      <c r="M118" s="433">
        <f t="shared" si="24"/>
        <v>83.878050000000002</v>
      </c>
      <c r="N118" s="434">
        <v>200</v>
      </c>
      <c r="O118" s="435">
        <f t="shared" si="25"/>
        <v>0.41939025000000002</v>
      </c>
    </row>
    <row r="119" spans="1:15" ht="30">
      <c r="A119" s="13" t="s">
        <v>267</v>
      </c>
      <c r="B119" s="27" t="s">
        <v>519</v>
      </c>
      <c r="C119" s="13" t="s">
        <v>77</v>
      </c>
      <c r="D119" s="13">
        <v>116</v>
      </c>
      <c r="E119" s="13"/>
      <c r="F119" s="13" t="s">
        <v>67</v>
      </c>
      <c r="G119" s="28">
        <v>10</v>
      </c>
      <c r="H119" s="440">
        <v>10</v>
      </c>
      <c r="I119" s="28">
        <v>2</v>
      </c>
      <c r="J119" s="441">
        <f t="shared" si="22"/>
        <v>2</v>
      </c>
      <c r="K119" s="28">
        <v>1</v>
      </c>
      <c r="L119" s="267">
        <f t="shared" si="23"/>
        <v>2</v>
      </c>
      <c r="M119" s="433">
        <f t="shared" si="24"/>
        <v>400</v>
      </c>
      <c r="N119" s="434">
        <v>200</v>
      </c>
      <c r="O119" s="435">
        <f t="shared" si="25"/>
        <v>1</v>
      </c>
    </row>
    <row r="120" spans="1:15" ht="15">
      <c r="A120" s="13" t="s">
        <v>268</v>
      </c>
      <c r="B120" s="27" t="s">
        <v>334</v>
      </c>
      <c r="C120" s="13" t="s">
        <v>83</v>
      </c>
      <c r="D120" s="13">
        <v>116</v>
      </c>
      <c r="E120" s="13"/>
      <c r="F120" s="4" t="s">
        <v>84</v>
      </c>
      <c r="G120" s="16">
        <v>11</v>
      </c>
      <c r="H120" s="440">
        <v>10</v>
      </c>
      <c r="I120" s="28">
        <v>2</v>
      </c>
      <c r="J120" s="441">
        <f t="shared" si="22"/>
        <v>1.8181818181818181</v>
      </c>
      <c r="K120" s="28">
        <v>1</v>
      </c>
      <c r="L120" s="267">
        <f t="shared" si="23"/>
        <v>1.8181818181818181</v>
      </c>
      <c r="M120" s="433">
        <f t="shared" si="24"/>
        <v>363.63636363636363</v>
      </c>
      <c r="N120" s="434">
        <v>200</v>
      </c>
      <c r="O120" s="435">
        <f t="shared" si="25"/>
        <v>0.90909090909090906</v>
      </c>
    </row>
    <row r="121" spans="1:15" ht="15">
      <c r="A121" s="13" t="s">
        <v>335</v>
      </c>
      <c r="B121" s="27" t="s">
        <v>336</v>
      </c>
      <c r="C121" s="13" t="s">
        <v>83</v>
      </c>
      <c r="D121" s="13">
        <v>116</v>
      </c>
      <c r="E121" s="13"/>
      <c r="F121" s="4" t="s">
        <v>84</v>
      </c>
      <c r="G121" s="16">
        <v>5</v>
      </c>
      <c r="H121" s="440">
        <v>10</v>
      </c>
      <c r="I121" s="28">
        <v>2</v>
      </c>
      <c r="J121" s="441">
        <f t="shared" si="22"/>
        <v>4</v>
      </c>
      <c r="K121" s="28">
        <v>1</v>
      </c>
      <c r="L121" s="267">
        <f t="shared" si="23"/>
        <v>4</v>
      </c>
      <c r="M121" s="433">
        <f t="shared" si="24"/>
        <v>800</v>
      </c>
      <c r="N121" s="434">
        <v>200</v>
      </c>
      <c r="O121" s="435">
        <f t="shared" si="25"/>
        <v>2</v>
      </c>
    </row>
    <row r="122" spans="1:15" ht="15">
      <c r="A122" s="13" t="s">
        <v>526</v>
      </c>
      <c r="B122" s="56" t="s">
        <v>524</v>
      </c>
      <c r="C122" s="13" t="s">
        <v>523</v>
      </c>
      <c r="D122" s="13">
        <v>224</v>
      </c>
      <c r="E122" s="13"/>
      <c r="F122" s="4" t="s">
        <v>525</v>
      </c>
      <c r="G122" s="28">
        <v>600</v>
      </c>
      <c r="H122" s="431">
        <v>10</v>
      </c>
      <c r="I122" s="28">
        <v>1</v>
      </c>
      <c r="J122" s="441">
        <f t="shared" si="22"/>
        <v>0.016666666666666666</v>
      </c>
      <c r="K122" s="28">
        <v>4</v>
      </c>
      <c r="L122" s="267">
        <f t="shared" si="23"/>
        <v>0.066666666666666666</v>
      </c>
      <c r="M122" s="433">
        <f t="shared" si="24"/>
        <v>11.733333333333333</v>
      </c>
      <c r="N122" s="434">
        <v>176</v>
      </c>
      <c r="O122" s="435">
        <f t="shared" si="25"/>
        <v>0.066666666666666666</v>
      </c>
    </row>
    <row r="123" spans="1:15" ht="15">
      <c r="A123" s="13" t="s">
        <v>269</v>
      </c>
      <c r="B123" s="56" t="s">
        <v>270</v>
      </c>
      <c r="C123" s="13" t="s">
        <v>523</v>
      </c>
      <c r="D123" s="13">
        <v>224</v>
      </c>
      <c r="E123" s="13"/>
      <c r="F123" s="4" t="s">
        <v>88</v>
      </c>
      <c r="G123" s="28">
        <v>300</v>
      </c>
      <c r="H123" s="431">
        <v>10</v>
      </c>
      <c r="I123" s="28">
        <v>1</v>
      </c>
      <c r="J123" s="441">
        <f t="shared" si="22"/>
        <v>0.033333333333333333</v>
      </c>
      <c r="K123" s="28">
        <v>2</v>
      </c>
      <c r="L123" s="267">
        <f t="shared" si="23"/>
        <v>0.066666666666666666</v>
      </c>
      <c r="M123" s="433">
        <f t="shared" si="24"/>
        <v>11.733333333333333</v>
      </c>
      <c r="N123" s="434">
        <v>176</v>
      </c>
      <c r="O123" s="435">
        <f t="shared" si="25"/>
        <v>0.066666666666666666</v>
      </c>
    </row>
    <row r="124" spans="1:15" ht="15">
      <c r="A124" s="13" t="s">
        <v>918</v>
      </c>
      <c r="B124" s="56" t="s">
        <v>898</v>
      </c>
      <c r="C124" s="13" t="s">
        <v>523</v>
      </c>
      <c r="D124" s="13">
        <v>224</v>
      </c>
      <c r="E124" s="13"/>
      <c r="F124" s="4" t="s">
        <v>88</v>
      </c>
      <c r="G124" s="28">
        <v>600</v>
      </c>
      <c r="H124" s="431">
        <v>10</v>
      </c>
      <c r="I124" s="28">
        <v>1</v>
      </c>
      <c r="J124" s="441">
        <f t="shared" si="22"/>
        <v>0.016666666666666666</v>
      </c>
      <c r="K124" s="28">
        <v>1</v>
      </c>
      <c r="L124" s="267">
        <f t="shared" si="23"/>
        <v>0.016666666666666666</v>
      </c>
      <c r="M124" s="433">
        <f t="shared" si="24"/>
        <v>2.9333333333333331</v>
      </c>
      <c r="N124" s="434">
        <v>176</v>
      </c>
      <c r="O124" s="435">
        <f t="shared" si="25"/>
        <v>0.016666666666666666</v>
      </c>
    </row>
    <row r="125" spans="1:15" ht="30">
      <c r="A125" s="13" t="s">
        <v>271</v>
      </c>
      <c r="B125" s="56" t="s">
        <v>85</v>
      </c>
      <c r="C125" s="13" t="s">
        <v>83</v>
      </c>
      <c r="D125" s="13">
        <v>116</v>
      </c>
      <c r="E125" s="13"/>
      <c r="F125" s="13" t="s">
        <v>12</v>
      </c>
      <c r="G125" s="28">
        <v>2.40</v>
      </c>
      <c r="H125" s="440">
        <v>10</v>
      </c>
      <c r="I125" s="28">
        <v>2</v>
      </c>
      <c r="J125" s="441">
        <f t="shared" si="22"/>
        <v>8.3333333333333339</v>
      </c>
      <c r="K125" s="28">
        <v>1</v>
      </c>
      <c r="L125" s="267">
        <f t="shared" si="23"/>
        <v>8.3333333333333339</v>
      </c>
      <c r="M125" s="433">
        <f t="shared" si="24"/>
        <v>1666.6666666666667</v>
      </c>
      <c r="N125" s="434">
        <v>200</v>
      </c>
      <c r="O125" s="435">
        <f t="shared" si="25"/>
        <v>4.166666666666667</v>
      </c>
    </row>
    <row r="126" spans="1:15" ht="15">
      <c r="A126" s="13" t="s">
        <v>272</v>
      </c>
      <c r="B126" s="27" t="s">
        <v>337</v>
      </c>
      <c r="C126" s="13" t="s">
        <v>83</v>
      </c>
      <c r="D126" s="13">
        <v>116</v>
      </c>
      <c r="E126" s="13"/>
      <c r="F126" s="4" t="s">
        <v>89</v>
      </c>
      <c r="G126" s="28">
        <v>11</v>
      </c>
      <c r="H126" s="440">
        <v>10</v>
      </c>
      <c r="I126" s="28">
        <v>2</v>
      </c>
      <c r="J126" s="441">
        <f t="shared" si="22"/>
        <v>1.8181818181818181</v>
      </c>
      <c r="K126" s="28">
        <v>1</v>
      </c>
      <c r="L126" s="267">
        <f t="shared" si="23"/>
        <v>1.8181818181818181</v>
      </c>
      <c r="M126" s="433">
        <f t="shared" si="24"/>
        <v>363.63636363636363</v>
      </c>
      <c r="N126" s="434">
        <v>200</v>
      </c>
      <c r="O126" s="435">
        <f t="shared" si="25"/>
        <v>0.90909090909090906</v>
      </c>
    </row>
    <row r="127" spans="1:15" ht="30">
      <c r="A127" s="13" t="s">
        <v>339</v>
      </c>
      <c r="B127" s="27" t="s">
        <v>338</v>
      </c>
      <c r="C127" s="13" t="s">
        <v>83</v>
      </c>
      <c r="D127" s="13">
        <v>116</v>
      </c>
      <c r="E127" s="13"/>
      <c r="F127" s="4" t="s">
        <v>89</v>
      </c>
      <c r="G127" s="28">
        <v>6</v>
      </c>
      <c r="H127" s="440">
        <v>10</v>
      </c>
      <c r="I127" s="28">
        <v>2</v>
      </c>
      <c r="J127" s="441">
        <f t="shared" si="22"/>
        <v>3.3333333333333335</v>
      </c>
      <c r="K127" s="28">
        <v>1</v>
      </c>
      <c r="L127" s="267">
        <f t="shared" si="23"/>
        <v>3.3333333333333335</v>
      </c>
      <c r="M127" s="433">
        <f t="shared" si="24"/>
        <v>666.66666666666674</v>
      </c>
      <c r="N127" s="434">
        <v>200</v>
      </c>
      <c r="O127" s="435">
        <f t="shared" si="25"/>
        <v>1.6666666666666667</v>
      </c>
    </row>
    <row r="128" spans="1:15" ht="30">
      <c r="A128" s="13" t="s">
        <v>273</v>
      </c>
      <c r="B128" s="27" t="s">
        <v>125</v>
      </c>
      <c r="C128" s="13" t="s">
        <v>54</v>
      </c>
      <c r="D128" s="13">
        <v>116</v>
      </c>
      <c r="E128" s="13"/>
      <c r="F128" s="4" t="s">
        <v>88</v>
      </c>
      <c r="G128" s="28">
        <v>15</v>
      </c>
      <c r="H128" s="440">
        <v>10</v>
      </c>
      <c r="I128" s="28">
        <v>2</v>
      </c>
      <c r="J128" s="441">
        <f t="shared" si="22"/>
        <v>1.3333333333333333</v>
      </c>
      <c r="K128" s="28">
        <v>2</v>
      </c>
      <c r="L128" s="267">
        <f t="shared" si="23"/>
        <v>2.6666666666666665</v>
      </c>
      <c r="M128" s="433">
        <f t="shared" si="24"/>
        <v>533.33333333333326</v>
      </c>
      <c r="N128" s="434">
        <v>200</v>
      </c>
      <c r="O128" s="435">
        <f t="shared" si="25"/>
        <v>1.3333333333333333</v>
      </c>
    </row>
    <row r="129" spans="1:15" ht="30">
      <c r="A129" s="523" t="s">
        <v>1668</v>
      </c>
      <c r="B129" s="522" t="s">
        <v>1670</v>
      </c>
      <c r="C129" s="523" t="s">
        <v>33</v>
      </c>
      <c r="D129" s="523">
        <v>116</v>
      </c>
      <c r="E129" s="523"/>
      <c r="F129" s="523" t="s">
        <v>1666</v>
      </c>
      <c r="G129" s="527">
        <v>13.38</v>
      </c>
      <c r="H129" s="530">
        <v>10</v>
      </c>
      <c r="I129" s="527">
        <v>2</v>
      </c>
      <c r="J129" s="531">
        <f t="shared" si="22"/>
        <v>1.4947683109118086</v>
      </c>
      <c r="K129" s="527">
        <v>1</v>
      </c>
      <c r="L129" s="267">
        <f t="shared" si="23"/>
        <v>1.4947683109118086</v>
      </c>
      <c r="M129" s="433">
        <f t="shared" si="24"/>
        <v>298.95366218236171</v>
      </c>
      <c r="N129" s="434">
        <v>200</v>
      </c>
      <c r="O129" s="435">
        <f t="shared" si="25"/>
        <v>0.74738415545590431</v>
      </c>
    </row>
    <row r="130" spans="1:15" ht="30">
      <c r="A130" s="523" t="s">
        <v>1669</v>
      </c>
      <c r="B130" s="522" t="s">
        <v>1671</v>
      </c>
      <c r="C130" s="523" t="s">
        <v>33</v>
      </c>
      <c r="D130" s="523">
        <v>116</v>
      </c>
      <c r="E130" s="523"/>
      <c r="F130" s="523" t="s">
        <v>10</v>
      </c>
      <c r="G130" s="527">
        <v>40</v>
      </c>
      <c r="H130" s="530">
        <v>10</v>
      </c>
      <c r="I130" s="527">
        <v>1</v>
      </c>
      <c r="J130" s="531">
        <f t="shared" si="22"/>
        <v>0.25</v>
      </c>
      <c r="K130" s="525">
        <f>3320/1000</f>
        <v>3.32</v>
      </c>
      <c r="L130" s="267">
        <f t="shared" si="23"/>
        <v>0.83</v>
      </c>
      <c r="M130" s="433">
        <f t="shared" si="24"/>
        <v>166</v>
      </c>
      <c r="N130" s="434">
        <v>200</v>
      </c>
      <c r="O130" s="435">
        <f t="shared" si="25"/>
        <v>0.83</v>
      </c>
    </row>
    <row r="131" spans="1:15" ht="15">
      <c r="A131" s="13" t="s">
        <v>274</v>
      </c>
      <c r="B131" s="27" t="s">
        <v>275</v>
      </c>
      <c r="C131" s="13" t="s">
        <v>83</v>
      </c>
      <c r="D131" s="13">
        <v>116</v>
      </c>
      <c r="E131" s="13"/>
      <c r="F131" s="4" t="s">
        <v>276</v>
      </c>
      <c r="G131" s="28">
        <v>20</v>
      </c>
      <c r="H131" s="440">
        <v>10</v>
      </c>
      <c r="I131" s="28">
        <v>2</v>
      </c>
      <c r="J131" s="441">
        <f t="shared" si="22"/>
        <v>1</v>
      </c>
      <c r="K131" s="28">
        <v>1</v>
      </c>
      <c r="L131" s="267">
        <f t="shared" si="23"/>
        <v>1</v>
      </c>
      <c r="M131" s="433">
        <f t="shared" si="24"/>
        <v>200</v>
      </c>
      <c r="N131" s="434">
        <v>200</v>
      </c>
      <c r="O131" s="435">
        <f t="shared" si="25"/>
        <v>0.50</v>
      </c>
    </row>
    <row r="132" spans="1:15" ht="15">
      <c r="A132" s="13" t="s">
        <v>277</v>
      </c>
      <c r="B132" s="27" t="s">
        <v>278</v>
      </c>
      <c r="C132" s="13" t="s">
        <v>83</v>
      </c>
      <c r="D132" s="13">
        <v>116</v>
      </c>
      <c r="E132" s="13"/>
      <c r="F132" s="4" t="s">
        <v>90</v>
      </c>
      <c r="G132" s="28">
        <v>14</v>
      </c>
      <c r="H132" s="440">
        <v>10</v>
      </c>
      <c r="I132" s="28">
        <v>2</v>
      </c>
      <c r="J132" s="441">
        <f t="shared" si="22"/>
        <v>1.4285714285714286</v>
      </c>
      <c r="K132" s="28">
        <v>1</v>
      </c>
      <c r="L132" s="267">
        <f t="shared" si="23"/>
        <v>1.4285714285714286</v>
      </c>
      <c r="M132" s="433">
        <f t="shared" si="24"/>
        <v>285.71428571428572</v>
      </c>
      <c r="N132" s="434">
        <v>200</v>
      </c>
      <c r="O132" s="435">
        <f t="shared" si="25"/>
        <v>0.7142857142857143</v>
      </c>
    </row>
    <row r="133" spans="1:15" ht="15">
      <c r="A133" s="13" t="s">
        <v>279</v>
      </c>
      <c r="B133" s="27" t="s">
        <v>280</v>
      </c>
      <c r="C133" s="13" t="s">
        <v>29</v>
      </c>
      <c r="D133" s="13">
        <v>120</v>
      </c>
      <c r="E133" s="13"/>
      <c r="F133" s="13" t="s">
        <v>12</v>
      </c>
      <c r="G133" s="28">
        <v>11</v>
      </c>
      <c r="H133" s="440">
        <v>10</v>
      </c>
      <c r="I133" s="28">
        <v>1</v>
      </c>
      <c r="J133" s="441">
        <f t="shared" si="22"/>
        <v>0.90909090909090906</v>
      </c>
      <c r="K133" s="28">
        <v>1</v>
      </c>
      <c r="L133" s="435">
        <f t="shared" si="23"/>
        <v>0.90909090909090906</v>
      </c>
      <c r="M133" s="266">
        <f t="shared" si="24"/>
        <v>160</v>
      </c>
      <c r="N133" s="433">
        <v>176</v>
      </c>
      <c r="O133" s="435">
        <f t="shared" si="25"/>
        <v>0.90909090909090906</v>
      </c>
    </row>
    <row r="134" spans="1:15" ht="15">
      <c r="A134" s="13" t="s">
        <v>281</v>
      </c>
      <c r="B134" s="56" t="s">
        <v>30</v>
      </c>
      <c r="C134" s="13" t="s">
        <v>29</v>
      </c>
      <c r="D134" s="13">
        <v>120</v>
      </c>
      <c r="E134" s="13"/>
      <c r="F134" s="13" t="s">
        <v>12</v>
      </c>
      <c r="G134" s="436">
        <v>6</v>
      </c>
      <c r="H134" s="440">
        <v>10</v>
      </c>
      <c r="I134" s="28">
        <v>1</v>
      </c>
      <c r="J134" s="441">
        <f t="shared" si="22"/>
        <v>1.6666666666666667</v>
      </c>
      <c r="K134" s="28">
        <v>1</v>
      </c>
      <c r="L134" s="267">
        <f t="shared" si="23"/>
        <v>1.6666666666666667</v>
      </c>
      <c r="M134" s="433">
        <f t="shared" si="24"/>
        <v>293.33333333333337</v>
      </c>
      <c r="N134" s="434">
        <v>176</v>
      </c>
      <c r="O134" s="435">
        <f t="shared" si="25"/>
        <v>1.6666666666666667</v>
      </c>
    </row>
    <row r="135" spans="1:15" ht="30">
      <c r="A135" s="13" t="s">
        <v>282</v>
      </c>
      <c r="B135" s="56" t="s">
        <v>283</v>
      </c>
      <c r="C135" s="13" t="s">
        <v>29</v>
      </c>
      <c r="D135" s="13">
        <v>120</v>
      </c>
      <c r="E135" s="13"/>
      <c r="F135" s="13" t="s">
        <v>12</v>
      </c>
      <c r="G135" s="436">
        <v>7.50</v>
      </c>
      <c r="H135" s="440">
        <v>10</v>
      </c>
      <c r="I135" s="28">
        <v>1</v>
      </c>
      <c r="J135" s="441">
        <f t="shared" si="22"/>
        <v>1.3333333333333333</v>
      </c>
      <c r="K135" s="28">
        <v>1</v>
      </c>
      <c r="L135" s="267">
        <f t="shared" si="23"/>
        <v>1.3333333333333333</v>
      </c>
      <c r="M135" s="433">
        <f t="shared" si="24"/>
        <v>234.66666666666666</v>
      </c>
      <c r="N135" s="434">
        <v>176</v>
      </c>
      <c r="O135" s="435">
        <f t="shared" si="25"/>
        <v>1.3333333333333333</v>
      </c>
    </row>
    <row r="136" spans="1:15" ht="15">
      <c r="A136" s="13" t="s">
        <v>902</v>
      </c>
      <c r="B136" s="56" t="s">
        <v>1064</v>
      </c>
      <c r="C136" s="13" t="s">
        <v>523</v>
      </c>
      <c r="D136" s="13">
        <v>224</v>
      </c>
      <c r="E136" s="13"/>
      <c r="F136" s="4" t="s">
        <v>900</v>
      </c>
      <c r="G136" s="28">
        <v>600</v>
      </c>
      <c r="H136" s="431">
        <v>10</v>
      </c>
      <c r="I136" s="28">
        <v>1</v>
      </c>
      <c r="J136" s="441">
        <f t="shared" si="22"/>
        <v>0.016666666666666666</v>
      </c>
      <c r="K136" s="28">
        <v>1</v>
      </c>
      <c r="L136" s="267">
        <f t="shared" si="23"/>
        <v>0.016666666666666666</v>
      </c>
      <c r="M136" s="433">
        <f t="shared" si="24"/>
        <v>2.9333333333333331</v>
      </c>
      <c r="N136" s="434">
        <v>176</v>
      </c>
      <c r="O136" s="435">
        <f t="shared" si="25"/>
        <v>0.016666666666666666</v>
      </c>
    </row>
    <row r="137" spans="1:15" ht="15">
      <c r="A137" s="13" t="s">
        <v>285</v>
      </c>
      <c r="B137" s="56" t="s">
        <v>901</v>
      </c>
      <c r="C137" s="13" t="s">
        <v>83</v>
      </c>
      <c r="D137" s="13">
        <v>116</v>
      </c>
      <c r="E137" s="13"/>
      <c r="F137" s="13" t="s">
        <v>12</v>
      </c>
      <c r="G137" s="28">
        <v>9</v>
      </c>
      <c r="H137" s="440">
        <v>10</v>
      </c>
      <c r="I137" s="28">
        <v>2</v>
      </c>
      <c r="J137" s="441">
        <f t="shared" si="22"/>
        <v>2.2222222222222223</v>
      </c>
      <c r="K137" s="28">
        <v>1</v>
      </c>
      <c r="L137" s="267">
        <f t="shared" si="23"/>
        <v>2.2222222222222223</v>
      </c>
      <c r="M137" s="433">
        <f t="shared" si="24"/>
        <v>444.44444444444446</v>
      </c>
      <c r="N137" s="434">
        <v>200</v>
      </c>
      <c r="O137" s="435">
        <f t="shared" si="25"/>
        <v>1.1111111111111112</v>
      </c>
    </row>
    <row r="138" spans="1:15" ht="15">
      <c r="A138" s="13" t="s">
        <v>286</v>
      </c>
      <c r="B138" s="27" t="s">
        <v>288</v>
      </c>
      <c r="C138" s="13" t="s">
        <v>287</v>
      </c>
      <c r="D138" s="13">
        <v>116</v>
      </c>
      <c r="E138" s="13"/>
      <c r="F138" s="13" t="s">
        <v>67</v>
      </c>
      <c r="G138" s="28">
        <v>40</v>
      </c>
      <c r="H138" s="440">
        <v>10</v>
      </c>
      <c r="I138" s="28">
        <v>1</v>
      </c>
      <c r="J138" s="441">
        <f t="shared" si="22"/>
        <v>0.25</v>
      </c>
      <c r="K138" s="28">
        <v>4</v>
      </c>
      <c r="L138" s="267">
        <f t="shared" si="23"/>
        <v>1</v>
      </c>
      <c r="M138" s="433">
        <f t="shared" si="24"/>
        <v>152</v>
      </c>
      <c r="N138" s="434">
        <v>152</v>
      </c>
      <c r="O138" s="435">
        <f t="shared" si="25"/>
        <v>1</v>
      </c>
    </row>
    <row r="139" spans="1:15" ht="15">
      <c r="A139" s="39"/>
      <c r="B139" s="649" t="s">
        <v>134</v>
      </c>
      <c r="C139" s="649"/>
      <c r="D139" s="649"/>
      <c r="E139" s="649"/>
      <c r="F139" s="649"/>
      <c r="G139" s="649"/>
      <c r="H139" s="649"/>
      <c r="I139" s="649"/>
      <c r="J139" s="649"/>
      <c r="K139" s="649"/>
      <c r="L139" s="267"/>
      <c r="M139" s="262">
        <f>SUM(M140:M160)</f>
        <v>6144.8890375509372</v>
      </c>
      <c r="N139" s="263"/>
      <c r="O139" s="264">
        <f>SUM(O140:O160)</f>
        <v>23.058278263627809</v>
      </c>
    </row>
    <row r="140" spans="1:16" ht="30">
      <c r="A140" s="13" t="s">
        <v>297</v>
      </c>
      <c r="B140" s="56" t="s">
        <v>298</v>
      </c>
      <c r="C140" s="13" t="s">
        <v>33</v>
      </c>
      <c r="D140" s="13">
        <v>116</v>
      </c>
      <c r="E140" s="13"/>
      <c r="F140" s="13" t="s">
        <v>96</v>
      </c>
      <c r="G140" s="432">
        <v>10</v>
      </c>
      <c r="H140" s="440">
        <v>10</v>
      </c>
      <c r="I140" s="28">
        <v>2</v>
      </c>
      <c r="J140" s="441">
        <f t="shared" si="26" ref="J140:J160">H140/G140*I140</f>
        <v>2</v>
      </c>
      <c r="K140" s="28">
        <v>1</v>
      </c>
      <c r="L140" s="267">
        <f t="shared" si="27" ref="L140:L160">J140*K140</f>
        <v>2</v>
      </c>
      <c r="M140" s="433">
        <f t="shared" si="28" ref="M140:M160">L140*N140</f>
        <v>400</v>
      </c>
      <c r="N140" s="434">
        <v>200</v>
      </c>
      <c r="O140" s="435">
        <f t="shared" si="29" ref="O140:O160">J140/I140*K140</f>
        <v>1</v>
      </c>
      <c r="P140" s="22"/>
    </row>
    <row r="141" spans="1:16" ht="30">
      <c r="A141" s="523" t="s">
        <v>1663</v>
      </c>
      <c r="B141" s="522" t="s">
        <v>1665</v>
      </c>
      <c r="C141" s="523" t="s">
        <v>33</v>
      </c>
      <c r="D141" s="523">
        <v>116</v>
      </c>
      <c r="E141" s="523"/>
      <c r="F141" s="523" t="s">
        <v>1666</v>
      </c>
      <c r="G141" s="527">
        <v>12.41</v>
      </c>
      <c r="H141" s="530">
        <v>10</v>
      </c>
      <c r="I141" s="527">
        <v>2</v>
      </c>
      <c r="J141" s="531">
        <f t="shared" si="26"/>
        <v>1.6116035455278002</v>
      </c>
      <c r="K141" s="527">
        <v>1</v>
      </c>
      <c r="L141" s="267">
        <f t="shared" si="27"/>
        <v>1.6116035455278002</v>
      </c>
      <c r="M141" s="433">
        <f t="shared" si="28"/>
        <v>322.32070910556001</v>
      </c>
      <c r="N141" s="434">
        <v>200</v>
      </c>
      <c r="O141" s="435">
        <f t="shared" si="29"/>
        <v>0.80580177276390008</v>
      </c>
      <c r="P141" s="22"/>
    </row>
    <row r="142" spans="1:16" ht="30">
      <c r="A142" s="523" t="s">
        <v>1664</v>
      </c>
      <c r="B142" s="522" t="s">
        <v>1667</v>
      </c>
      <c r="C142" s="523" t="s">
        <v>33</v>
      </c>
      <c r="D142" s="523">
        <v>116</v>
      </c>
      <c r="E142" s="523"/>
      <c r="F142" s="523" t="s">
        <v>10</v>
      </c>
      <c r="G142" s="527">
        <v>40</v>
      </c>
      <c r="H142" s="530">
        <v>10</v>
      </c>
      <c r="I142" s="527">
        <v>1</v>
      </c>
      <c r="J142" s="531">
        <f t="shared" si="26"/>
        <v>0.25</v>
      </c>
      <c r="K142" s="525">
        <f>3461/1000</f>
        <v>3.4609999999999999</v>
      </c>
      <c r="L142" s="267">
        <f t="shared" si="27"/>
        <v>0.86524999999999996</v>
      </c>
      <c r="M142" s="433">
        <f t="shared" si="28"/>
        <v>173.04999999999998</v>
      </c>
      <c r="N142" s="434">
        <v>200</v>
      </c>
      <c r="O142" s="435">
        <f t="shared" si="29"/>
        <v>0.86524999999999996</v>
      </c>
      <c r="P142" s="22"/>
    </row>
    <row r="143" spans="1:16" ht="30">
      <c r="A143" s="13" t="s">
        <v>299</v>
      </c>
      <c r="B143" s="56" t="s">
        <v>300</v>
      </c>
      <c r="C143" s="13" t="s">
        <v>33</v>
      </c>
      <c r="D143" s="13">
        <v>119</v>
      </c>
      <c r="E143" s="13"/>
      <c r="F143" s="13" t="s">
        <v>96</v>
      </c>
      <c r="G143" s="442">
        <v>20</v>
      </c>
      <c r="H143" s="440">
        <v>10</v>
      </c>
      <c r="I143" s="28">
        <v>2</v>
      </c>
      <c r="J143" s="441">
        <f t="shared" si="26"/>
        <v>1</v>
      </c>
      <c r="K143" s="28">
        <v>1</v>
      </c>
      <c r="L143" s="267">
        <f t="shared" si="27"/>
        <v>1</v>
      </c>
      <c r="M143" s="433">
        <f t="shared" si="28"/>
        <v>200</v>
      </c>
      <c r="N143" s="434">
        <v>200</v>
      </c>
      <c r="O143" s="435">
        <f t="shared" si="29"/>
        <v>0.50</v>
      </c>
      <c r="P143" s="22"/>
    </row>
    <row r="144" spans="1:16" ht="30">
      <c r="A144" s="13" t="s">
        <v>301</v>
      </c>
      <c r="B144" s="27" t="s">
        <v>97</v>
      </c>
      <c r="C144" s="13" t="s">
        <v>83</v>
      </c>
      <c r="D144" s="13">
        <v>119</v>
      </c>
      <c r="E144" s="13"/>
      <c r="F144" s="13" t="s">
        <v>12</v>
      </c>
      <c r="G144" s="442">
        <v>5.0999999999999996</v>
      </c>
      <c r="H144" s="440">
        <v>10</v>
      </c>
      <c r="I144" s="28">
        <v>2</v>
      </c>
      <c r="J144" s="441">
        <f t="shared" si="26"/>
        <v>3.9215686274509807</v>
      </c>
      <c r="K144" s="28">
        <v>1</v>
      </c>
      <c r="L144" s="267">
        <f t="shared" si="27"/>
        <v>3.9215686274509807</v>
      </c>
      <c r="M144" s="433">
        <f t="shared" si="28"/>
        <v>784.31372549019613</v>
      </c>
      <c r="N144" s="434">
        <v>200</v>
      </c>
      <c r="O144" s="435">
        <f t="shared" si="29"/>
        <v>1.9607843137254903</v>
      </c>
      <c r="P144" s="22"/>
    </row>
    <row r="145" spans="1:15" ht="15">
      <c r="A145" s="57" t="s">
        <v>530</v>
      </c>
      <c r="B145" s="269" t="s">
        <v>531</v>
      </c>
      <c r="C145" s="13" t="s">
        <v>33</v>
      </c>
      <c r="D145" s="13">
        <v>226</v>
      </c>
      <c r="E145" s="13"/>
      <c r="F145" s="13" t="s">
        <v>12</v>
      </c>
      <c r="G145" s="28">
        <v>10</v>
      </c>
      <c r="H145" s="440">
        <v>10</v>
      </c>
      <c r="I145" s="28">
        <v>1</v>
      </c>
      <c r="J145" s="441">
        <f t="shared" si="26"/>
        <v>1</v>
      </c>
      <c r="K145" s="442">
        <v>1</v>
      </c>
      <c r="L145" s="267">
        <f t="shared" si="27"/>
        <v>1</v>
      </c>
      <c r="M145" s="266">
        <f t="shared" si="28"/>
        <v>200</v>
      </c>
      <c r="N145" s="433">
        <v>200</v>
      </c>
      <c r="O145" s="435">
        <f t="shared" si="29"/>
        <v>1</v>
      </c>
    </row>
    <row r="146" spans="1:16" ht="15">
      <c r="A146" s="13" t="s">
        <v>290</v>
      </c>
      <c r="B146" s="27" t="s">
        <v>31</v>
      </c>
      <c r="C146" s="13" t="s">
        <v>14</v>
      </c>
      <c r="D146" s="13">
        <v>226</v>
      </c>
      <c r="E146" s="13"/>
      <c r="F146" s="13" t="s">
        <v>58</v>
      </c>
      <c r="G146" s="28">
        <v>61</v>
      </c>
      <c r="H146" s="440">
        <v>10</v>
      </c>
      <c r="I146" s="28">
        <v>1</v>
      </c>
      <c r="J146" s="441">
        <f t="shared" si="26"/>
        <v>0.16393442622950818</v>
      </c>
      <c r="K146" s="28">
        <v>8.10</v>
      </c>
      <c r="L146" s="267">
        <f t="shared" si="27"/>
        <v>1.3278688524590163</v>
      </c>
      <c r="M146" s="433">
        <f t="shared" si="28"/>
        <v>265.57377049180326</v>
      </c>
      <c r="N146" s="434">
        <v>200</v>
      </c>
      <c r="O146" s="435">
        <f t="shared" si="29"/>
        <v>1.3278688524590163</v>
      </c>
      <c r="P146" s="22"/>
    </row>
    <row r="147" spans="1:16" ht="15">
      <c r="A147" s="13" t="s">
        <v>302</v>
      </c>
      <c r="B147" s="27" t="s">
        <v>903</v>
      </c>
      <c r="C147" s="13" t="s">
        <v>523</v>
      </c>
      <c r="D147" s="13">
        <v>224</v>
      </c>
      <c r="E147" s="13"/>
      <c r="F147" s="13" t="s">
        <v>400</v>
      </c>
      <c r="G147" s="442">
        <v>50</v>
      </c>
      <c r="H147" s="440">
        <v>10</v>
      </c>
      <c r="I147" s="28">
        <v>2</v>
      </c>
      <c r="J147" s="441">
        <f t="shared" si="26"/>
        <v>0.40</v>
      </c>
      <c r="K147" s="28">
        <v>2</v>
      </c>
      <c r="L147" s="267">
        <f t="shared" si="27"/>
        <v>0.80</v>
      </c>
      <c r="M147" s="433">
        <f t="shared" si="28"/>
        <v>140.80000000000001</v>
      </c>
      <c r="N147" s="434">
        <v>176</v>
      </c>
      <c r="O147" s="435">
        <f t="shared" si="29"/>
        <v>0.40</v>
      </c>
      <c r="P147" s="22"/>
    </row>
    <row r="148" spans="1:16" ht="15">
      <c r="A148" s="13" t="s">
        <v>292</v>
      </c>
      <c r="B148" s="27" t="s">
        <v>21</v>
      </c>
      <c r="C148" s="13" t="s">
        <v>33</v>
      </c>
      <c r="D148" s="13">
        <v>219</v>
      </c>
      <c r="E148" s="13"/>
      <c r="F148" s="13" t="s">
        <v>12</v>
      </c>
      <c r="G148" s="569">
        <f>3.333*2</f>
        <v>6.6660000000000004</v>
      </c>
      <c r="H148" s="440">
        <v>10</v>
      </c>
      <c r="I148" s="28">
        <v>2</v>
      </c>
      <c r="J148" s="441">
        <f t="shared" si="26"/>
        <v>3.0003000300030003</v>
      </c>
      <c r="K148" s="28">
        <v>1</v>
      </c>
      <c r="L148" s="267">
        <f t="shared" si="27"/>
        <v>3.0003000300030003</v>
      </c>
      <c r="M148" s="433">
        <f t="shared" si="28"/>
        <v>498.04980498049804</v>
      </c>
      <c r="N148" s="434">
        <v>166</v>
      </c>
      <c r="O148" s="435">
        <f t="shared" si="29"/>
        <v>1.5001500150015001</v>
      </c>
      <c r="P148" s="22"/>
    </row>
    <row r="149" spans="1:16" ht="30">
      <c r="A149" s="13" t="s">
        <v>406</v>
      </c>
      <c r="B149" s="27" t="s">
        <v>407</v>
      </c>
      <c r="C149" s="13" t="s">
        <v>14</v>
      </c>
      <c r="D149" s="13">
        <v>226</v>
      </c>
      <c r="E149" s="13"/>
      <c r="F149" s="13" t="s">
        <v>12</v>
      </c>
      <c r="G149" s="442">
        <v>61</v>
      </c>
      <c r="H149" s="440">
        <v>10</v>
      </c>
      <c r="I149" s="28">
        <v>1</v>
      </c>
      <c r="J149" s="441">
        <f t="shared" si="26"/>
        <v>0.16393442622950818</v>
      </c>
      <c r="K149" s="28">
        <v>1.1499999999999999</v>
      </c>
      <c r="L149" s="435">
        <f t="shared" si="27"/>
        <v>0.18852459016393439</v>
      </c>
      <c r="M149" s="266">
        <f t="shared" si="28"/>
        <v>37.704918032786878</v>
      </c>
      <c r="N149" s="433">
        <v>200</v>
      </c>
      <c r="O149" s="435">
        <f t="shared" si="29"/>
        <v>0.18852459016393439</v>
      </c>
      <c r="P149" s="22"/>
    </row>
    <row r="150" spans="1:16" ht="15">
      <c r="A150" s="13" t="s">
        <v>291</v>
      </c>
      <c r="B150" s="27" t="s">
        <v>101</v>
      </c>
      <c r="C150" s="13" t="s">
        <v>33</v>
      </c>
      <c r="D150" s="13">
        <v>219</v>
      </c>
      <c r="E150" s="13"/>
      <c r="F150" s="13" t="s">
        <v>12</v>
      </c>
      <c r="G150" s="442">
        <v>7.60</v>
      </c>
      <c r="H150" s="440">
        <v>10</v>
      </c>
      <c r="I150" s="28">
        <v>2</v>
      </c>
      <c r="J150" s="441">
        <f t="shared" si="26"/>
        <v>2.6315789473684212</v>
      </c>
      <c r="K150" s="28">
        <v>1</v>
      </c>
      <c r="L150" s="267">
        <f t="shared" si="27"/>
        <v>2.6315789473684212</v>
      </c>
      <c r="M150" s="433">
        <f t="shared" si="28"/>
        <v>526.31578947368428</v>
      </c>
      <c r="N150" s="434">
        <v>200</v>
      </c>
      <c r="O150" s="435">
        <f t="shared" si="29"/>
        <v>1.3157894736842106</v>
      </c>
      <c r="P150" s="22"/>
    </row>
    <row r="151" spans="1:16" ht="15">
      <c r="A151" s="13" t="s">
        <v>303</v>
      </c>
      <c r="B151" s="27" t="s">
        <v>304</v>
      </c>
      <c r="C151" s="13" t="s">
        <v>226</v>
      </c>
      <c r="D151" s="13">
        <v>302</v>
      </c>
      <c r="E151" s="13"/>
      <c r="F151" s="13" t="s">
        <v>103</v>
      </c>
      <c r="G151" s="432">
        <v>126</v>
      </c>
      <c r="H151" s="440">
        <v>10</v>
      </c>
      <c r="I151" s="28">
        <v>1</v>
      </c>
      <c r="J151" s="441">
        <f t="shared" si="26"/>
        <v>0.079365079365079361</v>
      </c>
      <c r="K151" s="28">
        <v>48</v>
      </c>
      <c r="L151" s="267">
        <f t="shared" si="27"/>
        <v>3.8095238095238093</v>
      </c>
      <c r="M151" s="433">
        <f t="shared" si="28"/>
        <v>670.47619047619048</v>
      </c>
      <c r="N151" s="434">
        <v>176</v>
      </c>
      <c r="O151" s="435">
        <f t="shared" si="29"/>
        <v>3.8095238095238093</v>
      </c>
      <c r="P151" s="22"/>
    </row>
    <row r="152" spans="1:16" ht="15">
      <c r="A152" s="13" t="s">
        <v>293</v>
      </c>
      <c r="B152" s="27" t="s">
        <v>102</v>
      </c>
      <c r="C152" s="13" t="s">
        <v>33</v>
      </c>
      <c r="D152" s="13">
        <v>219</v>
      </c>
      <c r="E152" s="13"/>
      <c r="F152" s="13" t="s">
        <v>103</v>
      </c>
      <c r="G152" s="28">
        <f>10*60/1</f>
        <v>600</v>
      </c>
      <c r="H152" s="440">
        <v>10</v>
      </c>
      <c r="I152" s="28">
        <v>1</v>
      </c>
      <c r="J152" s="441">
        <f t="shared" si="26"/>
        <v>0.016666666666666666</v>
      </c>
      <c r="K152" s="28">
        <v>48</v>
      </c>
      <c r="L152" s="267">
        <f t="shared" si="27"/>
        <v>0.80</v>
      </c>
      <c r="M152" s="433">
        <f t="shared" si="28"/>
        <v>121.60000000000001</v>
      </c>
      <c r="N152" s="434">
        <v>152</v>
      </c>
      <c r="O152" s="435">
        <f t="shared" si="29"/>
        <v>0.80</v>
      </c>
      <c r="P152" s="22"/>
    </row>
    <row r="153" spans="1:16" ht="15">
      <c r="A153" s="13" t="s">
        <v>305</v>
      </c>
      <c r="B153" s="27" t="s">
        <v>343</v>
      </c>
      <c r="C153" s="13" t="s">
        <v>14</v>
      </c>
      <c r="D153" s="13">
        <v>226</v>
      </c>
      <c r="E153" s="13"/>
      <c r="F153" s="13" t="s">
        <v>58</v>
      </c>
      <c r="G153" s="28">
        <v>55.20</v>
      </c>
      <c r="H153" s="440">
        <v>10</v>
      </c>
      <c r="I153" s="28">
        <v>1</v>
      </c>
      <c r="J153" s="441">
        <f t="shared" si="26"/>
        <v>0.18115942028985507</v>
      </c>
      <c r="K153" s="28">
        <v>1.40</v>
      </c>
      <c r="L153" s="435">
        <f t="shared" si="27"/>
        <v>0.25362318840579706</v>
      </c>
      <c r="M153" s="266">
        <f t="shared" si="28"/>
        <v>50.724637681159415</v>
      </c>
      <c r="N153" s="433">
        <v>200</v>
      </c>
      <c r="O153" s="435">
        <f t="shared" si="29"/>
        <v>0.25362318840579706</v>
      </c>
      <c r="P153" s="22"/>
    </row>
    <row r="154" spans="1:16" ht="30">
      <c r="A154" s="13" t="s">
        <v>306</v>
      </c>
      <c r="B154" s="27" t="s">
        <v>307</v>
      </c>
      <c r="C154" s="13" t="s">
        <v>14</v>
      </c>
      <c r="D154" s="13">
        <v>226</v>
      </c>
      <c r="E154" s="13"/>
      <c r="F154" s="13" t="s">
        <v>12</v>
      </c>
      <c r="G154" s="28">
        <v>8</v>
      </c>
      <c r="H154" s="440">
        <v>10</v>
      </c>
      <c r="I154" s="28">
        <v>1</v>
      </c>
      <c r="J154" s="441">
        <f t="shared" si="26"/>
        <v>1.25</v>
      </c>
      <c r="K154" s="28">
        <v>1</v>
      </c>
      <c r="L154" s="435">
        <f t="shared" si="27"/>
        <v>1.25</v>
      </c>
      <c r="M154" s="266">
        <f t="shared" si="28"/>
        <v>250</v>
      </c>
      <c r="N154" s="433">
        <v>200</v>
      </c>
      <c r="O154" s="435">
        <f t="shared" si="29"/>
        <v>1.25</v>
      </c>
      <c r="P154" s="22"/>
    </row>
    <row r="155" spans="1:16" ht="15">
      <c r="A155" s="13" t="s">
        <v>296</v>
      </c>
      <c r="B155" s="56" t="s">
        <v>105</v>
      </c>
      <c r="C155" s="13" t="s">
        <v>33</v>
      </c>
      <c r="D155" s="13">
        <v>219</v>
      </c>
      <c r="E155" s="13"/>
      <c r="F155" s="13" t="s">
        <v>96</v>
      </c>
      <c r="G155" s="28">
        <v>11.40</v>
      </c>
      <c r="H155" s="440">
        <v>10</v>
      </c>
      <c r="I155" s="28">
        <v>2</v>
      </c>
      <c r="J155" s="441">
        <f t="shared" si="26"/>
        <v>1.7543859649122806</v>
      </c>
      <c r="K155" s="28">
        <v>1</v>
      </c>
      <c r="L155" s="267">
        <f t="shared" si="27"/>
        <v>1.7543859649122806</v>
      </c>
      <c r="M155" s="433">
        <f t="shared" si="28"/>
        <v>350.87719298245611</v>
      </c>
      <c r="N155" s="434">
        <v>200</v>
      </c>
      <c r="O155" s="435">
        <f t="shared" si="29"/>
        <v>0.8771929824561403</v>
      </c>
      <c r="P155" s="22"/>
    </row>
    <row r="156" spans="1:16" ht="15">
      <c r="A156" s="523" t="s">
        <v>1695</v>
      </c>
      <c r="B156" s="522" t="s">
        <v>1696</v>
      </c>
      <c r="C156" s="523" t="s">
        <v>33</v>
      </c>
      <c r="D156" s="523">
        <v>226</v>
      </c>
      <c r="E156" s="523"/>
      <c r="F156" s="523" t="s">
        <v>12</v>
      </c>
      <c r="G156" s="527">
        <v>20</v>
      </c>
      <c r="H156" s="530">
        <v>10</v>
      </c>
      <c r="I156" s="527">
        <v>1</v>
      </c>
      <c r="J156" s="531">
        <f t="shared" si="26"/>
        <v>0.50</v>
      </c>
      <c r="K156" s="527">
        <v>1</v>
      </c>
      <c r="L156" s="267">
        <f t="shared" si="27"/>
        <v>0.50</v>
      </c>
      <c r="M156" s="433">
        <f t="shared" si="28"/>
        <v>100</v>
      </c>
      <c r="N156" s="434">
        <v>200</v>
      </c>
      <c r="O156" s="435">
        <f t="shared" si="29"/>
        <v>0.50</v>
      </c>
      <c r="P156" s="22"/>
    </row>
    <row r="157" spans="1:16" ht="15">
      <c r="A157" s="13" t="s">
        <v>308</v>
      </c>
      <c r="B157" s="27" t="s">
        <v>309</v>
      </c>
      <c r="C157" s="13" t="s">
        <v>14</v>
      </c>
      <c r="D157" s="13">
        <v>226</v>
      </c>
      <c r="E157" s="13"/>
      <c r="F157" s="13" t="s">
        <v>58</v>
      </c>
      <c r="G157" s="442">
        <v>20</v>
      </c>
      <c r="H157" s="440">
        <v>10</v>
      </c>
      <c r="I157" s="28">
        <v>1</v>
      </c>
      <c r="J157" s="441">
        <f t="shared" si="26"/>
        <v>0.50</v>
      </c>
      <c r="K157" s="28">
        <v>1</v>
      </c>
      <c r="L157" s="435">
        <f t="shared" si="27"/>
        <v>0.50</v>
      </c>
      <c r="M157" s="266">
        <f t="shared" si="28"/>
        <v>76</v>
      </c>
      <c r="N157" s="433">
        <v>152</v>
      </c>
      <c r="O157" s="435">
        <f t="shared" si="29"/>
        <v>0.50</v>
      </c>
      <c r="P157" s="22"/>
    </row>
    <row r="158" spans="1:16" ht="15">
      <c r="A158" s="13" t="s">
        <v>294</v>
      </c>
      <c r="B158" s="27" t="s">
        <v>521</v>
      </c>
      <c r="C158" s="13" t="s">
        <v>14</v>
      </c>
      <c r="D158" s="13">
        <v>226</v>
      </c>
      <c r="E158" s="13"/>
      <c r="F158" s="13" t="s">
        <v>58</v>
      </c>
      <c r="G158" s="28">
        <v>23.16</v>
      </c>
      <c r="H158" s="440">
        <v>10</v>
      </c>
      <c r="I158" s="28">
        <v>1</v>
      </c>
      <c r="J158" s="441">
        <f t="shared" si="26"/>
        <v>0.43177892918825561</v>
      </c>
      <c r="K158" s="28">
        <v>6.70</v>
      </c>
      <c r="L158" s="267">
        <f t="shared" si="27"/>
        <v>2.8929188255613125</v>
      </c>
      <c r="M158" s="433">
        <f t="shared" si="28"/>
        <v>578.58376511226254</v>
      </c>
      <c r="N158" s="434">
        <v>200</v>
      </c>
      <c r="O158" s="435">
        <f t="shared" si="29"/>
        <v>2.8929188255613125</v>
      </c>
      <c r="P158" s="22"/>
    </row>
    <row r="159" spans="1:16" ht="15">
      <c r="A159" s="13" t="s">
        <v>1639</v>
      </c>
      <c r="B159" s="27" t="s">
        <v>1640</v>
      </c>
      <c r="C159" s="13" t="s">
        <v>33</v>
      </c>
      <c r="D159" s="13" t="s">
        <v>1333</v>
      </c>
      <c r="E159" s="13"/>
      <c r="F159" s="13" t="s">
        <v>12</v>
      </c>
      <c r="G159" s="442">
        <v>30</v>
      </c>
      <c r="H159" s="440">
        <v>10</v>
      </c>
      <c r="I159" s="28">
        <v>2</v>
      </c>
      <c r="J159" s="441">
        <f t="shared" si="26"/>
        <v>0.66666666666666663</v>
      </c>
      <c r="K159" s="28">
        <v>1</v>
      </c>
      <c r="L159" s="267">
        <f t="shared" si="27"/>
        <v>0.66666666666666663</v>
      </c>
      <c r="M159" s="433">
        <f t="shared" si="28"/>
        <v>101.33333333333333</v>
      </c>
      <c r="N159" s="434">
        <v>152</v>
      </c>
      <c r="O159" s="435">
        <f t="shared" si="29"/>
        <v>0.33333333333333331</v>
      </c>
      <c r="P159" s="21"/>
    </row>
    <row r="160" spans="1:16" ht="15">
      <c r="A160" s="13" t="s">
        <v>295</v>
      </c>
      <c r="B160" s="27" t="s">
        <v>104</v>
      </c>
      <c r="C160" s="13" t="s">
        <v>33</v>
      </c>
      <c r="D160" s="13" t="s">
        <v>1333</v>
      </c>
      <c r="E160" s="13"/>
      <c r="F160" s="13" t="s">
        <v>12</v>
      </c>
      <c r="G160" s="28">
        <v>10.23</v>
      </c>
      <c r="H160" s="440">
        <v>10</v>
      </c>
      <c r="I160" s="28">
        <v>2</v>
      </c>
      <c r="J160" s="441">
        <f t="shared" si="26"/>
        <v>1.955034213098729</v>
      </c>
      <c r="K160" s="28">
        <v>1</v>
      </c>
      <c r="L160" s="267">
        <f t="shared" si="27"/>
        <v>1.955034213098729</v>
      </c>
      <c r="M160" s="433">
        <f t="shared" si="28"/>
        <v>297.16520039100681</v>
      </c>
      <c r="N160" s="434">
        <v>152</v>
      </c>
      <c r="O160" s="435">
        <f t="shared" si="29"/>
        <v>0.97751710654936452</v>
      </c>
      <c r="P160" s="21"/>
    </row>
    <row r="161" spans="1:15" s="22" customFormat="1" ht="15">
      <c r="A161" s="443"/>
      <c r="B161" s="495" t="s">
        <v>15</v>
      </c>
      <c r="C161" s="443"/>
      <c r="D161" s="443"/>
      <c r="E161" s="443"/>
      <c r="F161" s="444"/>
      <c r="G161" s="443"/>
      <c r="H161" s="445"/>
      <c r="I161" s="443"/>
      <c r="J161" s="446"/>
      <c r="K161" s="443"/>
      <c r="L161" s="447">
        <f>SUM(L6:L160)</f>
        <v>200.94629808103582</v>
      </c>
      <c r="M161" s="455">
        <f>M19+M48+M67+M80+M91+M139+M87+M5</f>
        <v>39622.666333571571</v>
      </c>
      <c r="N161" s="110"/>
      <c r="O161" s="454">
        <f>O19+O48+O67+O80+O91+O139+O87+O5</f>
        <v>142.2156470468131</v>
      </c>
    </row>
    <row r="162" spans="12:15" ht="15">
      <c r="L162" s="448" t="s">
        <v>16</v>
      </c>
      <c r="O162" s="448" t="s">
        <v>17</v>
      </c>
    </row>
    <row r="163" spans="6:15" ht="15">
      <c r="F163" s="107"/>
      <c r="J163" s="450"/>
      <c r="K163" s="451" t="s">
        <v>18</v>
      </c>
      <c r="L163" s="452">
        <f>L161/G2</f>
        <v>141.71107057900974</v>
      </c>
      <c r="M163" s="450" t="s">
        <v>19</v>
      </c>
      <c r="N163" s="450"/>
      <c r="O163" s="450"/>
    </row>
    <row r="164" spans="6:6" ht="15">
      <c r="F164" s="107"/>
    </row>
    <row r="165" spans="2:8" ht="15">
      <c r="B165" s="493" t="s">
        <v>858</v>
      </c>
      <c r="C165" s="449"/>
      <c r="F165" s="107"/>
      <c r="H165" s="268"/>
    </row>
    <row r="166" spans="6:6" ht="15">
      <c r="F166" s="107"/>
    </row>
    <row r="167" spans="2:3" ht="15">
      <c r="B167" s="493" t="s">
        <v>848</v>
      </c>
      <c r="C167" s="449"/>
    </row>
    <row r="169" spans="2:3" ht="15">
      <c r="B169" s="493" t="s">
        <v>849</v>
      </c>
      <c r="C169" s="449"/>
    </row>
    <row r="172" ht="15.75"/>
    <row r="173" spans="1:8" ht="15" hidden="1">
      <c r="A173" s="481" t="s">
        <v>328</v>
      </c>
      <c r="B173" s="496" t="s">
        <v>329</v>
      </c>
      <c r="C173" s="481" t="s">
        <v>330</v>
      </c>
      <c r="D173" s="481" t="s">
        <v>331</v>
      </c>
      <c r="E173" s="481" t="s">
        <v>332</v>
      </c>
      <c r="F173" s="481" t="s">
        <v>333</v>
      </c>
      <c r="G173" s="427"/>
      <c r="H173" s="268"/>
    </row>
    <row r="174" spans="1:8" ht="30" hidden="1">
      <c r="A174" s="482">
        <v>1</v>
      </c>
      <c r="B174" s="483" t="s">
        <v>1201</v>
      </c>
      <c r="C174" s="482">
        <v>1.546</v>
      </c>
      <c r="D174" s="482">
        <v>3.2919999999999998</v>
      </c>
      <c r="E174" s="482" t="s">
        <v>954</v>
      </c>
      <c r="F174" s="484">
        <v>44519</v>
      </c>
      <c r="G174" s="427"/>
      <c r="H174" s="268"/>
    </row>
    <row r="175" spans="1:8" ht="75" hidden="1">
      <c r="A175" s="482">
        <v>2</v>
      </c>
      <c r="B175" s="483" t="s">
        <v>1283</v>
      </c>
      <c r="C175" s="482">
        <v>600</v>
      </c>
      <c r="D175" s="482">
        <v>400</v>
      </c>
      <c r="E175" s="482" t="s">
        <v>954</v>
      </c>
      <c r="F175" s="484">
        <v>44602</v>
      </c>
      <c r="G175" s="427"/>
      <c r="H175" s="268"/>
    </row>
    <row r="176" spans="1:8" ht="30" hidden="1">
      <c r="A176" s="482">
        <v>3</v>
      </c>
      <c r="B176" s="483" t="s">
        <v>1284</v>
      </c>
      <c r="C176" s="485"/>
      <c r="D176" s="485"/>
      <c r="E176" s="482" t="s">
        <v>954</v>
      </c>
      <c r="F176" s="484">
        <v>44602</v>
      </c>
      <c r="G176" s="427"/>
      <c r="H176" s="268"/>
    </row>
    <row r="177" spans="1:8" ht="30" hidden="1">
      <c r="A177" s="482">
        <v>4</v>
      </c>
      <c r="B177" s="483" t="s">
        <v>1318</v>
      </c>
      <c r="C177" s="482">
        <v>13.33</v>
      </c>
      <c r="D177" s="489">
        <v>13.504022500000001</v>
      </c>
      <c r="E177" s="482" t="s">
        <v>954</v>
      </c>
      <c r="F177" s="484">
        <v>44616</v>
      </c>
      <c r="G177" s="427"/>
      <c r="H177" s="268"/>
    </row>
    <row r="178" spans="1:8" ht="30" hidden="1">
      <c r="A178" s="482">
        <v>5</v>
      </c>
      <c r="B178" s="483" t="s">
        <v>1319</v>
      </c>
      <c r="C178" s="482">
        <v>21.92</v>
      </c>
      <c r="D178" s="489">
        <v>22.087908499999998</v>
      </c>
      <c r="E178" s="482" t="s">
        <v>954</v>
      </c>
      <c r="F178" s="484">
        <v>44616</v>
      </c>
      <c r="G178" s="427"/>
      <c r="H178" s="268"/>
    </row>
    <row r="179" spans="1:8" ht="30" hidden="1">
      <c r="A179" s="482">
        <v>6</v>
      </c>
      <c r="B179" s="483" t="s">
        <v>1296</v>
      </c>
      <c r="C179" s="485"/>
      <c r="D179" s="485"/>
      <c r="E179" s="482" t="s">
        <v>954</v>
      </c>
      <c r="F179" s="484">
        <v>44616</v>
      </c>
      <c r="G179" s="427"/>
      <c r="H179" s="268"/>
    </row>
    <row r="180" spans="1:8" ht="30" hidden="1">
      <c r="A180" s="482">
        <v>7</v>
      </c>
      <c r="B180" s="483" t="s">
        <v>1320</v>
      </c>
      <c r="C180" s="485"/>
      <c r="D180" s="485"/>
      <c r="E180" s="482" t="s">
        <v>954</v>
      </c>
      <c r="F180" s="484">
        <v>44616</v>
      </c>
      <c r="G180" s="427"/>
      <c r="H180" s="268"/>
    </row>
    <row r="181" spans="1:8" ht="30" hidden="1">
      <c r="A181" s="482">
        <v>8</v>
      </c>
      <c r="B181" s="483" t="s">
        <v>1298</v>
      </c>
      <c r="C181" s="485"/>
      <c r="D181" s="485"/>
      <c r="E181" s="482" t="s">
        <v>954</v>
      </c>
      <c r="F181" s="484">
        <v>44616</v>
      </c>
      <c r="G181" s="427"/>
      <c r="H181" s="268"/>
    </row>
    <row r="182" spans="1:8" ht="30" hidden="1">
      <c r="A182" s="482">
        <v>9</v>
      </c>
      <c r="B182" s="483" t="s">
        <v>1299</v>
      </c>
      <c r="C182" s="485"/>
      <c r="D182" s="485"/>
      <c r="E182" s="482" t="s">
        <v>954</v>
      </c>
      <c r="F182" s="484">
        <v>44616</v>
      </c>
      <c r="G182" s="427"/>
      <c r="H182" s="268"/>
    </row>
    <row r="183" spans="1:8" ht="30" hidden="1">
      <c r="A183" s="482">
        <v>10</v>
      </c>
      <c r="B183" s="483" t="s">
        <v>1300</v>
      </c>
      <c r="C183" s="485"/>
      <c r="D183" s="485"/>
      <c r="E183" s="482" t="s">
        <v>954</v>
      </c>
      <c r="F183" s="484">
        <v>44616</v>
      </c>
      <c r="G183" s="427"/>
      <c r="H183" s="268"/>
    </row>
    <row r="184" spans="1:8" ht="30" hidden="1">
      <c r="A184" s="482">
        <v>11</v>
      </c>
      <c r="B184" s="483" t="s">
        <v>1301</v>
      </c>
      <c r="C184" s="485"/>
      <c r="D184" s="485"/>
      <c r="E184" s="482" t="s">
        <v>954</v>
      </c>
      <c r="F184" s="484">
        <v>44616</v>
      </c>
      <c r="G184" s="427"/>
      <c r="H184" s="268"/>
    </row>
    <row r="185" spans="1:8" ht="30" hidden="1">
      <c r="A185" s="482">
        <v>12</v>
      </c>
      <c r="B185" s="483" t="s">
        <v>1302</v>
      </c>
      <c r="C185" s="485"/>
      <c r="D185" s="485"/>
      <c r="E185" s="482" t="s">
        <v>954</v>
      </c>
      <c r="F185" s="484">
        <v>44616</v>
      </c>
      <c r="G185" s="427"/>
      <c r="H185" s="268"/>
    </row>
    <row r="186" spans="1:8" ht="30" hidden="1">
      <c r="A186" s="482">
        <v>13</v>
      </c>
      <c r="B186" s="483" t="s">
        <v>1303</v>
      </c>
      <c r="C186" s="485"/>
      <c r="D186" s="485"/>
      <c r="E186" s="482" t="s">
        <v>954</v>
      </c>
      <c r="F186" s="484">
        <v>44616</v>
      </c>
      <c r="G186" s="427"/>
      <c r="H186" s="268"/>
    </row>
    <row r="187" spans="1:8" ht="30" hidden="1">
      <c r="A187" s="482">
        <v>14</v>
      </c>
      <c r="B187" s="483" t="s">
        <v>1304</v>
      </c>
      <c r="C187" s="485"/>
      <c r="D187" s="485"/>
      <c r="E187" s="482" t="s">
        <v>954</v>
      </c>
      <c r="F187" s="484">
        <v>44616</v>
      </c>
      <c r="G187" s="427"/>
      <c r="H187" s="268"/>
    </row>
    <row r="188" spans="1:8" ht="30" hidden="1">
      <c r="A188" s="482">
        <v>15</v>
      </c>
      <c r="B188" s="483" t="s">
        <v>1305</v>
      </c>
      <c r="C188" s="485"/>
      <c r="D188" s="485"/>
      <c r="E188" s="482" t="s">
        <v>954</v>
      </c>
      <c r="F188" s="484">
        <v>44616</v>
      </c>
      <c r="G188" s="427"/>
      <c r="H188" s="268"/>
    </row>
    <row r="189" spans="1:8" ht="30" hidden="1">
      <c r="A189" s="482">
        <v>16</v>
      </c>
      <c r="B189" s="483" t="s">
        <v>1306</v>
      </c>
      <c r="C189" s="485"/>
      <c r="D189" s="485"/>
      <c r="E189" s="482" t="s">
        <v>954</v>
      </c>
      <c r="F189" s="484">
        <v>44616</v>
      </c>
      <c r="G189" s="427"/>
      <c r="H189" s="268"/>
    </row>
    <row r="190" spans="1:8" ht="30" hidden="1">
      <c r="A190" s="482">
        <v>17</v>
      </c>
      <c r="B190" s="483" t="s">
        <v>1307</v>
      </c>
      <c r="C190" s="485"/>
      <c r="D190" s="485"/>
      <c r="E190" s="482" t="s">
        <v>954</v>
      </c>
      <c r="F190" s="484">
        <v>44616</v>
      </c>
      <c r="G190" s="427"/>
      <c r="H190" s="268"/>
    </row>
    <row r="191" spans="1:8" ht="60" hidden="1">
      <c r="A191" s="482">
        <v>18</v>
      </c>
      <c r="B191" s="483" t="s">
        <v>1336</v>
      </c>
      <c r="C191" s="482" t="s">
        <v>1337</v>
      </c>
      <c r="D191" s="482" t="s">
        <v>1338</v>
      </c>
      <c r="E191" s="482" t="s">
        <v>1334</v>
      </c>
      <c r="F191" s="484">
        <v>44630</v>
      </c>
      <c r="G191" s="427"/>
      <c r="H191" s="268"/>
    </row>
    <row r="192" spans="1:8" ht="15" hidden="1">
      <c r="A192" s="482">
        <v>19</v>
      </c>
      <c r="B192" s="483" t="s">
        <v>1335</v>
      </c>
      <c r="C192" s="485"/>
      <c r="D192" s="485"/>
      <c r="E192" s="482" t="s">
        <v>1334</v>
      </c>
      <c r="F192" s="484">
        <v>44630</v>
      </c>
      <c r="G192" s="427"/>
      <c r="H192" s="268"/>
    </row>
    <row r="193" spans="1:6" ht="45" hidden="1">
      <c r="A193" s="482">
        <v>20</v>
      </c>
      <c r="B193" s="483" t="s">
        <v>1381</v>
      </c>
      <c r="C193" s="485"/>
      <c r="D193" s="485"/>
      <c r="E193" s="482" t="s">
        <v>954</v>
      </c>
      <c r="F193" s="484">
        <v>44634</v>
      </c>
    </row>
    <row r="194" spans="1:6" ht="45" hidden="1">
      <c r="A194" s="482">
        <v>21</v>
      </c>
      <c r="B194" s="483" t="s">
        <v>1382</v>
      </c>
      <c r="C194" s="485"/>
      <c r="D194" s="485"/>
      <c r="E194" s="482" t="s">
        <v>954</v>
      </c>
      <c r="F194" s="484">
        <v>44634</v>
      </c>
    </row>
    <row r="195" spans="1:6" ht="45" hidden="1">
      <c r="A195" s="482">
        <v>22</v>
      </c>
      <c r="B195" s="483" t="s">
        <v>1383</v>
      </c>
      <c r="C195" s="485"/>
      <c r="D195" s="485"/>
      <c r="E195" s="482" t="s">
        <v>954</v>
      </c>
      <c r="F195" s="484">
        <v>44634</v>
      </c>
    </row>
    <row r="196" spans="1:6" ht="45" hidden="1">
      <c r="A196" s="482">
        <v>23</v>
      </c>
      <c r="B196" s="483" t="s">
        <v>1480</v>
      </c>
      <c r="C196" s="485"/>
      <c r="D196" s="485"/>
      <c r="E196" s="482" t="s">
        <v>954</v>
      </c>
      <c r="F196" s="484">
        <v>44634</v>
      </c>
    </row>
    <row r="197" spans="1:6" ht="60" hidden="1">
      <c r="A197" s="482">
        <v>24</v>
      </c>
      <c r="B197" s="483" t="s">
        <v>1479</v>
      </c>
      <c r="C197" s="485"/>
      <c r="D197" s="485"/>
      <c r="E197" s="482" t="s">
        <v>954</v>
      </c>
      <c r="F197" s="484">
        <v>44634</v>
      </c>
    </row>
    <row r="198" spans="1:6" ht="60" hidden="1">
      <c r="A198" s="482">
        <v>25</v>
      </c>
      <c r="B198" s="483" t="s">
        <v>1478</v>
      </c>
      <c r="C198" s="485"/>
      <c r="D198" s="485"/>
      <c r="E198" s="482" t="s">
        <v>954</v>
      </c>
      <c r="F198" s="484">
        <v>44634</v>
      </c>
    </row>
    <row r="199" spans="1:6" ht="60" hidden="1">
      <c r="A199" s="482">
        <v>26</v>
      </c>
      <c r="B199" s="483" t="s">
        <v>1384</v>
      </c>
      <c r="C199" s="485"/>
      <c r="D199" s="485"/>
      <c r="E199" s="482" t="s">
        <v>954</v>
      </c>
      <c r="F199" s="484">
        <v>44634</v>
      </c>
    </row>
    <row r="200" spans="1:6" ht="60" hidden="1">
      <c r="A200" s="482">
        <v>27</v>
      </c>
      <c r="B200" s="483" t="s">
        <v>1385</v>
      </c>
      <c r="C200" s="485"/>
      <c r="D200" s="485"/>
      <c r="E200" s="482" t="s">
        <v>954</v>
      </c>
      <c r="F200" s="484">
        <v>44634</v>
      </c>
    </row>
    <row r="201" spans="1:6" ht="45" hidden="1">
      <c r="A201" s="482">
        <v>28</v>
      </c>
      <c r="B201" s="483" t="s">
        <v>1403</v>
      </c>
      <c r="C201" s="485"/>
      <c r="D201" s="485"/>
      <c r="E201" s="482" t="s">
        <v>954</v>
      </c>
      <c r="F201" s="484">
        <v>44634</v>
      </c>
    </row>
    <row r="202" spans="1:6" ht="45.75" hidden="1" thickBot="1">
      <c r="A202" s="482">
        <v>29</v>
      </c>
      <c r="B202" s="483" t="s">
        <v>1417</v>
      </c>
      <c r="C202" s="485"/>
      <c r="D202" s="485"/>
      <c r="E202" s="482" t="s">
        <v>954</v>
      </c>
      <c r="F202" s="484">
        <v>44634</v>
      </c>
    </row>
    <row r="203" spans="1:15" ht="15">
      <c r="A203" s="500" t="s">
        <v>328</v>
      </c>
      <c r="B203" s="631" t="s">
        <v>1593</v>
      </c>
      <c r="C203" s="632"/>
      <c r="D203" s="633"/>
      <c r="E203" s="501" t="s">
        <v>332</v>
      </c>
      <c r="F203" s="502" t="s">
        <v>333</v>
      </c>
      <c r="G203" s="427"/>
      <c r="H203" s="268"/>
      <c r="O203" s="503"/>
    </row>
    <row r="204" spans="1:15" ht="15.75" thickBot="1">
      <c r="A204" s="504">
        <v>1</v>
      </c>
      <c r="B204" s="634" t="s">
        <v>1605</v>
      </c>
      <c r="C204" s="635"/>
      <c r="D204" s="636"/>
      <c r="E204" s="505" t="s">
        <v>1334</v>
      </c>
      <c r="F204" s="506">
        <v>44677</v>
      </c>
      <c r="G204" s="427"/>
      <c r="H204" s="268"/>
      <c r="O204" s="503"/>
    </row>
    <row r="205" spans="1:16" ht="15">
      <c r="A205" s="13" t="s">
        <v>1639</v>
      </c>
      <c r="B205" s="27" t="s">
        <v>1640</v>
      </c>
      <c r="C205" s="13" t="s">
        <v>33</v>
      </c>
      <c r="D205" s="13" t="s">
        <v>1333</v>
      </c>
      <c r="E205" s="13"/>
      <c r="F205" s="13" t="s">
        <v>12</v>
      </c>
      <c r="G205" s="442">
        <v>30</v>
      </c>
      <c r="H205" s="440">
        <v>10</v>
      </c>
      <c r="I205" s="28">
        <v>2</v>
      </c>
      <c r="J205" s="441">
        <f t="shared" si="30" ref="J205">H205/G205*I205</f>
        <v>0.66666666666666663</v>
      </c>
      <c r="K205" s="28">
        <v>1</v>
      </c>
      <c r="L205" s="267">
        <f t="shared" si="31" ref="L205">J205*K205</f>
        <v>0.66666666666666663</v>
      </c>
      <c r="M205" s="433">
        <f t="shared" si="32" ref="M205">L205*N205</f>
        <v>101.33333333333333</v>
      </c>
      <c r="N205" s="434">
        <v>152</v>
      </c>
      <c r="O205" s="435">
        <f t="shared" si="33" ref="O205">J205/I205*K205</f>
        <v>0.33333333333333331</v>
      </c>
      <c r="P205" s="21"/>
    </row>
    <row r="206" ht="15.75" thickBot="1"/>
    <row r="207" spans="1:7" ht="15">
      <c r="A207" s="500" t="s">
        <v>328</v>
      </c>
      <c r="B207" s="631" t="s">
        <v>1593</v>
      </c>
      <c r="C207" s="632"/>
      <c r="D207" s="633"/>
      <c r="E207" s="501" t="s">
        <v>332</v>
      </c>
      <c r="F207" s="502" t="s">
        <v>333</v>
      </c>
      <c r="G207" s="68"/>
    </row>
    <row r="208" spans="1:7" ht="15.75" thickBot="1">
      <c r="A208" s="504">
        <v>2</v>
      </c>
      <c r="B208" s="634" t="s">
        <v>1605</v>
      </c>
      <c r="C208" s="635"/>
      <c r="D208" s="636"/>
      <c r="E208" s="505" t="s">
        <v>1682</v>
      </c>
      <c r="F208" s="506">
        <v>44987</v>
      </c>
      <c r="G208" s="68"/>
    </row>
    <row r="209" spans="1:15" ht="30">
      <c r="A209" s="529" t="s">
        <v>1662</v>
      </c>
      <c r="B209" s="522" t="s">
        <v>1661</v>
      </c>
      <c r="C209" s="523" t="s">
        <v>9</v>
      </c>
      <c r="D209" s="523">
        <v>109</v>
      </c>
      <c r="E209" s="523"/>
      <c r="F209" s="524" t="s">
        <v>10</v>
      </c>
      <c r="G209" s="525">
        <v>33</v>
      </c>
      <c r="H209" s="526">
        <v>10</v>
      </c>
      <c r="I209" s="527">
        <v>1</v>
      </c>
      <c r="J209" s="528">
        <f t="shared" si="34" ref="J209:J213">H209/G209*I209</f>
        <v>0.30303030303030304</v>
      </c>
      <c r="K209" s="525">
        <f>(350*2)/1000</f>
        <v>0.70</v>
      </c>
      <c r="L209" s="267">
        <f t="shared" si="35" ref="L209:L213">J209*K209</f>
        <v>0.21212121212121213</v>
      </c>
      <c r="M209" s="266">
        <f t="shared" si="36" ref="M209:M213">L209*N209</f>
        <v>32.242424242424242</v>
      </c>
      <c r="N209" s="433">
        <v>152</v>
      </c>
      <c r="O209" s="267">
        <f t="shared" si="37" ref="O209:O213">J209/I209*K209</f>
        <v>0.21212121212121213</v>
      </c>
    </row>
    <row r="210" spans="1:15" ht="30">
      <c r="A210" s="523" t="s">
        <v>1668</v>
      </c>
      <c r="B210" s="522" t="s">
        <v>1670</v>
      </c>
      <c r="C210" s="523" t="s">
        <v>33</v>
      </c>
      <c r="D210" s="523">
        <v>116</v>
      </c>
      <c r="E210" s="523"/>
      <c r="F210" s="523" t="s">
        <v>1666</v>
      </c>
      <c r="G210" s="527">
        <v>13.38</v>
      </c>
      <c r="H210" s="530">
        <v>10</v>
      </c>
      <c r="I210" s="527">
        <v>2</v>
      </c>
      <c r="J210" s="531">
        <f t="shared" si="34"/>
        <v>1.4947683109118086</v>
      </c>
      <c r="K210" s="527">
        <v>1</v>
      </c>
      <c r="L210" s="267">
        <f t="shared" si="35"/>
        <v>1.4947683109118086</v>
      </c>
      <c r="M210" s="433">
        <f t="shared" si="36"/>
        <v>298.95366218236171</v>
      </c>
      <c r="N210" s="434">
        <v>200</v>
      </c>
      <c r="O210" s="435">
        <f t="shared" si="37"/>
        <v>0.74738415545590431</v>
      </c>
    </row>
    <row r="211" spans="1:15" ht="30">
      <c r="A211" s="523" t="s">
        <v>1669</v>
      </c>
      <c r="B211" s="522" t="s">
        <v>1671</v>
      </c>
      <c r="C211" s="523" t="s">
        <v>33</v>
      </c>
      <c r="D211" s="523">
        <v>116</v>
      </c>
      <c r="E211" s="523"/>
      <c r="F211" s="523" t="s">
        <v>10</v>
      </c>
      <c r="G211" s="527">
        <v>40</v>
      </c>
      <c r="H211" s="530">
        <v>10</v>
      </c>
      <c r="I211" s="527">
        <v>1</v>
      </c>
      <c r="J211" s="531">
        <f t="shared" si="34"/>
        <v>0.25</v>
      </c>
      <c r="K211" s="525">
        <f>3320/1000</f>
        <v>3.32</v>
      </c>
      <c r="L211" s="267">
        <f t="shared" si="35"/>
        <v>0.83</v>
      </c>
      <c r="M211" s="433">
        <f t="shared" si="36"/>
        <v>166</v>
      </c>
      <c r="N211" s="434">
        <v>200</v>
      </c>
      <c r="O211" s="435">
        <f t="shared" si="37"/>
        <v>0.83</v>
      </c>
    </row>
    <row r="212" spans="1:15" ht="30">
      <c r="A212" s="523" t="s">
        <v>1663</v>
      </c>
      <c r="B212" s="522" t="s">
        <v>1665</v>
      </c>
      <c r="C212" s="523" t="s">
        <v>33</v>
      </c>
      <c r="D212" s="523">
        <v>116</v>
      </c>
      <c r="E212" s="523"/>
      <c r="F212" s="523" t="s">
        <v>1666</v>
      </c>
      <c r="G212" s="527">
        <v>12.41</v>
      </c>
      <c r="H212" s="530">
        <v>10</v>
      </c>
      <c r="I212" s="527">
        <v>2</v>
      </c>
      <c r="J212" s="531">
        <f t="shared" si="34"/>
        <v>1.6116035455278002</v>
      </c>
      <c r="K212" s="527">
        <v>1</v>
      </c>
      <c r="L212" s="267">
        <f t="shared" si="35"/>
        <v>1.6116035455278002</v>
      </c>
      <c r="M212" s="433">
        <f t="shared" si="36"/>
        <v>322.32070910556001</v>
      </c>
      <c r="N212" s="434">
        <v>200</v>
      </c>
      <c r="O212" s="435">
        <f t="shared" si="37"/>
        <v>0.80580177276390008</v>
      </c>
    </row>
    <row r="213" spans="1:15" ht="30">
      <c r="A213" s="523" t="s">
        <v>1664</v>
      </c>
      <c r="B213" s="522" t="s">
        <v>1667</v>
      </c>
      <c r="C213" s="523" t="s">
        <v>33</v>
      </c>
      <c r="D213" s="523">
        <v>116</v>
      </c>
      <c r="E213" s="523"/>
      <c r="F213" s="523" t="s">
        <v>10</v>
      </c>
      <c r="G213" s="527">
        <v>40</v>
      </c>
      <c r="H213" s="530">
        <v>10</v>
      </c>
      <c r="I213" s="527">
        <v>1</v>
      </c>
      <c r="J213" s="531">
        <f t="shared" si="34"/>
        <v>0.25</v>
      </c>
      <c r="K213" s="525">
        <f>3461/1000</f>
        <v>3.4609999999999999</v>
      </c>
      <c r="L213" s="267">
        <f t="shared" si="35"/>
        <v>0.86524999999999996</v>
      </c>
      <c r="M213" s="433">
        <f t="shared" si="36"/>
        <v>173.04999999999998</v>
      </c>
      <c r="N213" s="434">
        <v>200</v>
      </c>
      <c r="O213" s="435">
        <f t="shared" si="37"/>
        <v>0.86524999999999996</v>
      </c>
    </row>
    <row r="214" ht="15.75" thickBot="1"/>
    <row r="215" spans="1:6" ht="15">
      <c r="A215" s="500" t="s">
        <v>328</v>
      </c>
      <c r="B215" s="631" t="s">
        <v>1593</v>
      </c>
      <c r="C215" s="632"/>
      <c r="D215" s="633"/>
      <c r="E215" s="501" t="s">
        <v>332</v>
      </c>
      <c r="F215" s="502" t="s">
        <v>333</v>
      </c>
    </row>
    <row r="216" spans="1:6" ht="15.75" thickBot="1">
      <c r="A216" s="504">
        <v>3</v>
      </c>
      <c r="B216" s="634" t="s">
        <v>1605</v>
      </c>
      <c r="C216" s="635"/>
      <c r="D216" s="636"/>
      <c r="E216" s="505" t="s">
        <v>1682</v>
      </c>
      <c r="F216" s="506">
        <v>45055</v>
      </c>
    </row>
    <row r="217" spans="1:15" ht="15">
      <c r="A217" s="523" t="s">
        <v>1695</v>
      </c>
      <c r="B217" s="522" t="s">
        <v>1696</v>
      </c>
      <c r="C217" s="523" t="s">
        <v>33</v>
      </c>
      <c r="D217" s="523">
        <v>226</v>
      </c>
      <c r="E217" s="523"/>
      <c r="F217" s="523" t="s">
        <v>12</v>
      </c>
      <c r="G217" s="527">
        <v>20</v>
      </c>
      <c r="H217" s="530">
        <v>10</v>
      </c>
      <c r="I217" s="527">
        <v>1</v>
      </c>
      <c r="J217" s="531">
        <f t="shared" si="38" ref="J217">H217/G217*I217</f>
        <v>0.50</v>
      </c>
      <c r="K217" s="527">
        <v>1</v>
      </c>
      <c r="L217" s="267">
        <f t="shared" si="39" ref="L217">J217*K217</f>
        <v>0.50</v>
      </c>
      <c r="M217" s="433">
        <f t="shared" si="40" ref="M217">L217*N217</f>
        <v>100</v>
      </c>
      <c r="N217" s="434">
        <v>200</v>
      </c>
      <c r="O217" s="435">
        <f t="shared" si="41" ref="O217">J217/I217*K217</f>
        <v>0.50</v>
      </c>
    </row>
    <row r="218" ht="15.75" thickBot="1"/>
    <row r="219" spans="1:6" ht="15">
      <c r="A219" s="500" t="s">
        <v>328</v>
      </c>
      <c r="B219" s="631" t="s">
        <v>1593</v>
      </c>
      <c r="C219" s="632"/>
      <c r="D219" s="633"/>
      <c r="E219" s="501" t="s">
        <v>332</v>
      </c>
      <c r="F219" s="502" t="s">
        <v>333</v>
      </c>
    </row>
    <row r="220" spans="1:6" ht="15.75" thickBot="1">
      <c r="A220" s="504">
        <v>4</v>
      </c>
      <c r="B220" s="634" t="s">
        <v>1657</v>
      </c>
      <c r="C220" s="635"/>
      <c r="D220" s="636"/>
      <c r="E220" s="505" t="s">
        <v>1697</v>
      </c>
      <c r="F220" s="506">
        <v>45142</v>
      </c>
    </row>
    <row r="221" spans="1:16" ht="15">
      <c r="A221" s="13" t="s">
        <v>292</v>
      </c>
      <c r="B221" s="27" t="s">
        <v>21</v>
      </c>
      <c r="C221" s="13" t="s">
        <v>33</v>
      </c>
      <c r="D221" s="13">
        <v>219</v>
      </c>
      <c r="E221" s="13"/>
      <c r="F221" s="13" t="s">
        <v>12</v>
      </c>
      <c r="G221" s="436">
        <v>3.3330000000000002</v>
      </c>
      <c r="H221" s="440">
        <v>10</v>
      </c>
      <c r="I221" s="28">
        <v>2</v>
      </c>
      <c r="J221" s="441">
        <f t="shared" si="42" ref="J221:J222">H221/G221*I221</f>
        <v>6.0006000600060005</v>
      </c>
      <c r="K221" s="28">
        <v>1</v>
      </c>
      <c r="L221" s="267">
        <f t="shared" si="43" ref="L221:L222">J221*K221</f>
        <v>6.0006000600060005</v>
      </c>
      <c r="M221" s="433">
        <f t="shared" si="44" ref="M221:M222">L221*N221</f>
        <v>996.09960996099608</v>
      </c>
      <c r="N221" s="434">
        <v>166</v>
      </c>
      <c r="O221" s="435">
        <f t="shared" si="45" ref="O221:O222">J221/I221*K221</f>
        <v>3.0003000300030003</v>
      </c>
      <c r="P221" s="22"/>
    </row>
    <row r="222" spans="1:16" ht="15">
      <c r="A222" s="13" t="s">
        <v>292</v>
      </c>
      <c r="B222" s="27" t="s">
        <v>21</v>
      </c>
      <c r="C222" s="13" t="s">
        <v>33</v>
      </c>
      <c r="D222" s="13">
        <v>219</v>
      </c>
      <c r="E222" s="13"/>
      <c r="F222" s="13" t="s">
        <v>12</v>
      </c>
      <c r="G222" s="569">
        <f t="shared" si="46" ref="G222">3.333*2</f>
        <v>6.6660000000000004</v>
      </c>
      <c r="H222" s="440">
        <v>10</v>
      </c>
      <c r="I222" s="28">
        <v>2</v>
      </c>
      <c r="J222" s="441">
        <f t="shared" si="42"/>
        <v>3.0003000300030003</v>
      </c>
      <c r="K222" s="28">
        <v>1</v>
      </c>
      <c r="L222" s="267">
        <f t="shared" si="43"/>
        <v>3.0003000300030003</v>
      </c>
      <c r="M222" s="433">
        <f t="shared" si="44"/>
        <v>498.04980498049804</v>
      </c>
      <c r="N222" s="434">
        <v>166</v>
      </c>
      <c r="O222" s="435">
        <f t="shared" si="45"/>
        <v>1.5001500150015001</v>
      </c>
      <c r="P222" s="22"/>
    </row>
  </sheetData>
  <autoFilter ref="A4:P163"/>
  <mergeCells count="50">
    <mergeCell ref="A23:A25"/>
    <mergeCell ref="B23:B25"/>
    <mergeCell ref="E23:E25"/>
    <mergeCell ref="A57:A58"/>
    <mergeCell ref="B57:B58"/>
    <mergeCell ref="E57:E58"/>
    <mergeCell ref="A32:A33"/>
    <mergeCell ref="B32:B33"/>
    <mergeCell ref="E32:E33"/>
    <mergeCell ref="A34:A36"/>
    <mergeCell ref="B34:B36"/>
    <mergeCell ref="E34:E36"/>
    <mergeCell ref="A38:A39"/>
    <mergeCell ref="B38:B39"/>
    <mergeCell ref="B48:K48"/>
    <mergeCell ref="A49:A54"/>
    <mergeCell ref="B5:K5"/>
    <mergeCell ref="B19:K19"/>
    <mergeCell ref="A21:A22"/>
    <mergeCell ref="B21:B22"/>
    <mergeCell ref="E21:E22"/>
    <mergeCell ref="B49:B54"/>
    <mergeCell ref="B91:K91"/>
    <mergeCell ref="A59:A60"/>
    <mergeCell ref="B59:B60"/>
    <mergeCell ref="E59:E60"/>
    <mergeCell ref="A63:A64"/>
    <mergeCell ref="B63:B64"/>
    <mergeCell ref="B67:K67"/>
    <mergeCell ref="A68:A70"/>
    <mergeCell ref="B68:B70"/>
    <mergeCell ref="B80:K80"/>
    <mergeCell ref="B87:K87"/>
    <mergeCell ref="A99:A100"/>
    <mergeCell ref="B99:B100"/>
    <mergeCell ref="A112:A113"/>
    <mergeCell ref="B112:B113"/>
    <mergeCell ref="A114:A116"/>
    <mergeCell ref="B114:B116"/>
    <mergeCell ref="A117:A118"/>
    <mergeCell ref="B117:B118"/>
    <mergeCell ref="B139:K139"/>
    <mergeCell ref="B203:D203"/>
    <mergeCell ref="B204:D204"/>
    <mergeCell ref="B219:D219"/>
    <mergeCell ref="B220:D220"/>
    <mergeCell ref="B215:D215"/>
    <mergeCell ref="B216:D216"/>
    <mergeCell ref="B207:D207"/>
    <mergeCell ref="B208:D20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100R !2020</vt:lpstr>
      <vt:lpstr>150R !2020</vt:lpstr>
      <vt:lpstr>200R !2020</vt:lpstr>
      <vt:lpstr>250R !2020</vt:lpstr>
      <vt:lpstr>300R !2020</vt:lpstr>
      <vt:lpstr>350R !2020</vt:lpstr>
      <vt:lpstr>400R !2020</vt:lpstr>
      <vt:lpstr>450R !2020</vt:lpstr>
      <vt:lpstr>500R !2020</vt:lpstr>
      <vt:lpstr>600R !2020</vt:lpstr>
      <vt:lpstr>700R !2020</vt:lpstr>
      <vt:lpstr>800R !2020</vt:lpstr>
      <vt:lpstr>900R !2020</vt:lpstr>
      <vt:lpstr>1000R !2020</vt:lpstr>
      <vt:lpstr>1250R !2020</vt:lpstr>
      <vt:lpstr>1500R !2020</vt:lpstr>
      <vt:lpstr>1600R !2020</vt:lpstr>
      <vt:lpstr>Интерполяция</vt:lpstr>
      <vt:lpstr>Интерполяция М</vt:lpstr>
      <vt:lpstr>1250R ---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Горбонос Д.Н.</dc:creator>
  <cp:keywords/>
  <dc:description/>
  <cp:lastModifiedBy>Сакс В.И.</cp:lastModifiedBy>
  <cp:lastPrinted>2023-03-02T08:30:48Z</cp:lastPrinted>
  <dcterms:created xsi:type="dcterms:W3CDTF">2016-10-28T05:00:04Z</dcterms:created>
  <dcterms:modified xsi:type="dcterms:W3CDTF">2023-10-10T12:52:12Z</dcterms:modified>
  <cp:category/>
</cp:coreProperties>
</file>