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<sst xmlns="http://schemas.openxmlformats.org/spreadsheetml/2006/main" count="35" uniqueCount="35">
  <si>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№ ПИ</t>
  </si>
  <si>
    <t xml:space="preserve">Тип СИ в реестре ФИФ ОЕИ</t>
  </si>
  <si>
    <t xml:space="preserve">Модификация СИ</t>
  </si>
  <si>
    <t xml:space="preserve">Заводской №</t>
  </si>
  <si>
    <t xml:space="preserve">Владелец СИ </t>
  </si>
  <si>
    <t xml:space="preserve">Дата поверки </t>
  </si>
  <si>
    <t xml:space="preserve">Действительна до</t>
  </si>
  <si>
    <t xml:space="preserve">Документ на методику поверки</t>
  </si>
  <si>
    <t xml:space="preserve">Тип поверки</t>
  </si>
  <si>
    <t xml:space="preserve">"Пригодно/Непригодно"</t>
  </si>
  <si>
    <t xml:space="preserve">Причина непригодности</t>
  </si>
  <si>
    <t xml:space="preserve">ФИО поверителя</t>
  </si>
  <si>
    <t xml:space="preserve">№ СИ по перечню</t>
  </si>
  <si>
    <t xml:space="preserve">Регистрационный № типа СИ 1</t>
  </si>
  <si>
    <t xml:space="preserve">Заводской номер 1</t>
  </si>
  <si>
    <t xml:space="preserve">Регистрационный № типа СИ 2</t>
  </si>
  <si>
    <t xml:space="preserve">Заводской номер 2</t>
  </si>
  <si>
    <t xml:space="preserve">Регистрационный № типа СИ 3</t>
  </si>
  <si>
    <t xml:space="preserve">Заводской номер 3</t>
  </si>
  <si>
    <t xml:space="preserve">Температура</t>
  </si>
  <si>
    <t xml:space="preserve">Атмосферное давление </t>
  </si>
  <si>
    <t xml:space="preserve">Относительная влажность </t>
  </si>
  <si>
    <t xml:space="preserve">Тип аккредитованного лица</t>
  </si>
  <si>
    <t xml:space="preserve">Уникальный номер записи об аккредитации в реестре аккредитованных лиц:</t>
  </si>
  <si>
    <t xml:space="preserve">Контактные данные</t>
  </si>
  <si>
    <t xml:space="preserve">Регистрационный номер типа средства измерений в Федеральном информационном фонде по обеспечению единства измерений</t>
  </si>
  <si>
    <t xml:space="preserve">Дата результата поверки средств измерений</t>
  </si>
  <si>
    <t xml:space="preserve">Срок действия:</t>
  </si>
  <si>
    <t xml:space="preserve">Тип поверяемого средства измерения</t>
  </si>
  <si>
    <t xml:space="preserve">Результат поверки</t>
  </si>
  <si>
    <t xml:space="preserve">Фамилия поверителя</t>
  </si>
  <si>
    <t xml:space="preserve">Имя поверителя</t>
  </si>
  <si>
    <t xml:space="preserve">Отчество поверителя</t>
  </si>
  <si>
    <t xml:space="preserve">СНИЛС поверителя</t>
  </si>
  <si>
    <t xml:space="preserve">Номер протокола в Аршине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</si>
</sst>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@"/>
    <numFmt numFmtId="167" formatCode="dd\.mm\.yyyy"/>
    <numFmt numFmtId="168" formatCode="dd/mm/yyyy"/>
  </numFmts>
  <fonts count="8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  <font>
      <sz val="9"/>
      <color rgb="FF000000"/>
      <name val="&quot;Google Sans Mono&quot;"/>
      <family val="0"/>
      <charset val="1"/>
    </font>
    <font>
      <sz val="10"/>
      <color rgb="FF000000"/>
      <name val="Arial"/>
      <family val="2"/>
      <charset val="204"/>
    </font>
    <font>
      <u val="single"/>
      <sz val="10"/>
      <color rgb="FF0000FF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gis.gost.ru/fundmetrology/api/downloadfile/1e884cd1-1d5a-4434-9668-3a23b0d54e65" TargetMode="External"/><Relationship Id="rId2" Type="http://schemas.openxmlformats.org/officeDocument/2006/relationships/hyperlink" Target="https://fgis.gost.ru/fundmetrology/api/downloadfile/1e884cd1-1d5a-4434-9668-3a23b0d54e65" TargetMode="External"/><Relationship Id="rId3" Type="http://schemas.openxmlformats.org/officeDocument/2006/relationships/hyperlink" Target="https://fgis.gost.ru/fundmetrology/api/downloadfile/1e884cd1-1d5a-4434-9668-3a23b0d54e65" TargetMode="External"/><Relationship Id="rId4" Type="http://schemas.openxmlformats.org/officeDocument/2006/relationships/hyperlink" Target="https://fgis.gost.ru/fundmetrology/api/downloadfile/1e884cd1-1d5a-4434-9668-3a23b0d54e65" TargetMode="External"/><Relationship Id="rId5" Type="http://schemas.openxmlformats.org/officeDocument/2006/relationships/hyperlink" Target="https://fgis.gost.ru/fundmetrology/api/downloadfile/1e884cd1-1d5a-4434-9668-3a23b0d54e65" TargetMode="External"/><Relationship Id="rId6" Type="http://schemas.openxmlformats.org/officeDocument/2006/relationships/hyperlink" Target="https://fgis.gost.ru/fundmetrology/api/downloadfile/38b3b39e-3673-4437-996d-ed58c7c632cb" TargetMode="External"/><Relationship Id="rId7" Type="http://schemas.openxmlformats.org/officeDocument/2006/relationships/hyperlink" Target="https://fgis.gost.ru/fundmetrology/api/downloadfile/1e884cd1-1d5a-4434-9668-3a23b0d54e65" TargetMode="External"/><Relationship Id="rId8" Type="http://schemas.openxmlformats.org/officeDocument/2006/relationships/hyperlink" Target="https://fgis.gost.ru/fundmetrology/api/downloadfile/1e884cd1-1d5a-4434-9668-3a23b0d54e65" TargetMode="External"/><Relationship Id="rId9" Type="http://schemas.openxmlformats.org/officeDocument/2006/relationships/hyperlink" Target="https://fgis.gost.ru/fundmetrology/api/downloadfile/1e884cd1-1d5a-4434-9668-3a23b0d54e65" TargetMode="External"/><Relationship Id="rId10" Type="http://schemas.openxmlformats.org/officeDocument/2006/relationships/hyperlink" Target="https://fgis.gost.ru/fundmetrology/api/downloadfile/1e884cd1-1d5a-4434-9668-3a23b0d54e6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309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AC8" activeCellId="0" sqref="AC8"/>
    </sheetView>
  </sheetViews>
  <sheetFormatPr defaultColWidth="12.58984375" defaultRowHeight="15.75" zeroHeight="false" outlineLevelRow="0" outlineLevelCol="0"/>
  <cols>
    <col collapsed="false" customWidth="true" hidden="false" outlineLevel="0" max="1" min="1" style="0" width="13.75"/>
    <col collapsed="false" customWidth="false" hidden="false" outlineLevel="0" max="4" min="4" style="1" width="12.57"/>
    <col collapsed="false" customWidth="true" hidden="false" outlineLevel="0" max="8" min="8" style="0" width="20.42"/>
    <col collapsed="false" customWidth="true" hidden="false" outlineLevel="0" max="13" min="13" style="0" width="40.15"/>
    <col collapsed="false" customWidth="true" hidden="false" outlineLevel="0" max="14" min="14" style="0" width="30.14"/>
    <col collapsed="false" customWidth="true" hidden="false" outlineLevel="0" max="16" min="16" style="0" width="49.42"/>
    <col collapsed="false" customWidth="true" hidden="false" outlineLevel="0" max="18" min="18" style="0" width="29.57"/>
    <col collapsed="false" customWidth="true" hidden="true" outlineLevel="0" max="23" min="23" style="0" width="43.71"/>
    <col collapsed="false" customWidth="false" hidden="true" outlineLevel="0" max="27" min="24" style="0" width="12.57"/>
    <col collapsed="false" customWidth="true" hidden="true" outlineLevel="0" max="28" min="28" style="0" width="15.86"/>
    <col collapsed="false" customWidth="false" hidden="true" outlineLevel="0" max="30" min="30" style="0" width="12.57"/>
    <col collapsed="false" customWidth="true" hidden="false" outlineLevel="0" max="32" min="32" style="0" width="12.86"/>
    <col collapsed="false" customWidth="true" hidden="true" outlineLevel="0" max="33" min="33" style="0" width="12.86"/>
    <col collapsed="false" customWidth="true" hidden="false" outlineLevel="0" max="34" min="34" style="0" width="18.33"/>
    <col collapsed="false" customWidth="true" hidden="false" outlineLevel="0" max="35" min="35" style="0" width="25.28"/>
    <col collapsed="false" customWidth="true" hidden="false" outlineLevel="0" max="44" min="36" style="0" width="12.86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7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/>
      <c r="AK1" s="4"/>
      <c r="AL1" s="8"/>
      <c r="AM1" s="8"/>
      <c r="AN1" s="8"/>
      <c r="AO1" s="8"/>
      <c r="AP1" s="8"/>
      <c r="AQ1" s="8"/>
      <c r="AR1" s="8"/>
    </row>
    <row r="2" customFormat="false" ht="15.75" hidden="false" customHeight="false" outlineLevel="0" collapsed="false">
      <c r="A2" s="9" t="str">
        <f aca="false">IFERROR(__xludf.dummyfunction("IMPORTRANGE(""https://docs.google.com/spreadsheets/d/17j_5q_41AlTs61Shi8fpFxeEHUc-BlJjlbbgwll2lQA"",""Аршин!a2:ag10000"")"),"2023-ГАЗ-1")</f>
        <v>2023-ГАЗ-1</v>
      </c>
      <c r="B2" s="10" t="str">
        <f aca="false">IFERROR(__xludf.dummyfunction("""COMPUTED_VALUE"""),"19008-99")</f>
        <v>19008-99</v>
      </c>
      <c r="C2" s="10" t="str">
        <f aca="false">IFERROR(__xludf.dummyfunction("""COMPUTED_VALUE"""),"РЛ-6 G6")</f>
        <v>РЛ-6 G6</v>
      </c>
      <c r="D2" s="11" t="str">
        <f aca="false">IFERROR(__xludf.dummyfunction("""COMPUTED_VALUE"""),"02845")</f>
        <v>02845</v>
      </c>
      <c r="E2" s="10" t="str">
        <f aca="false">IFERROR(__xludf.dummyfunction("""COMPUTED_VALUE"""),"Физ. лицо")</f>
        <v>Физ. лицо</v>
      </c>
      <c r="F2" s="12" t="n">
        <f aca="false">IFERROR(__xludf.dummyfunction("""COMPUTED_VALUE"""),45082.7025165162)</f>
        <v>45082.7025165162</v>
      </c>
      <c r="G2" s="13" t="n">
        <f aca="false">IFERROR(__xludf.dummyfunction("""COMPUTED_VALUE"""),46908)</f>
        <v>46908</v>
      </c>
      <c r="H2" s="10" t="str">
        <f aca="false">IFERROR(__xludf.dummyfunction("""COMPUTED_VALUE"""),"Инструкция 562.М.Т2.784.000 Д1")</f>
        <v>Инструкция 562.М.Т2.784.000 Д1</v>
      </c>
      <c r="I2" s="10" t="str">
        <f aca="false">IFERROR(__xludf.dummyfunction("""COMPUTED_VALUE"""),"Периодическая")</f>
        <v>Периодическая</v>
      </c>
      <c r="J2" s="10" t="str">
        <f aca="false">IFERROR(__xludf.dummyfunction("""COMPUTED_VALUE"""),"Пригоден")</f>
        <v>Пригоден</v>
      </c>
      <c r="K2" s="10" t="str">
        <f aca="false">IFERROR(__xludf.dummyfunction("""COMPUTED_VALUE"""),"")</f>
        <v/>
      </c>
      <c r="L2" s="10" t="str">
        <f aca="false">IFERROR(__xludf.dummyfunction("""COMPUTED_VALUE"""),"Соловьев Р.Ю.")</f>
        <v>Соловьев Р.Ю.</v>
      </c>
      <c r="M2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2" s="10"/>
      <c r="O2" s="10"/>
      <c r="P2" s="10"/>
      <c r="Q2" s="10"/>
      <c r="R2" s="10"/>
      <c r="S2" s="10"/>
      <c r="T2" s="10" t="n">
        <f aca="false">IFERROR(__xludf.dummyfunction("""COMPUTED_VALUE"""),22)</f>
        <v>22</v>
      </c>
      <c r="U2" s="10" t="n">
        <f aca="false">IFERROR(__xludf.dummyfunction("""COMPUTED_VALUE"""),91)</f>
        <v>91</v>
      </c>
      <c r="V2" s="10" t="n">
        <f aca="false">IFERROR(__xludf.dummyfunction("""COMPUTED_VALUE"""),43)</f>
        <v>43</v>
      </c>
      <c r="W2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2" s="10" t="n">
        <f aca="false">IFERROR(__xludf.dummyfunction("""COMPUTED_VALUE"""),313741)</f>
        <v>313741</v>
      </c>
      <c r="Y2" s="10" t="str">
        <f aca="false">IFERROR(__xludf.dummyfunction("""COMPUTED_VALUE"""),"poverka@udmucs.ru")</f>
        <v>poverka@udmucs.ru</v>
      </c>
      <c r="Z2" s="10" t="str">
        <f aca="false">IFERROR(__xludf.dummyfunction("""COMPUTED_VALUE"""),"19008-99")</f>
        <v>19008-99</v>
      </c>
      <c r="AA2" s="12" t="n">
        <f aca="false">IFERROR(__xludf.dummyfunction("""COMPUTED_VALUE"""),45082.7025165162)</f>
        <v>45082.7025165162</v>
      </c>
      <c r="AB2" s="13" t="n">
        <f aca="false">IFERROR(__xludf.dummyfunction("""COMPUTED_VALUE"""),46908)</f>
        <v>46908</v>
      </c>
      <c r="AC2" s="10" t="str">
        <f aca="false">IFERROR(__xludf.dummyfunction("""COMPUTED_VALUE"""),"РЛ-6 G6")</f>
        <v>РЛ-6 G6</v>
      </c>
      <c r="AD2" s="10" t="str">
        <f aca="false">IFERROR(__xludf.dummyfunction("""COMPUTED_VALUE"""),"Годен")</f>
        <v>Годен</v>
      </c>
      <c r="AE2" s="10" t="str">
        <f aca="false">IFERROR(__xludf.dummyfunction("""COMPUTED_VALUE"""),"Соловьев")</f>
        <v>Соловьев</v>
      </c>
      <c r="AF2" s="10" t="str">
        <f aca="false">IFERROR(__xludf.dummyfunction("""COMPUTED_VALUE"""),"Роман")</f>
        <v>Роман</v>
      </c>
      <c r="AG2" s="10" t="str">
        <f aca="false">IFERROR(__xludf.dummyfunction("""COMPUTED_VALUE"""),"Юрьевич ")</f>
        <v>Юрьевич </v>
      </c>
      <c r="AH2" s="4"/>
      <c r="AI2" s="4"/>
      <c r="AJ2" s="4"/>
      <c r="AK2" s="4"/>
    </row>
    <row r="3" customFormat="false" ht="15.75" hidden="false" customHeight="false" outlineLevel="0" collapsed="false">
      <c r="A3" s="10" t="str">
        <f aca="false">IFERROR(__xludf.dummyfunction("""COMPUTED_VALUE"""),"2023-ГАЗ-2")</f>
        <v>2023-ГАЗ-2</v>
      </c>
      <c r="B3" s="10" t="str">
        <f aca="false">IFERROR(__xludf.dummyfunction("""COMPUTED_VALUE"""),"18360-06")</f>
        <v>18360-06</v>
      </c>
      <c r="C3" s="10" t="str">
        <f aca="false">IFERROR(__xludf.dummyfunction("""COMPUTED_VALUE"""),"G2,5РЛ")</f>
        <v>G2,5РЛ</v>
      </c>
      <c r="D3" s="11" t="n">
        <f aca="false">IFERROR(__xludf.dummyfunction("""COMPUTED_VALUE"""),687586)</f>
        <v>687586</v>
      </c>
      <c r="E3" s="10" t="str">
        <f aca="false">IFERROR(__xludf.dummyfunction("""COMPUTED_VALUE"""),"Физ. лицо")</f>
        <v>Физ. лицо</v>
      </c>
      <c r="F3" s="12" t="n">
        <f aca="false">IFERROR(__xludf.dummyfunction("""COMPUTED_VALUE"""),45083.3561069791)</f>
        <v>45083.3561069791</v>
      </c>
      <c r="G3" s="13" t="n">
        <f aca="false">IFERROR(__xludf.dummyfunction("""COMPUTED_VALUE"""),46909)</f>
        <v>46909</v>
      </c>
      <c r="H3" s="10" t="str">
        <f aca="false">IFERROR(__xludf.dummyfunction("""COMPUTED_VALUE"""),"562.М.Т2.784.000 Д1")</f>
        <v>562.М.Т2.784.000 Д1</v>
      </c>
      <c r="I3" s="10" t="str">
        <f aca="false">IFERROR(__xludf.dummyfunction("""COMPUTED_VALUE"""),"Периодическая")</f>
        <v>Периодическая</v>
      </c>
      <c r="J3" s="10" t="str">
        <f aca="false">IFERROR(__xludf.dummyfunction("""COMPUTED_VALUE"""),"Пригоден")</f>
        <v>Пригоден</v>
      </c>
      <c r="K3" s="10" t="str">
        <f aca="false">IFERROR(__xludf.dummyfunction("""COMPUTED_VALUE"""),"")</f>
        <v/>
      </c>
      <c r="L3" s="10" t="str">
        <f aca="false">IFERROR(__xludf.dummyfunction("""COMPUTED_VALUE"""),"Соловьев Р.Ю.")</f>
        <v>Соловьев Р.Ю.</v>
      </c>
      <c r="M3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3" s="10"/>
      <c r="O3" s="10"/>
      <c r="P3" s="10"/>
      <c r="Q3" s="10"/>
      <c r="R3" s="10"/>
      <c r="S3" s="10"/>
      <c r="T3" s="10" t="n">
        <f aca="false">IFERROR(__xludf.dummyfunction("""COMPUTED_VALUE"""),22)</f>
        <v>22</v>
      </c>
      <c r="U3" s="10" t="n">
        <f aca="false">IFERROR(__xludf.dummyfunction("""COMPUTED_VALUE"""),89)</f>
        <v>89</v>
      </c>
      <c r="V3" s="10" t="n">
        <f aca="false">IFERROR(__xludf.dummyfunction("""COMPUTED_VALUE"""),46)</f>
        <v>46</v>
      </c>
      <c r="W3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3" s="10" t="n">
        <f aca="false">IFERROR(__xludf.dummyfunction("""COMPUTED_VALUE"""),313741)</f>
        <v>313741</v>
      </c>
      <c r="Y3" s="10" t="str">
        <f aca="false">IFERROR(__xludf.dummyfunction("""COMPUTED_VALUE"""),"poverka@udmucs.ru")</f>
        <v>poverka@udmucs.ru</v>
      </c>
      <c r="Z3" s="10" t="str">
        <f aca="false">IFERROR(__xludf.dummyfunction("""COMPUTED_VALUE"""),"18360-06")</f>
        <v>18360-06</v>
      </c>
      <c r="AA3" s="12" t="n">
        <f aca="false">IFERROR(__xludf.dummyfunction("""COMPUTED_VALUE"""),45083.3561069791)</f>
        <v>45083.3561069791</v>
      </c>
      <c r="AB3" s="13" t="n">
        <f aca="false">IFERROR(__xludf.dummyfunction("""COMPUTED_VALUE"""),46909)</f>
        <v>46909</v>
      </c>
      <c r="AC3" s="10" t="str">
        <f aca="false">IFERROR(__xludf.dummyfunction("""COMPUTED_VALUE"""),"G2,5РЛ")</f>
        <v>G2,5РЛ</v>
      </c>
      <c r="AD3" s="10" t="str">
        <f aca="false">IFERROR(__xludf.dummyfunction("""COMPUTED_VALUE"""),"Годен")</f>
        <v>Годен</v>
      </c>
      <c r="AE3" s="10" t="str">
        <f aca="false">IFERROR(__xludf.dummyfunction("""COMPUTED_VALUE"""),"Соловьев")</f>
        <v>Соловьев</v>
      </c>
      <c r="AF3" s="10" t="str">
        <f aca="false">IFERROR(__xludf.dummyfunction("""COMPUTED_VALUE"""),"Роман")</f>
        <v>Роман</v>
      </c>
      <c r="AG3" s="10" t="str">
        <f aca="false">IFERROR(__xludf.dummyfunction("""COMPUTED_VALUE"""),"Юрьевич ")</f>
        <v>Юрьевич </v>
      </c>
      <c r="AH3" s="4"/>
      <c r="AI3" s="4"/>
      <c r="AJ3" s="4"/>
      <c r="AK3" s="4"/>
    </row>
    <row r="4" customFormat="false" ht="15.75" hidden="false" customHeight="false" outlineLevel="0" collapsed="false">
      <c r="A4" s="10" t="str">
        <f aca="false">IFERROR(__xludf.dummyfunction("""COMPUTED_VALUE"""),"2023-ГАЗ-3")</f>
        <v>2023-ГАЗ-3</v>
      </c>
      <c r="B4" s="10" t="str">
        <f aca="false">IFERROR(__xludf.dummyfunction("""COMPUTED_VALUE"""),"16996-06")</f>
        <v>16996-06</v>
      </c>
      <c r="C4" s="10" t="str">
        <f aca="false">IFERROR(__xludf.dummyfunction("""COMPUTED_VALUE"""),"G6РЛ")</f>
        <v>G6РЛ</v>
      </c>
      <c r="D4" s="11" t="n">
        <f aca="false">IFERROR(__xludf.dummyfunction("""COMPUTED_VALUE"""),539241)</f>
        <v>539241</v>
      </c>
      <c r="E4" s="10" t="str">
        <f aca="false">IFERROR(__xludf.dummyfunction("""COMPUTED_VALUE"""),"Физ. лицо")</f>
        <v>Физ. лицо</v>
      </c>
      <c r="F4" s="12" t="n">
        <f aca="false">IFERROR(__xludf.dummyfunction("""COMPUTED_VALUE"""),45083.3659425)</f>
        <v>45083.3659425</v>
      </c>
      <c r="G4" s="10" t="str">
        <f aca="false">IFERROR(__xludf.dummyfunction("""COMPUTED_VALUE"""),"-")</f>
        <v>-</v>
      </c>
      <c r="H4" s="14" t="str">
        <f aca="false">IFERROR(__xludf.dummyfunction("""COMPUTED_VALUE"""),"562.М.Т2.784.000 Д1")</f>
        <v>562.М.Т2.784.000 Д1</v>
      </c>
      <c r="I4" s="10" t="str">
        <f aca="false">IFERROR(__xludf.dummyfunction("""COMPUTED_VALUE"""),"Периодическая")</f>
        <v>Периодическая</v>
      </c>
      <c r="J4" s="10" t="str">
        <f aca="false">IFERROR(__xludf.dummyfunction("""COMPUTED_VALUE"""),"Не пригоден")</f>
        <v>Не пригоден</v>
      </c>
      <c r="K4" s="10" t="str">
        <f aca="false">IFERROR(__xludf.dummyfunction("""COMPUTED_VALUE"""),"Относительная погрешность счетчика не соответствует метрологическим требованиям,  установленным в описании типа СИ")</f>
        <v>Относительная погрешность счетчика не соответствует метрологическим требованиям,  установленным в описании типа СИ</v>
      </c>
      <c r="L4" s="10" t="str">
        <f aca="false">IFERROR(__xludf.dummyfunction("""COMPUTED_VALUE"""),"Соловьев Р.Ю.")</f>
        <v>Соловьев Р.Ю.</v>
      </c>
      <c r="M4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4" s="10"/>
      <c r="O4" s="10"/>
      <c r="P4" s="10"/>
      <c r="Q4" s="10"/>
      <c r="R4" s="10"/>
      <c r="S4" s="10"/>
      <c r="T4" s="10" t="n">
        <f aca="false">IFERROR(__xludf.dummyfunction("""COMPUTED_VALUE"""),22)</f>
        <v>22</v>
      </c>
      <c r="U4" s="10" t="n">
        <f aca="false">IFERROR(__xludf.dummyfunction("""COMPUTED_VALUE"""),91)</f>
        <v>91</v>
      </c>
      <c r="V4" s="10" t="n">
        <f aca="false">IFERROR(__xludf.dummyfunction("""COMPUTED_VALUE"""),46)</f>
        <v>46</v>
      </c>
      <c r="W4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4" s="10" t="n">
        <f aca="false">IFERROR(__xludf.dummyfunction("""COMPUTED_VALUE"""),313741)</f>
        <v>313741</v>
      </c>
      <c r="Y4" s="10" t="str">
        <f aca="false">IFERROR(__xludf.dummyfunction("""COMPUTED_VALUE"""),"poverka@udmucs.ru")</f>
        <v>poverka@udmucs.ru</v>
      </c>
      <c r="Z4" s="10" t="str">
        <f aca="false">IFERROR(__xludf.dummyfunction("""COMPUTED_VALUE"""),"16996-06")</f>
        <v>16996-06</v>
      </c>
      <c r="AA4" s="12" t="n">
        <f aca="false">IFERROR(__xludf.dummyfunction("""COMPUTED_VALUE"""),45083.3659425)</f>
        <v>45083.3659425</v>
      </c>
      <c r="AB4" s="10" t="str">
        <f aca="false">IFERROR(__xludf.dummyfunction("""COMPUTED_VALUE"""),"-")</f>
        <v>-</v>
      </c>
      <c r="AC4" s="10" t="str">
        <f aca="false">IFERROR(__xludf.dummyfunction("""COMPUTED_VALUE"""),"G6РЛ")</f>
        <v>G6РЛ</v>
      </c>
      <c r="AD4" s="10" t="str">
        <f aca="false">IFERROR(__xludf.dummyfunction("""COMPUTED_VALUE"""),"Не годен")</f>
        <v>Не годен</v>
      </c>
      <c r="AE4" s="10" t="str">
        <f aca="false">IFERROR(__xludf.dummyfunction("""COMPUTED_VALUE"""),"Соловьев")</f>
        <v>Соловьев</v>
      </c>
      <c r="AF4" s="10" t="str">
        <f aca="false">IFERROR(__xludf.dummyfunction("""COMPUTED_VALUE"""),"Роман")</f>
        <v>Роман</v>
      </c>
      <c r="AG4" s="10" t="str">
        <f aca="false">IFERROR(__xludf.dummyfunction("""COMPUTED_VALUE"""),"Юрьевич ")</f>
        <v>Юрьевич </v>
      </c>
      <c r="AH4" s="4"/>
      <c r="AI4" s="4"/>
      <c r="AJ4" s="4"/>
      <c r="AK4" s="4"/>
    </row>
    <row r="5" customFormat="false" ht="15.75" hidden="false" customHeight="false" outlineLevel="0" collapsed="false">
      <c r="A5" s="10" t="str">
        <f aca="false">IFERROR(__xludf.dummyfunction("""COMPUTED_VALUE"""),"2023-ГАЗ-4")</f>
        <v>2023-ГАЗ-4</v>
      </c>
      <c r="B5" s="10" t="str">
        <f aca="false">IFERROR(__xludf.dummyfunction("""COMPUTED_VALUE"""),"16996-06")</f>
        <v>16996-06</v>
      </c>
      <c r="C5" s="10" t="str">
        <f aca="false">IFERROR(__xludf.dummyfunction("""COMPUTED_VALUE"""),"G4РЛ")</f>
        <v>G4РЛ</v>
      </c>
      <c r="D5" s="11" t="n">
        <f aca="false">IFERROR(__xludf.dummyfunction("""COMPUTED_VALUE"""),537491)</f>
        <v>537491</v>
      </c>
      <c r="E5" s="10" t="str">
        <f aca="false">IFERROR(__xludf.dummyfunction("""COMPUTED_VALUE"""),"Физ. лицо")</f>
        <v>Физ. лицо</v>
      </c>
      <c r="F5" s="12" t="n">
        <f aca="false">IFERROR(__xludf.dummyfunction("""COMPUTED_VALUE"""),45083.3786392245)</f>
        <v>45083.3786392245</v>
      </c>
      <c r="G5" s="10" t="str">
        <f aca="false">IFERROR(__xludf.dummyfunction("""COMPUTED_VALUE"""),"-")</f>
        <v>-</v>
      </c>
      <c r="H5" s="14" t="str">
        <f aca="false">IFERROR(__xludf.dummyfunction("""COMPUTED_VALUE"""),"562.М.Т2.784.000 Д1")</f>
        <v>562.М.Т2.784.000 Д1</v>
      </c>
      <c r="I5" s="10" t="str">
        <f aca="false">IFERROR(__xludf.dummyfunction("""COMPUTED_VALUE"""),"Периодическая")</f>
        <v>Периодическая</v>
      </c>
      <c r="J5" s="10" t="str">
        <f aca="false">IFERROR(__xludf.dummyfunction("""COMPUTED_VALUE"""),"Не пригоден")</f>
        <v>Не пригоден</v>
      </c>
      <c r="K5" s="10" t="str">
        <f aca="false">IFERROR(__xludf.dummyfunction("""COMPUTED_VALUE"""),"Относительная погрешность счетчика не соответствует метрологическим требованиям,  установленным в описании типа СИ")</f>
        <v>Относительная погрешность счетчика не соответствует метрологическим требованиям,  установленным в описании типа СИ</v>
      </c>
      <c r="L5" s="10" t="str">
        <f aca="false">IFERROR(__xludf.dummyfunction("""COMPUTED_VALUE"""),"Соловьев Р.Ю.")</f>
        <v>Соловьев Р.Ю.</v>
      </c>
      <c r="M5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5" s="10"/>
      <c r="O5" s="10"/>
      <c r="P5" s="10"/>
      <c r="Q5" s="10"/>
      <c r="R5" s="10"/>
      <c r="S5" s="10"/>
      <c r="T5" s="10" t="n">
        <f aca="false">IFERROR(__xludf.dummyfunction("""COMPUTED_VALUE"""),22)</f>
        <v>22</v>
      </c>
      <c r="U5" s="10" t="n">
        <f aca="false">IFERROR(__xludf.dummyfunction("""COMPUTED_VALUE"""),93)</f>
        <v>93</v>
      </c>
      <c r="V5" s="10" t="n">
        <f aca="false">IFERROR(__xludf.dummyfunction("""COMPUTED_VALUE"""),43)</f>
        <v>43</v>
      </c>
      <c r="W5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5" s="10" t="n">
        <f aca="false">IFERROR(__xludf.dummyfunction("""COMPUTED_VALUE"""),313741)</f>
        <v>313741</v>
      </c>
      <c r="Y5" s="10" t="str">
        <f aca="false">IFERROR(__xludf.dummyfunction("""COMPUTED_VALUE"""),"poverka@udmucs.ru")</f>
        <v>poverka@udmucs.ru</v>
      </c>
      <c r="Z5" s="10" t="str">
        <f aca="false">IFERROR(__xludf.dummyfunction("""COMPUTED_VALUE"""),"16996-06")</f>
        <v>16996-06</v>
      </c>
      <c r="AA5" s="12" t="n">
        <f aca="false">IFERROR(__xludf.dummyfunction("""COMPUTED_VALUE"""),45083.3786392245)</f>
        <v>45083.3786392245</v>
      </c>
      <c r="AB5" s="10" t="str">
        <f aca="false">IFERROR(__xludf.dummyfunction("""COMPUTED_VALUE"""),"-")</f>
        <v>-</v>
      </c>
      <c r="AC5" s="10" t="str">
        <f aca="false">IFERROR(__xludf.dummyfunction("""COMPUTED_VALUE"""),"G4РЛ")</f>
        <v>G4РЛ</v>
      </c>
      <c r="AD5" s="10" t="str">
        <f aca="false">IFERROR(__xludf.dummyfunction("""COMPUTED_VALUE"""),"Не годен")</f>
        <v>Не годен</v>
      </c>
      <c r="AE5" s="10" t="str">
        <f aca="false">IFERROR(__xludf.dummyfunction("""COMPUTED_VALUE"""),"Соловьев")</f>
        <v>Соловьев</v>
      </c>
      <c r="AF5" s="10" t="str">
        <f aca="false">IFERROR(__xludf.dummyfunction("""COMPUTED_VALUE"""),"Роман")</f>
        <v>Роман</v>
      </c>
      <c r="AG5" s="10" t="str">
        <f aca="false">IFERROR(__xludf.dummyfunction("""COMPUTED_VALUE"""),"Юрьевич ")</f>
        <v>Юрьевич </v>
      </c>
      <c r="AH5" s="4"/>
      <c r="AI5" s="4"/>
      <c r="AJ5" s="4"/>
      <c r="AK5" s="4"/>
    </row>
    <row r="6" customFormat="false" ht="15.75" hidden="false" customHeight="false" outlineLevel="0" collapsed="false">
      <c r="A6" s="10" t="str">
        <f aca="false">IFERROR(__xludf.dummyfunction("""COMPUTED_VALUE"""),"2023-ГАЗ-5")</f>
        <v>2023-ГАЗ-5</v>
      </c>
      <c r="B6" s="10" t="str">
        <f aca="false">IFERROR(__xludf.dummyfunction("""COMPUTED_VALUE"""),"36707-08")</f>
        <v>36707-08</v>
      </c>
      <c r="C6" s="10" t="str">
        <f aca="false">IFERROR(__xludf.dummyfunction("""COMPUTED_VALUE"""),"Вк-G10T")</f>
        <v>Вк-G10T</v>
      </c>
      <c r="D6" s="11" t="n">
        <f aca="false">IFERROR(__xludf.dummyfunction("""COMPUTED_VALUE"""),30395379)</f>
        <v>30395379</v>
      </c>
      <c r="E6" s="10" t="str">
        <f aca="false">IFERROR(__xludf.dummyfunction("""COMPUTED_VALUE"""),"ИСН ""Парма""")</f>
        <v>ИСН "Парма"</v>
      </c>
      <c r="F6" s="12" t="n">
        <f aca="false">IFERROR(__xludf.dummyfunction("""COMPUTED_VALUE"""),45083.4369840162)</f>
        <v>45083.4369840162</v>
      </c>
      <c r="G6" s="13" t="n">
        <f aca="false">IFERROR(__xludf.dummyfunction("""COMPUTED_VALUE"""),48735)</f>
        <v>48735</v>
      </c>
      <c r="H6" s="10" t="str">
        <f aca="false">IFERROR(__xludf.dummyfunction("""COMPUTED_VALUE"""),"ГОСТ 8.324-2002 ""ГСИ. Счетчики газа. Методика поверки""")</f>
        <v>ГОСТ 8.324-2002 "ГСИ. Счетчики газа. Методика поверки"</v>
      </c>
      <c r="I6" s="10" t="str">
        <f aca="false">IFERROR(__xludf.dummyfunction("""COMPUTED_VALUE"""),"Периодическая")</f>
        <v>Периодическая</v>
      </c>
      <c r="J6" s="10" t="str">
        <f aca="false">IFERROR(__xludf.dummyfunction("""COMPUTED_VALUE"""),"Пригоден")</f>
        <v>Пригоден</v>
      </c>
      <c r="K6" s="10" t="str">
        <f aca="false">IFERROR(__xludf.dummyfunction("""COMPUTED_VALUE"""),"")</f>
        <v/>
      </c>
      <c r="L6" s="10" t="str">
        <f aca="false">IFERROR(__xludf.dummyfunction("""COMPUTED_VALUE"""),"Соловьев Р.Ю.")</f>
        <v>Соловьев Р.Ю.</v>
      </c>
      <c r="M6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6" s="10"/>
      <c r="O6" s="10"/>
      <c r="P6" s="10"/>
      <c r="Q6" s="10"/>
      <c r="R6" s="10"/>
      <c r="S6" s="10"/>
      <c r="T6" s="10" t="n">
        <f aca="false">IFERROR(__xludf.dummyfunction("""COMPUTED_VALUE"""),22)</f>
        <v>22</v>
      </c>
      <c r="U6" s="10" t="n">
        <f aca="false">IFERROR(__xludf.dummyfunction("""COMPUTED_VALUE"""),92)</f>
        <v>92</v>
      </c>
      <c r="V6" s="10" t="n">
        <f aca="false">IFERROR(__xludf.dummyfunction("""COMPUTED_VALUE"""),39)</f>
        <v>39</v>
      </c>
      <c r="W6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6" s="10" t="n">
        <f aca="false">IFERROR(__xludf.dummyfunction("""COMPUTED_VALUE"""),313741)</f>
        <v>313741</v>
      </c>
      <c r="Y6" s="10" t="str">
        <f aca="false">IFERROR(__xludf.dummyfunction("""COMPUTED_VALUE"""),"poverka@udmucs.ru")</f>
        <v>poverka@udmucs.ru</v>
      </c>
      <c r="Z6" s="10" t="str">
        <f aca="false">IFERROR(__xludf.dummyfunction("""COMPUTED_VALUE"""),"36707-08")</f>
        <v>36707-08</v>
      </c>
      <c r="AA6" s="12" t="n">
        <f aca="false">IFERROR(__xludf.dummyfunction("""COMPUTED_VALUE"""),45083.4369840162)</f>
        <v>45083.4369840162</v>
      </c>
      <c r="AB6" s="13" t="n">
        <f aca="false">IFERROR(__xludf.dummyfunction("""COMPUTED_VALUE"""),48735)</f>
        <v>48735</v>
      </c>
      <c r="AC6" s="10" t="str">
        <f aca="false">IFERROR(__xludf.dummyfunction("""COMPUTED_VALUE"""),"Вк-G10T")</f>
        <v>Вк-G10T</v>
      </c>
      <c r="AD6" s="10" t="str">
        <f aca="false">IFERROR(__xludf.dummyfunction("""COMPUTED_VALUE"""),"Годен")</f>
        <v>Годен</v>
      </c>
      <c r="AE6" s="10" t="str">
        <f aca="false">IFERROR(__xludf.dummyfunction("""COMPUTED_VALUE"""),"Соловьев")</f>
        <v>Соловьев</v>
      </c>
      <c r="AF6" s="10" t="str">
        <f aca="false">IFERROR(__xludf.dummyfunction("""COMPUTED_VALUE"""),"Роман")</f>
        <v>Роман</v>
      </c>
      <c r="AG6" s="10" t="str">
        <f aca="false">IFERROR(__xludf.dummyfunction("""COMPUTED_VALUE"""),"Юрьевич ")</f>
        <v>Юрьевич </v>
      </c>
      <c r="AH6" s="4"/>
      <c r="AI6" s="4"/>
      <c r="AJ6" s="4"/>
      <c r="AK6" s="4"/>
    </row>
    <row r="7" customFormat="false" ht="15.75" hidden="false" customHeight="false" outlineLevel="0" collapsed="false">
      <c r="A7" s="10" t="str">
        <f aca="false">IFERROR(__xludf.dummyfunction("""COMPUTED_VALUE"""),"2023-ГАЗ-6")</f>
        <v>2023-ГАЗ-6</v>
      </c>
      <c r="B7" s="10" t="str">
        <f aca="false">IFERROR(__xludf.dummyfunction("""COMPUTED_VALUE"""),"12751-91")</f>
        <v>12751-91</v>
      </c>
      <c r="C7" s="10" t="str">
        <f aca="false">IFERROR(__xludf.dummyfunction("""COMPUTED_VALUE"""),"Technogaz-AMC, AC-250, G6")</f>
        <v>Technogaz-AMC, AC-250, G6</v>
      </c>
      <c r="D7" s="11" t="n">
        <f aca="false">IFERROR(__xludf.dummyfunction("""COMPUTED_VALUE"""),920031465)</f>
        <v>920031465</v>
      </c>
      <c r="E7" s="10" t="str">
        <f aca="false">IFERROR(__xludf.dummyfunction("""COMPUTED_VALUE"""),"Физ. лицо")</f>
        <v>Физ. лицо</v>
      </c>
      <c r="F7" s="12" t="n">
        <f aca="false">IFERROR(__xludf.dummyfunction("""COMPUTED_VALUE"""),45086.4357319097)</f>
        <v>45086.4357319097</v>
      </c>
      <c r="G7" s="13" t="n">
        <f aca="false">IFERROR(__xludf.dummyfunction("""COMPUTED_VALUE"""),46181)</f>
        <v>46181</v>
      </c>
      <c r="H7" s="10" t="str">
        <f aca="false">IFERROR(__xludf.dummyfunction("""COMPUTED_VALUE"""),"МП 12751-91")</f>
        <v>МП 12751-91</v>
      </c>
      <c r="I7" s="10" t="str">
        <f aca="false">IFERROR(__xludf.dummyfunction("""COMPUTED_VALUE"""),"Периодическая")</f>
        <v>Периодическая</v>
      </c>
      <c r="J7" s="10" t="str">
        <f aca="false">IFERROR(__xludf.dummyfunction("""COMPUTED_VALUE"""),"Пригоден")</f>
        <v>Пригоден</v>
      </c>
      <c r="K7" s="10" t="str">
        <f aca="false">IFERROR(__xludf.dummyfunction("""COMPUTED_VALUE"""),"")</f>
        <v/>
      </c>
      <c r="L7" s="10" t="str">
        <f aca="false">IFERROR(__xludf.dummyfunction("""COMPUTED_VALUE"""),"Соловьев Р.Ю.")</f>
        <v>Соловьев Р.Ю.</v>
      </c>
      <c r="M7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7" s="10"/>
      <c r="O7" s="10"/>
      <c r="P7" s="10"/>
      <c r="Q7" s="10"/>
      <c r="R7" s="10"/>
      <c r="S7" s="10"/>
      <c r="T7" s="10" t="n">
        <f aca="false">IFERROR(__xludf.dummyfunction("""COMPUTED_VALUE"""),22)</f>
        <v>22</v>
      </c>
      <c r="U7" s="10" t="n">
        <f aca="false">IFERROR(__xludf.dummyfunction("""COMPUTED_VALUE"""),92)</f>
        <v>92</v>
      </c>
      <c r="V7" s="10" t="n">
        <f aca="false">IFERROR(__xludf.dummyfunction("""COMPUTED_VALUE"""),44)</f>
        <v>44</v>
      </c>
      <c r="W7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7" s="10" t="n">
        <f aca="false">IFERROR(__xludf.dummyfunction("""COMPUTED_VALUE"""),313741)</f>
        <v>313741</v>
      </c>
      <c r="Y7" s="10" t="str">
        <f aca="false">IFERROR(__xludf.dummyfunction("""COMPUTED_VALUE"""),"poverka@udmucs.ru")</f>
        <v>poverka@udmucs.ru</v>
      </c>
      <c r="Z7" s="10" t="str">
        <f aca="false">IFERROR(__xludf.dummyfunction("""COMPUTED_VALUE"""),"12751-91")</f>
        <v>12751-91</v>
      </c>
      <c r="AA7" s="12" t="n">
        <f aca="false">IFERROR(__xludf.dummyfunction("""COMPUTED_VALUE"""),45086.4357319097)</f>
        <v>45086.4357319097</v>
      </c>
      <c r="AB7" s="13" t="n">
        <f aca="false">IFERROR(__xludf.dummyfunction("""COMPUTED_VALUE"""),46181)</f>
        <v>46181</v>
      </c>
      <c r="AC7" s="10" t="str">
        <f aca="false">IFERROR(__xludf.dummyfunction("""COMPUTED_VALUE"""),"Technogaz-AMC, AC-250, G6")</f>
        <v>Technogaz-AMC, AC-250, G6</v>
      </c>
      <c r="AD7" s="10" t="str">
        <f aca="false">IFERROR(__xludf.dummyfunction("""COMPUTED_VALUE"""),"Годен")</f>
        <v>Годен</v>
      </c>
      <c r="AE7" s="10" t="str">
        <f aca="false">IFERROR(__xludf.dummyfunction("""COMPUTED_VALUE"""),"Соловьев")</f>
        <v>Соловьев</v>
      </c>
      <c r="AF7" s="10" t="str">
        <f aca="false">IFERROR(__xludf.dummyfunction("""COMPUTED_VALUE"""),"Роман")</f>
        <v>Роман</v>
      </c>
      <c r="AG7" s="10" t="str">
        <f aca="false">IFERROR(__xludf.dummyfunction("""COMPUTED_VALUE"""),"Юрьевич ")</f>
        <v>Юрьевич </v>
      </c>
      <c r="AH7" s="4"/>
      <c r="AI7" s="4"/>
      <c r="AJ7" s="4"/>
      <c r="AK7" s="4"/>
    </row>
    <row r="8" customFormat="false" ht="15.75" hidden="false" customHeight="false" outlineLevel="0" collapsed="false">
      <c r="A8" s="10" t="str">
        <f aca="false">IFERROR(__xludf.dummyfunction("""COMPUTED_VALUE"""),"2023-ГАЗ-7")</f>
        <v>2023-ГАЗ-7</v>
      </c>
      <c r="B8" s="10" t="str">
        <f aca="false">IFERROR(__xludf.dummyfunction("""COMPUTED_VALUE"""),"20272-00")</f>
        <v>20272-00</v>
      </c>
      <c r="C8" s="10" t="str">
        <f aca="false">IFERROR(__xludf.dummyfunction("""COMPUTED_VALUE"""),"Вк-G4")</f>
        <v>Вк-G4</v>
      </c>
      <c r="D8" s="11" t="str">
        <f aca="false">IFERROR(__xludf.dummyfunction("""COMPUTED_VALUE"""),"03336152")</f>
        <v>03336152</v>
      </c>
      <c r="E8" s="10" t="str">
        <f aca="false">IFERROR(__xludf.dummyfunction("""COMPUTED_VALUE"""),"Физ. лицо")</f>
        <v>Физ. лицо</v>
      </c>
      <c r="F8" s="12" t="n">
        <f aca="false">IFERROR(__xludf.dummyfunction("""COMPUTED_VALUE"""),45086.4808149189)</f>
        <v>45086.4808149189</v>
      </c>
      <c r="G8" s="13" t="n">
        <f aca="false">IFERROR(__xludf.dummyfunction("""COMPUTED_VALUE"""),48738)</f>
        <v>48738</v>
      </c>
      <c r="H8" s="10" t="str">
        <f aca="false">IFERROR(__xludf.dummyfunction("""COMPUTED_VALUE"""),"ГОСТ 8.324-2002")</f>
        <v>ГОСТ 8.324-2002</v>
      </c>
      <c r="I8" s="10" t="str">
        <f aca="false">IFERROR(__xludf.dummyfunction("""COMPUTED_VALUE"""),"Периодическая")</f>
        <v>Периодическая</v>
      </c>
      <c r="J8" s="10" t="str">
        <f aca="false">IFERROR(__xludf.dummyfunction("""COMPUTED_VALUE"""),"Пригоден")</f>
        <v>Пригоден</v>
      </c>
      <c r="K8" s="10" t="str">
        <f aca="false">IFERROR(__xludf.dummyfunction("""COMPUTED_VALUE"""),"")</f>
        <v/>
      </c>
      <c r="L8" s="10" t="str">
        <f aca="false">IFERROR(__xludf.dummyfunction("""COMPUTED_VALUE"""),"Соловьев Р.Ю.")</f>
        <v>Соловьев Р.Ю.</v>
      </c>
      <c r="M8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8" s="10"/>
      <c r="O8" s="10"/>
      <c r="P8" s="10"/>
      <c r="Q8" s="10"/>
      <c r="R8" s="10"/>
      <c r="S8" s="10"/>
      <c r="T8" s="10"/>
      <c r="U8" s="10" t="n">
        <f aca="false">IFERROR(__xludf.dummyfunction("""COMPUTED_VALUE"""),88)</f>
        <v>88</v>
      </c>
      <c r="V8" s="10" t="n">
        <f aca="false">IFERROR(__xludf.dummyfunction("""COMPUTED_VALUE"""),39)</f>
        <v>39</v>
      </c>
      <c r="W8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8" s="10" t="n">
        <f aca="false">IFERROR(__xludf.dummyfunction("""COMPUTED_VALUE"""),313741)</f>
        <v>313741</v>
      </c>
      <c r="Y8" s="10" t="str">
        <f aca="false">IFERROR(__xludf.dummyfunction("""COMPUTED_VALUE"""),"poverka@udmucs.ru")</f>
        <v>poverka@udmucs.ru</v>
      </c>
      <c r="Z8" s="10" t="str">
        <f aca="false">IFERROR(__xludf.dummyfunction("""COMPUTED_VALUE"""),"20272-00")</f>
        <v>20272-00</v>
      </c>
      <c r="AA8" s="12" t="n">
        <f aca="false">IFERROR(__xludf.dummyfunction("""COMPUTED_VALUE"""),45086.4808149189)</f>
        <v>45086.4808149189</v>
      </c>
      <c r="AB8" s="13" t="n">
        <f aca="false">IFERROR(__xludf.dummyfunction("""COMPUTED_VALUE"""),48738)</f>
        <v>48738</v>
      </c>
      <c r="AC8" s="10" t="str">
        <f aca="false">IFERROR(__xludf.dummyfunction("""COMPUTED_VALUE"""),"Вк-G4")</f>
        <v>Вк-G4</v>
      </c>
      <c r="AD8" s="10" t="str">
        <f aca="false">IFERROR(__xludf.dummyfunction("""COMPUTED_VALUE"""),"Годен")</f>
        <v>Годен</v>
      </c>
      <c r="AE8" s="10" t="str">
        <f aca="false">IFERROR(__xludf.dummyfunction("""COMPUTED_VALUE"""),"Соловьев")</f>
        <v>Соловьев</v>
      </c>
      <c r="AF8" s="10" t="str">
        <f aca="false">IFERROR(__xludf.dummyfunction("""COMPUTED_VALUE"""),"Роман")</f>
        <v>Роман</v>
      </c>
      <c r="AG8" s="10" t="str">
        <f aca="false">IFERROR(__xludf.dummyfunction("""COMPUTED_VALUE"""),"Юрьевич ")</f>
        <v>Юрьевич </v>
      </c>
      <c r="AH8" s="4"/>
      <c r="AI8" s="4"/>
      <c r="AJ8" s="4"/>
      <c r="AK8" s="4"/>
    </row>
    <row r="9" customFormat="false" ht="15.75" hidden="false" customHeight="false" outlineLevel="0" collapsed="false">
      <c r="A9" s="10" t="str">
        <f aca="false">IFERROR(__xludf.dummyfunction("""COMPUTED_VALUE"""),"2023-ГАЗ-8")</f>
        <v>2023-ГАЗ-8</v>
      </c>
      <c r="B9" s="10" t="str">
        <f aca="false">IFERROR(__xludf.dummyfunction("""COMPUTED_VALUE"""),"16996-06")</f>
        <v>16996-06</v>
      </c>
      <c r="C9" s="10" t="str">
        <f aca="false">IFERROR(__xludf.dummyfunction("""COMPUTED_VALUE"""),"G4РЛ")</f>
        <v>G4РЛ</v>
      </c>
      <c r="D9" s="11" t="n">
        <f aca="false">IFERROR(__xludf.dummyfunction("""COMPUTED_VALUE"""),474267)</f>
        <v>474267</v>
      </c>
      <c r="E9" s="10" t="str">
        <f aca="false">IFERROR(__xludf.dummyfunction("""COMPUTED_VALUE"""),"Физ. лицо")</f>
        <v>Физ. лицо</v>
      </c>
      <c r="F9" s="12" t="n">
        <f aca="false">IFERROR(__xludf.dummyfunction("""COMPUTED_VALUE"""),45086.5368042129)</f>
        <v>45086.5368042129</v>
      </c>
      <c r="G9" s="13" t="n">
        <f aca="false">IFERROR(__xludf.dummyfunction("""COMPUTED_VALUE"""),46912)</f>
        <v>46912</v>
      </c>
      <c r="H9" s="14" t="str">
        <f aca="false">IFERROR(__xludf.dummyfunction("""COMPUTED_VALUE"""),"562.М.Т2.784.000 Д1")</f>
        <v>562.М.Т2.784.000 Д1</v>
      </c>
      <c r="I9" s="10" t="str">
        <f aca="false">IFERROR(__xludf.dummyfunction("""COMPUTED_VALUE"""),"Периодическая")</f>
        <v>Периодическая</v>
      </c>
      <c r="J9" s="10" t="str">
        <f aca="false">IFERROR(__xludf.dummyfunction("""COMPUTED_VALUE"""),"Пригоден")</f>
        <v>Пригоден</v>
      </c>
      <c r="K9" s="10" t="str">
        <f aca="false">IFERROR(__xludf.dummyfunction("""COMPUTED_VALUE"""),"")</f>
        <v/>
      </c>
      <c r="L9" s="10" t="str">
        <f aca="false">IFERROR(__xludf.dummyfunction("""COMPUTED_VALUE"""),"Соловьев Р.Ю.")</f>
        <v>Соловьев Р.Ю.</v>
      </c>
      <c r="M9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9" s="10"/>
      <c r="O9" s="10"/>
      <c r="P9" s="10"/>
      <c r="Q9" s="10"/>
      <c r="R9" s="10"/>
      <c r="S9" s="10"/>
      <c r="T9" s="10"/>
      <c r="U9" s="10" t="n">
        <f aca="false">IFERROR(__xludf.dummyfunction("""COMPUTED_VALUE"""),88)</f>
        <v>88</v>
      </c>
      <c r="V9" s="10" t="n">
        <f aca="false">IFERROR(__xludf.dummyfunction("""COMPUTED_VALUE"""),41)</f>
        <v>41</v>
      </c>
      <c r="W9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9" s="10" t="n">
        <f aca="false">IFERROR(__xludf.dummyfunction("""COMPUTED_VALUE"""),313741)</f>
        <v>313741</v>
      </c>
      <c r="Y9" s="10" t="str">
        <f aca="false">IFERROR(__xludf.dummyfunction("""COMPUTED_VALUE"""),"poverka@udmucs.ru")</f>
        <v>poverka@udmucs.ru</v>
      </c>
      <c r="Z9" s="10" t="str">
        <f aca="false">IFERROR(__xludf.dummyfunction("""COMPUTED_VALUE"""),"16996-06")</f>
        <v>16996-06</v>
      </c>
      <c r="AA9" s="12" t="n">
        <f aca="false">IFERROR(__xludf.dummyfunction("""COMPUTED_VALUE"""),45086.5368042129)</f>
        <v>45086.5368042129</v>
      </c>
      <c r="AB9" s="13" t="n">
        <f aca="false">IFERROR(__xludf.dummyfunction("""COMPUTED_VALUE"""),46912)</f>
        <v>46912</v>
      </c>
      <c r="AC9" s="10" t="str">
        <f aca="false">IFERROR(__xludf.dummyfunction("""COMPUTED_VALUE"""),"G4РЛ")</f>
        <v>G4РЛ</v>
      </c>
      <c r="AD9" s="10" t="str">
        <f aca="false">IFERROR(__xludf.dummyfunction("""COMPUTED_VALUE"""),"Годен")</f>
        <v>Годен</v>
      </c>
      <c r="AE9" s="10" t="str">
        <f aca="false">IFERROR(__xludf.dummyfunction("""COMPUTED_VALUE"""),"Соловьев")</f>
        <v>Соловьев</v>
      </c>
      <c r="AF9" s="10" t="str">
        <f aca="false">IFERROR(__xludf.dummyfunction("""COMPUTED_VALUE"""),"Роман")</f>
        <v>Роман</v>
      </c>
      <c r="AG9" s="10" t="str">
        <f aca="false">IFERROR(__xludf.dummyfunction("""COMPUTED_VALUE"""),"Юрьевич ")</f>
        <v>Юрьевич </v>
      </c>
      <c r="AH9" s="4"/>
      <c r="AI9" s="4"/>
      <c r="AJ9" s="4"/>
      <c r="AK9" s="4"/>
    </row>
    <row r="10" customFormat="false" ht="15.75" hidden="false" customHeight="false" outlineLevel="0" collapsed="false">
      <c r="A10" s="10" t="str">
        <f aca="false">IFERROR(__xludf.dummyfunction("""COMPUTED_VALUE"""),"2023-ГАЗ-9")</f>
        <v>2023-ГАЗ-9</v>
      </c>
      <c r="B10" s="10" t="str">
        <f aca="false">IFERROR(__xludf.dummyfunction("""COMPUTED_VALUE"""),"12751-91")</f>
        <v>12751-91</v>
      </c>
      <c r="C10" s="10" t="str">
        <f aca="false">IFERROR(__xludf.dummyfunction("""COMPUTED_VALUE"""),"Ас-250, G6")</f>
        <v>Ас-250, G6</v>
      </c>
      <c r="D10" s="11" t="n">
        <f aca="false">IFERROR(__xludf.dummyfunction("""COMPUTED_VALUE"""),970002120)</f>
        <v>970002120</v>
      </c>
      <c r="E10" s="10" t="str">
        <f aca="false">IFERROR(__xludf.dummyfunction("""COMPUTED_VALUE"""),"Физ. лицо")</f>
        <v>Физ. лицо</v>
      </c>
      <c r="F10" s="12" t="n">
        <f aca="false">IFERROR(__xludf.dummyfunction("""COMPUTED_VALUE"""),45086.6040566319)</f>
        <v>45086.6040566319</v>
      </c>
      <c r="G10" s="13" t="n">
        <f aca="false">IFERROR(__xludf.dummyfunction("""COMPUTED_VALUE"""),47277)</f>
        <v>47277</v>
      </c>
      <c r="H10" s="10" t="str">
        <f aca="false">IFERROR(__xludf.dummyfunction("""COMPUTED_VALUE"""),"МП 12751-91")</f>
        <v>МП 12751-91</v>
      </c>
      <c r="I10" s="10" t="str">
        <f aca="false">IFERROR(__xludf.dummyfunction("""COMPUTED_VALUE"""),"Периодическая")</f>
        <v>Периодическая</v>
      </c>
      <c r="J10" s="10" t="str">
        <f aca="false">IFERROR(__xludf.dummyfunction("""COMPUTED_VALUE"""),"Пригоден")</f>
        <v>Пригоден</v>
      </c>
      <c r="K10" s="10" t="str">
        <f aca="false">IFERROR(__xludf.dummyfunction("""COMPUTED_VALUE"""),"")</f>
        <v/>
      </c>
      <c r="L10" s="10" t="str">
        <f aca="false">IFERROR(__xludf.dummyfunction("""COMPUTED_VALUE"""),"Соловьев Р.Ю.")</f>
        <v>Соловьев Р.Ю.</v>
      </c>
      <c r="M10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10" s="10"/>
      <c r="O10" s="10"/>
      <c r="P10" s="10"/>
      <c r="Q10" s="10"/>
      <c r="R10" s="10"/>
      <c r="S10" s="10"/>
      <c r="T10" s="10"/>
      <c r="U10" s="10" t="n">
        <f aca="false">IFERROR(__xludf.dummyfunction("""COMPUTED_VALUE"""),93)</f>
        <v>93</v>
      </c>
      <c r="V10" s="10" t="n">
        <f aca="false">IFERROR(__xludf.dummyfunction("""COMPUTED_VALUE"""),39)</f>
        <v>39</v>
      </c>
      <c r="W10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10" s="10" t="n">
        <f aca="false">IFERROR(__xludf.dummyfunction("""COMPUTED_VALUE"""),313741)</f>
        <v>313741</v>
      </c>
      <c r="Y10" s="10" t="str">
        <f aca="false">IFERROR(__xludf.dummyfunction("""COMPUTED_VALUE"""),"poverka@udmucs.ru")</f>
        <v>poverka@udmucs.ru</v>
      </c>
      <c r="Z10" s="10" t="str">
        <f aca="false">IFERROR(__xludf.dummyfunction("""COMPUTED_VALUE"""),"12751-91")</f>
        <v>12751-91</v>
      </c>
      <c r="AA10" s="12" t="n">
        <f aca="false">IFERROR(__xludf.dummyfunction("""COMPUTED_VALUE"""),45086.6040566319)</f>
        <v>45086.6040566319</v>
      </c>
      <c r="AB10" s="13" t="n">
        <f aca="false">IFERROR(__xludf.dummyfunction("""COMPUTED_VALUE"""),47277)</f>
        <v>47277</v>
      </c>
      <c r="AC10" s="10" t="str">
        <f aca="false">IFERROR(__xludf.dummyfunction("""COMPUTED_VALUE"""),"Ас-250, G6")</f>
        <v>Ас-250, G6</v>
      </c>
      <c r="AD10" s="10" t="str">
        <f aca="false">IFERROR(__xludf.dummyfunction("""COMPUTED_VALUE"""),"Годен")</f>
        <v>Годен</v>
      </c>
      <c r="AE10" s="10" t="str">
        <f aca="false">IFERROR(__xludf.dummyfunction("""COMPUTED_VALUE"""),"Соловьев")</f>
        <v>Соловьев</v>
      </c>
      <c r="AF10" s="10" t="str">
        <f aca="false">IFERROR(__xludf.dummyfunction("""COMPUTED_VALUE"""),"Роман")</f>
        <v>Роман</v>
      </c>
      <c r="AG10" s="10" t="str">
        <f aca="false">IFERROR(__xludf.dummyfunction("""COMPUTED_VALUE"""),"Юрьевич ")</f>
        <v>Юрьевич </v>
      </c>
      <c r="AH10" s="4"/>
      <c r="AI10" s="4"/>
      <c r="AJ10" s="4"/>
      <c r="AK10" s="4"/>
    </row>
    <row r="11" customFormat="false" ht="15.75" hidden="false" customHeight="false" outlineLevel="0" collapsed="false">
      <c r="A11" s="10" t="str">
        <f aca="false">IFERROR(__xludf.dummyfunction("""COMPUTED_VALUE"""),"2023-ГАЗ-10")</f>
        <v>2023-ГАЗ-10</v>
      </c>
      <c r="B11" s="10" t="str">
        <f aca="false">IFERROR(__xludf.dummyfunction("""COMPUTED_VALUE"""),"14080-06")</f>
        <v>14080-06</v>
      </c>
      <c r="C11" s="10" t="str">
        <f aca="false">IFERROR(__xludf.dummyfunction("""COMPUTED_VALUE"""),"ВК-G10")</f>
        <v>ВК-G10</v>
      </c>
      <c r="D11" s="11" t="n">
        <f aca="false">IFERROR(__xludf.dummyfunction("""COMPUTED_VALUE"""),23633023)</f>
        <v>23633023</v>
      </c>
      <c r="E11" s="10" t="str">
        <f aca="false">IFERROR(__xludf.dummyfunction("""COMPUTED_VALUE"""),"Физ. лицо")</f>
        <v>Физ. лицо</v>
      </c>
      <c r="F11" s="12" t="n">
        <f aca="false">IFERROR(__xludf.dummyfunction("""COMPUTED_VALUE"""),45086.6202696875)</f>
        <v>45086.6202696875</v>
      </c>
      <c r="G11" s="13" t="n">
        <f aca="false">IFERROR(__xludf.dummyfunction("""COMPUTED_VALUE"""),48738)</f>
        <v>48738</v>
      </c>
      <c r="H11" s="10" t="str">
        <f aca="false">IFERROR(__xludf.dummyfunction("""COMPUTED_VALUE"""),"ГОСТ 8.324-2002 «Счетчики газа. Методы и средства поверки»")</f>
        <v>ГОСТ 8.324-2002 «Счетчики газа. Методы и средства поверки»</v>
      </c>
      <c r="I11" s="10" t="str">
        <f aca="false">IFERROR(__xludf.dummyfunction("""COMPUTED_VALUE"""),"Периодическая")</f>
        <v>Периодическая</v>
      </c>
      <c r="J11" s="10" t="str">
        <f aca="false">IFERROR(__xludf.dummyfunction("""COMPUTED_VALUE"""),"Пригоден")</f>
        <v>Пригоден</v>
      </c>
      <c r="K11" s="10" t="str">
        <f aca="false">IFERROR(__xludf.dummyfunction("""COMPUTED_VALUE"""),"")</f>
        <v/>
      </c>
      <c r="L11" s="10" t="str">
        <f aca="false">IFERROR(__xludf.dummyfunction("""COMPUTED_VALUE"""),"Соловьев Р.Ю.")</f>
        <v>Соловьев Р.Ю.</v>
      </c>
      <c r="M11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11" s="10"/>
      <c r="O11" s="10"/>
      <c r="P11" s="10"/>
      <c r="Q11" s="10"/>
      <c r="R11" s="10"/>
      <c r="S11" s="10"/>
      <c r="T11" s="10"/>
      <c r="U11" s="10" t="n">
        <f aca="false">IFERROR(__xludf.dummyfunction("""COMPUTED_VALUE"""),93)</f>
        <v>93</v>
      </c>
      <c r="V11" s="10" t="n">
        <f aca="false">IFERROR(__xludf.dummyfunction("""COMPUTED_VALUE"""),47)</f>
        <v>47</v>
      </c>
      <c r="W11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11" s="10" t="n">
        <f aca="false">IFERROR(__xludf.dummyfunction("""COMPUTED_VALUE"""),313741)</f>
        <v>313741</v>
      </c>
      <c r="Y11" s="10" t="str">
        <f aca="false">IFERROR(__xludf.dummyfunction("""COMPUTED_VALUE"""),"poverka@udmucs.ru")</f>
        <v>poverka@udmucs.ru</v>
      </c>
      <c r="Z11" s="10" t="str">
        <f aca="false">IFERROR(__xludf.dummyfunction("""COMPUTED_VALUE"""),"14080-06")</f>
        <v>14080-06</v>
      </c>
      <c r="AA11" s="12" t="n">
        <f aca="false">IFERROR(__xludf.dummyfunction("""COMPUTED_VALUE"""),45086.6202696875)</f>
        <v>45086.6202696875</v>
      </c>
      <c r="AB11" s="13" t="n">
        <f aca="false">IFERROR(__xludf.dummyfunction("""COMPUTED_VALUE"""),48738)</f>
        <v>48738</v>
      </c>
      <c r="AC11" s="10" t="str">
        <f aca="false">IFERROR(__xludf.dummyfunction("""COMPUTED_VALUE"""),"ВК-G10")</f>
        <v>ВК-G10</v>
      </c>
      <c r="AD11" s="10" t="str">
        <f aca="false">IFERROR(__xludf.dummyfunction("""COMPUTED_VALUE"""),"Годен")</f>
        <v>Годен</v>
      </c>
      <c r="AE11" s="10" t="str">
        <f aca="false">IFERROR(__xludf.dummyfunction("""COMPUTED_VALUE"""),"Соловьев")</f>
        <v>Соловьев</v>
      </c>
      <c r="AF11" s="10" t="str">
        <f aca="false">IFERROR(__xludf.dummyfunction("""COMPUTED_VALUE"""),"Роман")</f>
        <v>Роман</v>
      </c>
      <c r="AG11" s="10" t="str">
        <f aca="false">IFERROR(__xludf.dummyfunction("""COMPUTED_VALUE"""),"Юрьевич ")</f>
        <v>Юрьевич </v>
      </c>
      <c r="AH11" s="4"/>
      <c r="AI11" s="4"/>
      <c r="AJ11" s="4"/>
      <c r="AK11" s="4"/>
    </row>
    <row r="12" customFormat="false" ht="15.75" hidden="false" customHeight="false" outlineLevel="0" collapsed="false">
      <c r="A12" s="10" t="str">
        <f aca="false">IFERROR(__xludf.dummyfunction("""COMPUTED_VALUE"""),"2023-ГАЗ-11")</f>
        <v>2023-ГАЗ-11</v>
      </c>
      <c r="B12" s="10" t="str">
        <f aca="false">IFERROR(__xludf.dummyfunction("""COMPUTED_VALUE"""),"51758-12")</f>
        <v>51758-12</v>
      </c>
      <c r="C12" s="10" t="str">
        <f aca="false">IFERROR(__xludf.dummyfunction("""COMPUTED_VALUE"""),"GSN-G1.6IS")</f>
        <v>GSN-G1.6IS</v>
      </c>
      <c r="D12" s="11" t="n">
        <f aca="false">IFERROR(__xludf.dummyfunction("""COMPUTED_VALUE"""),8013027052)</f>
        <v>8013027052</v>
      </c>
      <c r="E12" s="10" t="str">
        <f aca="false">IFERROR(__xludf.dummyfunction("""COMPUTED_VALUE"""),"Физ. лицо")</f>
        <v>Физ. лицо</v>
      </c>
      <c r="F12" s="12" t="n">
        <f aca="false">IFERROR(__xludf.dummyfunction("""COMPUTED_VALUE"""),45092.3897261342)</f>
        <v>45092.3897261342</v>
      </c>
      <c r="G12" s="13" t="n">
        <f aca="false">IFERROR(__xludf.dummyfunction("""COMPUTED_VALUE"""),48744)</f>
        <v>48744</v>
      </c>
      <c r="H12" s="14" t="str">
        <f aca="false">IFERROR(__xludf.dummyfunction("""COMPUTED_VALUE"""),"МП 51758-12")</f>
        <v>МП 51758-12</v>
      </c>
      <c r="I12" s="10" t="str">
        <f aca="false">IFERROR(__xludf.dummyfunction("""COMPUTED_VALUE"""),"Периодическая")</f>
        <v>Периодическая</v>
      </c>
      <c r="J12" s="10" t="str">
        <f aca="false">IFERROR(__xludf.dummyfunction("""COMPUTED_VALUE"""),"Пригоден")</f>
        <v>Пригоден</v>
      </c>
      <c r="K12" s="10" t="str">
        <f aca="false">IFERROR(__xludf.dummyfunction("""COMPUTED_VALUE"""),"")</f>
        <v/>
      </c>
      <c r="L12" s="10" t="str">
        <f aca="false">IFERROR(__xludf.dummyfunction("""COMPUTED_VALUE"""),"Соловьев Р.Ю.")</f>
        <v>Соловьев Р.Ю.</v>
      </c>
      <c r="M12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12" s="10"/>
      <c r="O12" s="10"/>
      <c r="P12" s="10"/>
      <c r="Q12" s="10"/>
      <c r="R12" s="10"/>
      <c r="S12" s="10"/>
      <c r="T12" s="10"/>
      <c r="U12" s="10" t="n">
        <f aca="false">IFERROR(__xludf.dummyfunction("""COMPUTED_VALUE"""),90)</f>
        <v>90</v>
      </c>
      <c r="V12" s="10" t="n">
        <f aca="false">IFERROR(__xludf.dummyfunction("""COMPUTED_VALUE"""),39)</f>
        <v>39</v>
      </c>
      <c r="W12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12" s="10" t="n">
        <f aca="false">IFERROR(__xludf.dummyfunction("""COMPUTED_VALUE"""),313741)</f>
        <v>313741</v>
      </c>
      <c r="Y12" s="10" t="str">
        <f aca="false">IFERROR(__xludf.dummyfunction("""COMPUTED_VALUE"""),"poverka@udmucs.ru")</f>
        <v>poverka@udmucs.ru</v>
      </c>
      <c r="Z12" s="10" t="str">
        <f aca="false">IFERROR(__xludf.dummyfunction("""COMPUTED_VALUE"""),"51758-12")</f>
        <v>51758-12</v>
      </c>
      <c r="AA12" s="12" t="n">
        <f aca="false">IFERROR(__xludf.dummyfunction("""COMPUTED_VALUE"""),45092.3897261342)</f>
        <v>45092.3897261342</v>
      </c>
      <c r="AB12" s="13" t="n">
        <f aca="false">IFERROR(__xludf.dummyfunction("""COMPUTED_VALUE"""),48744)</f>
        <v>48744</v>
      </c>
      <c r="AC12" s="10" t="str">
        <f aca="false">IFERROR(__xludf.dummyfunction("""COMPUTED_VALUE"""),"GSN-G1.6IS")</f>
        <v>GSN-G1.6IS</v>
      </c>
      <c r="AD12" s="10" t="str">
        <f aca="false">IFERROR(__xludf.dummyfunction("""COMPUTED_VALUE"""),"Годен")</f>
        <v>Годен</v>
      </c>
      <c r="AE12" s="10" t="str">
        <f aca="false">IFERROR(__xludf.dummyfunction("""COMPUTED_VALUE"""),"Соловьев")</f>
        <v>Соловьев</v>
      </c>
      <c r="AF12" s="10" t="str">
        <f aca="false">IFERROR(__xludf.dummyfunction("""COMPUTED_VALUE"""),"Роман")</f>
        <v>Роман</v>
      </c>
      <c r="AG12" s="10" t="str">
        <f aca="false">IFERROR(__xludf.dummyfunction("""COMPUTED_VALUE"""),"Юрьевич ")</f>
        <v>Юрьевич </v>
      </c>
      <c r="AH12" s="4"/>
      <c r="AI12" s="4"/>
      <c r="AJ12" s="4"/>
      <c r="AK12" s="4"/>
    </row>
    <row r="13" customFormat="false" ht="15.75" hidden="false" customHeight="false" outlineLevel="0" collapsed="false">
      <c r="A13" s="10" t="str">
        <f aca="false">IFERROR(__xludf.dummyfunction("""COMPUTED_VALUE"""),"2023-ГАЗ-12")</f>
        <v>2023-ГАЗ-12</v>
      </c>
      <c r="B13" s="10" t="str">
        <f aca="false">IFERROR(__xludf.dummyfunction("""COMPUTED_VALUE"""),"43909-10")</f>
        <v>43909-10</v>
      </c>
      <c r="C13" s="10" t="str">
        <f aca="false">IFERROR(__xludf.dummyfunction("""COMPUTED_VALUE"""),"G4 ""Омега""")</f>
        <v>G4 "Омега"</v>
      </c>
      <c r="D13" s="11" t="n">
        <f aca="false">IFERROR(__xludf.dummyfunction("""COMPUTED_VALUE"""),1357036)</f>
        <v>1357036</v>
      </c>
      <c r="E13" s="10" t="str">
        <f aca="false">IFERROR(__xludf.dummyfunction("""COMPUTED_VALUE"""),"Физ. лицо")</f>
        <v>Физ. лицо</v>
      </c>
      <c r="F13" s="12" t="n">
        <f aca="false">IFERROR(__xludf.dummyfunction("""COMPUTED_VALUE"""),45092.4291681365)</f>
        <v>45092.4291681365</v>
      </c>
      <c r="G13" s="13" t="n">
        <f aca="false">IFERROR(__xludf.dummyfunction("""COMPUTED_VALUE"""),48013)</f>
        <v>48013</v>
      </c>
      <c r="H13" s="10" t="str">
        <f aca="false">IFERROR(__xludf.dummyfunction("""COMPUTED_VALUE"""),"ПМТК.407273. 001 МП")</f>
        <v>ПМТК.407273. 001 МП</v>
      </c>
      <c r="I13" s="10" t="str">
        <f aca="false">IFERROR(__xludf.dummyfunction("""COMPUTED_VALUE"""),"Периодическая")</f>
        <v>Периодическая</v>
      </c>
      <c r="J13" s="10" t="str">
        <f aca="false">IFERROR(__xludf.dummyfunction("""COMPUTED_VALUE"""),"Пригоден")</f>
        <v>Пригоден</v>
      </c>
      <c r="K13" s="10" t="str">
        <f aca="false">IFERROR(__xludf.dummyfunction("""COMPUTED_VALUE"""),"")</f>
        <v/>
      </c>
      <c r="L13" s="10" t="str">
        <f aca="false">IFERROR(__xludf.dummyfunction("""COMPUTED_VALUE"""),"Соловьев Р.Ю.")</f>
        <v>Соловьев Р.Ю.</v>
      </c>
      <c r="M13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13" s="10"/>
      <c r="O13" s="10"/>
      <c r="P13" s="10"/>
      <c r="Q13" s="10"/>
      <c r="R13" s="10"/>
      <c r="S13" s="10"/>
      <c r="T13" s="10"/>
      <c r="U13" s="10" t="n">
        <f aca="false">IFERROR(__xludf.dummyfunction("""COMPUTED_VALUE"""),89)</f>
        <v>89</v>
      </c>
      <c r="V13" s="10" t="n">
        <f aca="false">IFERROR(__xludf.dummyfunction("""COMPUTED_VALUE"""),39)</f>
        <v>39</v>
      </c>
      <c r="W13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13" s="10" t="n">
        <f aca="false">IFERROR(__xludf.dummyfunction("""COMPUTED_VALUE"""),313741)</f>
        <v>313741</v>
      </c>
      <c r="Y13" s="10" t="str">
        <f aca="false">IFERROR(__xludf.dummyfunction("""COMPUTED_VALUE"""),"poverka@udmucs.ru")</f>
        <v>poverka@udmucs.ru</v>
      </c>
      <c r="Z13" s="10" t="str">
        <f aca="false">IFERROR(__xludf.dummyfunction("""COMPUTED_VALUE"""),"43909-10")</f>
        <v>43909-10</v>
      </c>
      <c r="AA13" s="12" t="n">
        <f aca="false">IFERROR(__xludf.dummyfunction("""COMPUTED_VALUE"""),45092.4291681365)</f>
        <v>45092.4291681365</v>
      </c>
      <c r="AB13" s="13" t="n">
        <f aca="false">IFERROR(__xludf.dummyfunction("""COMPUTED_VALUE"""),48013)</f>
        <v>48013</v>
      </c>
      <c r="AC13" s="10" t="str">
        <f aca="false">IFERROR(__xludf.dummyfunction("""COMPUTED_VALUE"""),"G4 ""Омега""")</f>
        <v>G4 "Омега"</v>
      </c>
      <c r="AD13" s="10" t="str">
        <f aca="false">IFERROR(__xludf.dummyfunction("""COMPUTED_VALUE"""),"Годен")</f>
        <v>Годен</v>
      </c>
      <c r="AE13" s="10" t="str">
        <f aca="false">IFERROR(__xludf.dummyfunction("""COMPUTED_VALUE"""),"Соловьев")</f>
        <v>Соловьев</v>
      </c>
      <c r="AF13" s="10" t="str">
        <f aca="false">IFERROR(__xludf.dummyfunction("""COMPUTED_VALUE"""),"Роман")</f>
        <v>Роман</v>
      </c>
      <c r="AG13" s="10" t="str">
        <f aca="false">IFERROR(__xludf.dummyfunction("""COMPUTED_VALUE"""),"Юрьевич ")</f>
        <v>Юрьевич </v>
      </c>
      <c r="AH13" s="4"/>
      <c r="AI13" s="4"/>
      <c r="AJ13" s="4"/>
      <c r="AK13" s="4"/>
    </row>
    <row r="14" customFormat="false" ht="15.75" hidden="false" customHeight="false" outlineLevel="0" collapsed="false">
      <c r="A14" s="10" t="str">
        <f aca="false">IFERROR(__xludf.dummyfunction("""COMPUTED_VALUE"""),"2023-ГАЗ-13")</f>
        <v>2023-ГАЗ-13</v>
      </c>
      <c r="B14" s="10" t="str">
        <f aca="false">IFERROR(__xludf.dummyfunction("""COMPUTED_VALUE"""),"43909-10")</f>
        <v>43909-10</v>
      </c>
      <c r="C14" s="10" t="str">
        <f aca="false">IFERROR(__xludf.dummyfunction("""COMPUTED_VALUE"""),"G6 ""Омега""")</f>
        <v>G6 "Омега"</v>
      </c>
      <c r="D14" s="11" t="n">
        <f aca="false">IFERROR(__xludf.dummyfunction("""COMPUTED_VALUE"""),1330468)</f>
        <v>1330468</v>
      </c>
      <c r="E14" s="10" t="str">
        <f aca="false">IFERROR(__xludf.dummyfunction("""COMPUTED_VALUE"""),"Физ. лицо")</f>
        <v>Физ. лицо</v>
      </c>
      <c r="F14" s="12" t="n">
        <f aca="false">IFERROR(__xludf.dummyfunction("""COMPUTED_VALUE"""),45092.4565031597)</f>
        <v>45092.4565031597</v>
      </c>
      <c r="G14" s="13" t="n">
        <f aca="false">IFERROR(__xludf.dummyfunction("""COMPUTED_VALUE"""),48013)</f>
        <v>48013</v>
      </c>
      <c r="H14" s="10" t="str">
        <f aca="false">IFERROR(__xludf.dummyfunction("""COMPUTED_VALUE"""),"ПМТК.407273. 001 МП")</f>
        <v>ПМТК.407273. 001 МП</v>
      </c>
      <c r="I14" s="10" t="str">
        <f aca="false">IFERROR(__xludf.dummyfunction("""COMPUTED_VALUE"""),"Периодическая")</f>
        <v>Периодическая</v>
      </c>
      <c r="J14" s="10" t="str">
        <f aca="false">IFERROR(__xludf.dummyfunction("""COMPUTED_VALUE"""),"Пригоден")</f>
        <v>Пригоден</v>
      </c>
      <c r="K14" s="10" t="str">
        <f aca="false">IFERROR(__xludf.dummyfunction("""COMPUTED_VALUE"""),"")</f>
        <v/>
      </c>
      <c r="L14" s="10" t="str">
        <f aca="false">IFERROR(__xludf.dummyfunction("""COMPUTED_VALUE"""),"Соловьев Р.Ю.")</f>
        <v>Соловьев Р.Ю.</v>
      </c>
      <c r="M14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14" s="10"/>
      <c r="O14" s="10"/>
      <c r="P14" s="10"/>
      <c r="Q14" s="10"/>
      <c r="R14" s="10"/>
      <c r="S14" s="10"/>
      <c r="T14" s="10"/>
      <c r="U14" s="10" t="n">
        <f aca="false">IFERROR(__xludf.dummyfunction("""COMPUTED_VALUE"""),88)</f>
        <v>88</v>
      </c>
      <c r="V14" s="10" t="n">
        <f aca="false">IFERROR(__xludf.dummyfunction("""COMPUTED_VALUE"""),39)</f>
        <v>39</v>
      </c>
      <c r="W14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14" s="10" t="n">
        <f aca="false">IFERROR(__xludf.dummyfunction("""COMPUTED_VALUE"""),313741)</f>
        <v>313741</v>
      </c>
      <c r="Y14" s="10" t="str">
        <f aca="false">IFERROR(__xludf.dummyfunction("""COMPUTED_VALUE"""),"poverka@udmucs.ru")</f>
        <v>poverka@udmucs.ru</v>
      </c>
      <c r="Z14" s="10" t="str">
        <f aca="false">IFERROR(__xludf.dummyfunction("""COMPUTED_VALUE"""),"43909-10")</f>
        <v>43909-10</v>
      </c>
      <c r="AA14" s="12" t="n">
        <f aca="false">IFERROR(__xludf.dummyfunction("""COMPUTED_VALUE"""),45092.4565031597)</f>
        <v>45092.4565031597</v>
      </c>
      <c r="AB14" s="13" t="n">
        <f aca="false">IFERROR(__xludf.dummyfunction("""COMPUTED_VALUE"""),48013)</f>
        <v>48013</v>
      </c>
      <c r="AC14" s="10" t="str">
        <f aca="false">IFERROR(__xludf.dummyfunction("""COMPUTED_VALUE"""),"G6 ""Омега""")</f>
        <v>G6 "Омега"</v>
      </c>
      <c r="AD14" s="10" t="str">
        <f aca="false">IFERROR(__xludf.dummyfunction("""COMPUTED_VALUE"""),"Годен")</f>
        <v>Годен</v>
      </c>
      <c r="AE14" s="10" t="str">
        <f aca="false">IFERROR(__xludf.dummyfunction("""COMPUTED_VALUE"""),"Соловьев")</f>
        <v>Соловьев</v>
      </c>
      <c r="AF14" s="10" t="str">
        <f aca="false">IFERROR(__xludf.dummyfunction("""COMPUTED_VALUE"""),"Роман")</f>
        <v>Роман</v>
      </c>
      <c r="AG14" s="10" t="str">
        <f aca="false">IFERROR(__xludf.dummyfunction("""COMPUTED_VALUE"""),"Юрьевич ")</f>
        <v>Юрьевич </v>
      </c>
      <c r="AH14" s="4"/>
      <c r="AI14" s="4"/>
      <c r="AJ14" s="4"/>
      <c r="AK14" s="4"/>
    </row>
    <row r="15" customFormat="false" ht="15.75" hidden="false" customHeight="false" outlineLevel="0" collapsed="false">
      <c r="A15" s="10" t="str">
        <f aca="false">IFERROR(__xludf.dummyfunction("""COMPUTED_VALUE"""),"2023-ГАЗ-14")</f>
        <v>2023-ГАЗ-14</v>
      </c>
      <c r="B15" s="10" t="str">
        <f aca="false">IFERROR(__xludf.dummyfunction("""COMPUTED_VALUE"""),"43909-10")</f>
        <v>43909-10</v>
      </c>
      <c r="C15" s="10" t="str">
        <f aca="false">IFERROR(__xludf.dummyfunction("""COMPUTED_VALUE"""),"G6 ""Омега""")</f>
        <v>G6 "Омега"</v>
      </c>
      <c r="D15" s="11" t="n">
        <f aca="false">IFERROR(__xludf.dummyfunction("""COMPUTED_VALUE"""),870274)</f>
        <v>870274</v>
      </c>
      <c r="E15" s="10" t="str">
        <f aca="false">IFERROR(__xludf.dummyfunction("""COMPUTED_VALUE"""),"Физ. лицо")</f>
        <v>Физ. лицо</v>
      </c>
      <c r="F15" s="12" t="n">
        <f aca="false">IFERROR(__xludf.dummyfunction("""COMPUTED_VALUE"""),45092.4924310995)</f>
        <v>45092.4924310995</v>
      </c>
      <c r="G15" s="13" t="n">
        <f aca="false">IFERROR(__xludf.dummyfunction("""COMPUTED_VALUE"""),48013)</f>
        <v>48013</v>
      </c>
      <c r="H15" s="10" t="str">
        <f aca="false">IFERROR(__xludf.dummyfunction("""COMPUTED_VALUE"""),"ПМТК.407273. 001 МП")</f>
        <v>ПМТК.407273. 001 МП</v>
      </c>
      <c r="I15" s="10" t="str">
        <f aca="false">IFERROR(__xludf.dummyfunction("""COMPUTED_VALUE"""),"Периодическая")</f>
        <v>Периодическая</v>
      </c>
      <c r="J15" s="10" t="str">
        <f aca="false">IFERROR(__xludf.dummyfunction("""COMPUTED_VALUE"""),"Пригоден")</f>
        <v>Пригоден</v>
      </c>
      <c r="K15" s="10" t="str">
        <f aca="false">IFERROR(__xludf.dummyfunction("""COMPUTED_VALUE"""),"")</f>
        <v/>
      </c>
      <c r="L15" s="10" t="str">
        <f aca="false">IFERROR(__xludf.dummyfunction("""COMPUTED_VALUE"""),"Соловьев Р.Ю.")</f>
        <v>Соловьев Р.Ю.</v>
      </c>
      <c r="M15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15" s="10"/>
      <c r="O15" s="10"/>
      <c r="P15" s="10"/>
      <c r="Q15" s="10"/>
      <c r="R15" s="10"/>
      <c r="S15" s="10"/>
      <c r="T15" s="10"/>
      <c r="U15" s="10" t="n">
        <f aca="false">IFERROR(__xludf.dummyfunction("""COMPUTED_VALUE"""),88)</f>
        <v>88</v>
      </c>
      <c r="V15" s="10" t="n">
        <f aca="false">IFERROR(__xludf.dummyfunction("""COMPUTED_VALUE"""),43)</f>
        <v>43</v>
      </c>
      <c r="W15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15" s="10" t="n">
        <f aca="false">IFERROR(__xludf.dummyfunction("""COMPUTED_VALUE"""),313741)</f>
        <v>313741</v>
      </c>
      <c r="Y15" s="10" t="str">
        <f aca="false">IFERROR(__xludf.dummyfunction("""COMPUTED_VALUE"""),"poverka@udmucs.ru")</f>
        <v>poverka@udmucs.ru</v>
      </c>
      <c r="Z15" s="10" t="str">
        <f aca="false">IFERROR(__xludf.dummyfunction("""COMPUTED_VALUE"""),"43909-10")</f>
        <v>43909-10</v>
      </c>
      <c r="AA15" s="12" t="n">
        <f aca="false">IFERROR(__xludf.dummyfunction("""COMPUTED_VALUE"""),45092.4924310995)</f>
        <v>45092.4924310995</v>
      </c>
      <c r="AB15" s="13" t="n">
        <f aca="false">IFERROR(__xludf.dummyfunction("""COMPUTED_VALUE"""),48013)</f>
        <v>48013</v>
      </c>
      <c r="AC15" s="10" t="str">
        <f aca="false">IFERROR(__xludf.dummyfunction("""COMPUTED_VALUE"""),"G6 ""Омега""")</f>
        <v>G6 "Омега"</v>
      </c>
      <c r="AD15" s="10" t="str">
        <f aca="false">IFERROR(__xludf.dummyfunction("""COMPUTED_VALUE"""),"Годен")</f>
        <v>Годен</v>
      </c>
      <c r="AE15" s="10" t="str">
        <f aca="false">IFERROR(__xludf.dummyfunction("""COMPUTED_VALUE"""),"Соловьев")</f>
        <v>Соловьев</v>
      </c>
      <c r="AF15" s="10" t="str">
        <f aca="false">IFERROR(__xludf.dummyfunction("""COMPUTED_VALUE"""),"Роман")</f>
        <v>Роман</v>
      </c>
      <c r="AG15" s="10" t="str">
        <f aca="false">IFERROR(__xludf.dummyfunction("""COMPUTED_VALUE"""),"Юрьевич ")</f>
        <v>Юрьевич </v>
      </c>
      <c r="AH15" s="4"/>
      <c r="AI15" s="4"/>
      <c r="AJ15" s="4"/>
      <c r="AK15" s="4"/>
    </row>
    <row r="16" customFormat="false" ht="15.75" hidden="false" customHeight="false" outlineLevel="0" collapsed="false">
      <c r="A16" s="10" t="str">
        <f aca="false">IFERROR(__xludf.dummyfunction("""COMPUTED_VALUE"""),"2023-ГАЗ-15")</f>
        <v>2023-ГАЗ-15</v>
      </c>
      <c r="B16" s="10" t="str">
        <f aca="false">IFERROR(__xludf.dummyfunction("""COMPUTED_VALUE"""),"55358-13")</f>
        <v>55358-13</v>
      </c>
      <c r="C16" s="10" t="str">
        <f aca="false">IFERROR(__xludf.dummyfunction("""COMPUTED_VALUE"""),"СГМН-1 G6")</f>
        <v>СГМН-1 G6</v>
      </c>
      <c r="D16" s="11" t="n">
        <f aca="false">IFERROR(__xludf.dummyfunction("""COMPUTED_VALUE"""),5039593)</f>
        <v>5039593</v>
      </c>
      <c r="E16" s="10" t="str">
        <f aca="false">IFERROR(__xludf.dummyfunction("""COMPUTED_VALUE"""),"Физ. лицо")</f>
        <v>Физ. лицо</v>
      </c>
      <c r="F16" s="12" t="n">
        <f aca="false">IFERROR(__xludf.dummyfunction("""COMPUTED_VALUE"""),45092.5265102546)</f>
        <v>45092.5265102546</v>
      </c>
      <c r="G16" s="13" t="n">
        <f aca="false">IFERROR(__xludf.dummyfunction("""COMPUTED_VALUE"""),48013)</f>
        <v>48013</v>
      </c>
      <c r="H16" s="10" t="str">
        <f aca="false">IFERROR(__xludf.dummyfunction("""COMPUTED_VALUE"""),"ГОСТ 8.324-2002")</f>
        <v>ГОСТ 8.324-2002</v>
      </c>
      <c r="I16" s="10" t="str">
        <f aca="false">IFERROR(__xludf.dummyfunction("""COMPUTED_VALUE"""),"Периодическая")</f>
        <v>Периодическая</v>
      </c>
      <c r="J16" s="10" t="str">
        <f aca="false">IFERROR(__xludf.dummyfunction("""COMPUTED_VALUE"""),"Пригоден")</f>
        <v>Пригоден</v>
      </c>
      <c r="K16" s="10" t="str">
        <f aca="false">IFERROR(__xludf.dummyfunction("""COMPUTED_VALUE"""),"")</f>
        <v/>
      </c>
      <c r="L16" s="10" t="str">
        <f aca="false">IFERROR(__xludf.dummyfunction("""COMPUTED_VALUE"""),"Соловьев Р.Ю.")</f>
        <v>Соловьев Р.Ю.</v>
      </c>
      <c r="M16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16" s="10"/>
      <c r="O16" s="10"/>
      <c r="P16" s="10"/>
      <c r="Q16" s="10"/>
      <c r="R16" s="10"/>
      <c r="S16" s="10"/>
      <c r="T16" s="10"/>
      <c r="U16" s="10" t="n">
        <f aca="false">IFERROR(__xludf.dummyfunction("""COMPUTED_VALUE"""),88)</f>
        <v>88</v>
      </c>
      <c r="V16" s="10" t="n">
        <f aca="false">IFERROR(__xludf.dummyfunction("""COMPUTED_VALUE"""),39)</f>
        <v>39</v>
      </c>
      <c r="W16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16" s="10" t="n">
        <f aca="false">IFERROR(__xludf.dummyfunction("""COMPUTED_VALUE"""),313741)</f>
        <v>313741</v>
      </c>
      <c r="Y16" s="10" t="str">
        <f aca="false">IFERROR(__xludf.dummyfunction("""COMPUTED_VALUE"""),"poverka@udmucs.ru")</f>
        <v>poverka@udmucs.ru</v>
      </c>
      <c r="Z16" s="10" t="str">
        <f aca="false">IFERROR(__xludf.dummyfunction("""COMPUTED_VALUE"""),"55358-13")</f>
        <v>55358-13</v>
      </c>
      <c r="AA16" s="12" t="n">
        <f aca="false">IFERROR(__xludf.dummyfunction("""COMPUTED_VALUE"""),45092.5265102546)</f>
        <v>45092.5265102546</v>
      </c>
      <c r="AB16" s="13" t="n">
        <f aca="false">IFERROR(__xludf.dummyfunction("""COMPUTED_VALUE"""),48013)</f>
        <v>48013</v>
      </c>
      <c r="AC16" s="10" t="str">
        <f aca="false">IFERROR(__xludf.dummyfunction("""COMPUTED_VALUE"""),"СГМН-1 G6")</f>
        <v>СГМН-1 G6</v>
      </c>
      <c r="AD16" s="10" t="str">
        <f aca="false">IFERROR(__xludf.dummyfunction("""COMPUTED_VALUE"""),"Годен")</f>
        <v>Годен</v>
      </c>
      <c r="AE16" s="10" t="str">
        <f aca="false">IFERROR(__xludf.dummyfunction("""COMPUTED_VALUE"""),"Соловьев")</f>
        <v>Соловьев</v>
      </c>
      <c r="AF16" s="10" t="str">
        <f aca="false">IFERROR(__xludf.dummyfunction("""COMPUTED_VALUE"""),"Роман")</f>
        <v>Роман</v>
      </c>
      <c r="AG16" s="10" t="str">
        <f aca="false">IFERROR(__xludf.dummyfunction("""COMPUTED_VALUE"""),"Юрьевич ")</f>
        <v>Юрьевич </v>
      </c>
      <c r="AH16" s="4"/>
      <c r="AI16" s="4"/>
      <c r="AJ16" s="4"/>
      <c r="AK16" s="4"/>
    </row>
    <row r="17" customFormat="false" ht="15.75" hidden="false" customHeight="false" outlineLevel="0" collapsed="false">
      <c r="A17" s="10" t="str">
        <f aca="false">IFERROR(__xludf.dummyfunction("""COMPUTED_VALUE"""),"2023-ГАЗ-16")</f>
        <v>2023-ГАЗ-16</v>
      </c>
      <c r="B17" s="10" t="str">
        <f aca="false">IFERROR(__xludf.dummyfunction("""COMPUTED_VALUE"""),"27457-04")</f>
        <v>27457-04</v>
      </c>
      <c r="C17" s="10" t="str">
        <f aca="false">IFERROR(__xludf.dummyfunction("""COMPUTED_VALUE"""),"РЛ G10")</f>
        <v>РЛ G10</v>
      </c>
      <c r="D17" s="11" t="n">
        <f aca="false">IFERROR(__xludf.dummyfunction("""COMPUTED_VALUE"""),581563)</f>
        <v>581563</v>
      </c>
      <c r="E17" s="10" t="str">
        <f aca="false">IFERROR(__xludf.dummyfunction("""COMPUTED_VALUE"""),"Физ. лицо")</f>
        <v>Физ. лицо</v>
      </c>
      <c r="F17" s="12" t="n">
        <f aca="false">IFERROR(__xludf.dummyfunction("""COMPUTED_VALUE"""),45092.5668119791)</f>
        <v>45092.5668119791</v>
      </c>
      <c r="G17" s="13" t="n">
        <f aca="false">IFERROR(__xludf.dummyfunction("""COMPUTED_VALUE"""),48744)</f>
        <v>48744</v>
      </c>
      <c r="H17" s="10" t="str">
        <f aca="false">IFERROR(__xludf.dummyfunction("""COMPUTED_VALUE"""),"ГОСТ 8.324-2002 «Счетчики газа. Методы и средства поверки»")</f>
        <v>ГОСТ 8.324-2002 «Счетчики газа. Методы и средства поверки»</v>
      </c>
      <c r="I17" s="10" t="str">
        <f aca="false">IFERROR(__xludf.dummyfunction("""COMPUTED_VALUE"""),"Периодическая")</f>
        <v>Периодическая</v>
      </c>
      <c r="J17" s="10" t="str">
        <f aca="false">IFERROR(__xludf.dummyfunction("""COMPUTED_VALUE"""),"Пригоден")</f>
        <v>Пригоден</v>
      </c>
      <c r="K17" s="10" t="str">
        <f aca="false">IFERROR(__xludf.dummyfunction("""COMPUTED_VALUE"""),"")</f>
        <v/>
      </c>
      <c r="L17" s="10" t="str">
        <f aca="false">IFERROR(__xludf.dummyfunction("""COMPUTED_VALUE"""),"Соловьев Р.Ю.")</f>
        <v>Соловьев Р.Ю.</v>
      </c>
      <c r="M17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17" s="10"/>
      <c r="O17" s="10"/>
      <c r="P17" s="10"/>
      <c r="Q17" s="10"/>
      <c r="R17" s="10"/>
      <c r="S17" s="10"/>
      <c r="T17" s="10"/>
      <c r="U17" s="10" t="n">
        <f aca="false">IFERROR(__xludf.dummyfunction("""COMPUTED_VALUE"""),93)</f>
        <v>93</v>
      </c>
      <c r="V17" s="10" t="n">
        <f aca="false">IFERROR(__xludf.dummyfunction("""COMPUTED_VALUE"""),47)</f>
        <v>47</v>
      </c>
      <c r="W17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17" s="10" t="n">
        <f aca="false">IFERROR(__xludf.dummyfunction("""COMPUTED_VALUE"""),313741)</f>
        <v>313741</v>
      </c>
      <c r="Y17" s="10" t="str">
        <f aca="false">IFERROR(__xludf.dummyfunction("""COMPUTED_VALUE"""),"poverka@udmucs.ru")</f>
        <v>poverka@udmucs.ru</v>
      </c>
      <c r="Z17" s="10" t="str">
        <f aca="false">IFERROR(__xludf.dummyfunction("""COMPUTED_VALUE"""),"27457-04")</f>
        <v>27457-04</v>
      </c>
      <c r="AA17" s="12" t="n">
        <f aca="false">IFERROR(__xludf.dummyfunction("""COMPUTED_VALUE"""),45092.5668119791)</f>
        <v>45092.5668119791</v>
      </c>
      <c r="AB17" s="13" t="n">
        <f aca="false">IFERROR(__xludf.dummyfunction("""COMPUTED_VALUE"""),48744)</f>
        <v>48744</v>
      </c>
      <c r="AC17" s="10" t="str">
        <f aca="false">IFERROR(__xludf.dummyfunction("""COMPUTED_VALUE"""),"РЛ G10")</f>
        <v>РЛ G10</v>
      </c>
      <c r="AD17" s="10" t="str">
        <f aca="false">IFERROR(__xludf.dummyfunction("""COMPUTED_VALUE"""),"Годен")</f>
        <v>Годен</v>
      </c>
      <c r="AE17" s="10" t="str">
        <f aca="false">IFERROR(__xludf.dummyfunction("""COMPUTED_VALUE"""),"Соловьев")</f>
        <v>Соловьев</v>
      </c>
      <c r="AF17" s="10" t="str">
        <f aca="false">IFERROR(__xludf.dummyfunction("""COMPUTED_VALUE"""),"Роман")</f>
        <v>Роман</v>
      </c>
      <c r="AG17" s="10" t="str">
        <f aca="false">IFERROR(__xludf.dummyfunction("""COMPUTED_VALUE"""),"Юрьевич ")</f>
        <v>Юрьевич </v>
      </c>
      <c r="AH17" s="4"/>
      <c r="AI17" s="4"/>
      <c r="AJ17" s="4"/>
      <c r="AK17" s="4"/>
    </row>
    <row r="18" customFormat="false" ht="15.75" hidden="false" customHeight="false" outlineLevel="0" collapsed="false">
      <c r="A18" s="10" t="str">
        <f aca="false">IFERROR(__xludf.dummyfunction("""COMPUTED_VALUE"""),"2023-ГАЗ-17")</f>
        <v>2023-ГАЗ-17</v>
      </c>
      <c r="B18" s="10" t="str">
        <f aca="false">IFERROR(__xludf.dummyfunction("""COMPUTED_VALUE"""),"55358-13")</f>
        <v>55358-13</v>
      </c>
      <c r="C18" s="10" t="str">
        <f aca="false">IFERROR(__xludf.dummyfunction("""COMPUTED_VALUE"""),"СГМН-1")</f>
        <v>СГМН-1</v>
      </c>
      <c r="D18" s="11" t="n">
        <f aca="false">IFERROR(__xludf.dummyfunction("""COMPUTED_VALUE"""),5071361)</f>
        <v>5071361</v>
      </c>
      <c r="E18" s="10" t="str">
        <f aca="false">IFERROR(__xludf.dummyfunction("""COMPUTED_VALUE"""),"Физ. лицо")</f>
        <v>Физ. лицо</v>
      </c>
      <c r="F18" s="12" t="n">
        <f aca="false">IFERROR(__xludf.dummyfunction("""COMPUTED_VALUE"""),45098.3782331597)</f>
        <v>45098.3782331597</v>
      </c>
      <c r="G18" s="13" t="n">
        <f aca="false">IFERROR(__xludf.dummyfunction("""COMPUTED_VALUE"""),48019)</f>
        <v>48019</v>
      </c>
      <c r="H18" s="10" t="str">
        <f aca="false">IFERROR(__xludf.dummyfunction("""COMPUTED_VALUE"""),"ГОСТ 8.324-2002")</f>
        <v>ГОСТ 8.324-2002</v>
      </c>
      <c r="I18" s="10" t="str">
        <f aca="false">IFERROR(__xludf.dummyfunction("""COMPUTED_VALUE"""),"Периодическая")</f>
        <v>Периодическая</v>
      </c>
      <c r="J18" s="10" t="str">
        <f aca="false">IFERROR(__xludf.dummyfunction("""COMPUTED_VALUE"""),"Пригоден")</f>
        <v>Пригоден</v>
      </c>
      <c r="K18" s="10" t="str">
        <f aca="false">IFERROR(__xludf.dummyfunction("""COMPUTED_VALUE"""),"")</f>
        <v/>
      </c>
      <c r="L18" s="10" t="str">
        <f aca="false">IFERROR(__xludf.dummyfunction("""COMPUTED_VALUE"""),"Соловьев Р.Ю.")</f>
        <v>Соловьев Р.Ю.</v>
      </c>
      <c r="M18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18" s="10"/>
      <c r="O18" s="10"/>
      <c r="P18" s="10"/>
      <c r="Q18" s="10"/>
      <c r="R18" s="10"/>
      <c r="S18" s="10"/>
      <c r="T18" s="10"/>
      <c r="U18" s="10" t="n">
        <f aca="false">IFERROR(__xludf.dummyfunction("""COMPUTED_VALUE"""),90)</f>
        <v>90</v>
      </c>
      <c r="V18" s="10" t="n">
        <f aca="false">IFERROR(__xludf.dummyfunction("""COMPUTED_VALUE"""),39)</f>
        <v>39</v>
      </c>
      <c r="W18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18" s="10" t="n">
        <f aca="false">IFERROR(__xludf.dummyfunction("""COMPUTED_VALUE"""),313741)</f>
        <v>313741</v>
      </c>
      <c r="Y18" s="10" t="str">
        <f aca="false">IFERROR(__xludf.dummyfunction("""COMPUTED_VALUE"""),"poverka@udmucs.ru")</f>
        <v>poverka@udmucs.ru</v>
      </c>
      <c r="Z18" s="10" t="str">
        <f aca="false">IFERROR(__xludf.dummyfunction("""COMPUTED_VALUE"""),"55358-13")</f>
        <v>55358-13</v>
      </c>
      <c r="AA18" s="12" t="n">
        <f aca="false">IFERROR(__xludf.dummyfunction("""COMPUTED_VALUE"""),45098.3782331597)</f>
        <v>45098.3782331597</v>
      </c>
      <c r="AB18" s="13" t="n">
        <f aca="false">IFERROR(__xludf.dummyfunction("""COMPUTED_VALUE"""),48019)</f>
        <v>48019</v>
      </c>
      <c r="AC18" s="10" t="str">
        <f aca="false">IFERROR(__xludf.dummyfunction("""COMPUTED_VALUE"""),"СГМН-1")</f>
        <v>СГМН-1</v>
      </c>
      <c r="AD18" s="10" t="str">
        <f aca="false">IFERROR(__xludf.dummyfunction("""COMPUTED_VALUE"""),"Годен")</f>
        <v>Годен</v>
      </c>
      <c r="AE18" s="10" t="str">
        <f aca="false">IFERROR(__xludf.dummyfunction("""COMPUTED_VALUE"""),"Соловьев")</f>
        <v>Соловьев</v>
      </c>
      <c r="AF18" s="10" t="str">
        <f aca="false">IFERROR(__xludf.dummyfunction("""COMPUTED_VALUE"""),"Роман")</f>
        <v>Роман</v>
      </c>
      <c r="AG18" s="10" t="str">
        <f aca="false">IFERROR(__xludf.dummyfunction("""COMPUTED_VALUE"""),"Юрьевич ")</f>
        <v>Юрьевич </v>
      </c>
      <c r="AH18" s="4"/>
      <c r="AI18" s="4"/>
      <c r="AJ18" s="4"/>
      <c r="AK18" s="4"/>
    </row>
    <row r="19" customFormat="false" ht="15.75" hidden="false" customHeight="false" outlineLevel="0" collapsed="false">
      <c r="A19" s="10" t="str">
        <f aca="false">IFERROR(__xludf.dummyfunction("""COMPUTED_VALUE"""),"2023-ГАЗ-18")</f>
        <v>2023-ГАЗ-18</v>
      </c>
      <c r="B19" s="10" t="str">
        <f aca="false">IFERROR(__xludf.dummyfunction("""COMPUTED_VALUE"""),"20272-00")</f>
        <v>20272-00</v>
      </c>
      <c r="C19" s="10" t="str">
        <f aca="false">IFERROR(__xludf.dummyfunction("""COMPUTED_VALUE"""),"Вк-G4")</f>
        <v>Вк-G4</v>
      </c>
      <c r="D19" s="11" t="str">
        <f aca="false">IFERROR(__xludf.dummyfunction("""COMPUTED_VALUE"""),"03385440")</f>
        <v>03385440</v>
      </c>
      <c r="E19" s="10" t="str">
        <f aca="false">IFERROR(__xludf.dummyfunction("""COMPUTED_VALUE"""),"Физ. лицо")</f>
        <v>Физ. лицо</v>
      </c>
      <c r="F19" s="12" t="n">
        <f aca="false">IFERROR(__xludf.dummyfunction("""COMPUTED_VALUE"""),45098.4063712037)</f>
        <v>45098.4063712037</v>
      </c>
      <c r="G19" s="13" t="n">
        <f aca="false">IFERROR(__xludf.dummyfunction("""COMPUTED_VALUE"""),48750)</f>
        <v>48750</v>
      </c>
      <c r="H19" s="10" t="str">
        <f aca="false">IFERROR(__xludf.dummyfunction("""COMPUTED_VALUE"""),"ГОСТ 8.324-2002")</f>
        <v>ГОСТ 8.324-2002</v>
      </c>
      <c r="I19" s="10" t="str">
        <f aca="false">IFERROR(__xludf.dummyfunction("""COMPUTED_VALUE"""),"Периодическая")</f>
        <v>Периодическая</v>
      </c>
      <c r="J19" s="10" t="str">
        <f aca="false">IFERROR(__xludf.dummyfunction("""COMPUTED_VALUE"""),"Пригоден")</f>
        <v>Пригоден</v>
      </c>
      <c r="K19" s="10" t="str">
        <f aca="false">IFERROR(__xludf.dummyfunction("""COMPUTED_VALUE"""),"")</f>
        <v/>
      </c>
      <c r="L19" s="10" t="str">
        <f aca="false">IFERROR(__xludf.dummyfunction("""COMPUTED_VALUE"""),"Соловьев Р.Ю.")</f>
        <v>Соловьев Р.Ю.</v>
      </c>
      <c r="M19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19" s="10"/>
      <c r="O19" s="10"/>
      <c r="P19" s="10"/>
      <c r="Q19" s="10"/>
      <c r="R19" s="10"/>
      <c r="S19" s="10"/>
      <c r="T19" s="10"/>
      <c r="U19" s="10" t="n">
        <f aca="false">IFERROR(__xludf.dummyfunction("""COMPUTED_VALUE"""),93)</f>
        <v>93</v>
      </c>
      <c r="V19" s="10" t="n">
        <f aca="false">IFERROR(__xludf.dummyfunction("""COMPUTED_VALUE"""),41)</f>
        <v>41</v>
      </c>
      <c r="W19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19" s="10" t="n">
        <f aca="false">IFERROR(__xludf.dummyfunction("""COMPUTED_VALUE"""),313741)</f>
        <v>313741</v>
      </c>
      <c r="Y19" s="10" t="str">
        <f aca="false">IFERROR(__xludf.dummyfunction("""COMPUTED_VALUE"""),"poverka@udmucs.ru")</f>
        <v>poverka@udmucs.ru</v>
      </c>
      <c r="Z19" s="10" t="str">
        <f aca="false">IFERROR(__xludf.dummyfunction("""COMPUTED_VALUE"""),"20272-00")</f>
        <v>20272-00</v>
      </c>
      <c r="AA19" s="12" t="n">
        <f aca="false">IFERROR(__xludf.dummyfunction("""COMPUTED_VALUE"""),45098.4063712037)</f>
        <v>45098.4063712037</v>
      </c>
      <c r="AB19" s="13" t="n">
        <f aca="false">IFERROR(__xludf.dummyfunction("""COMPUTED_VALUE"""),48750)</f>
        <v>48750</v>
      </c>
      <c r="AC19" s="10" t="str">
        <f aca="false">IFERROR(__xludf.dummyfunction("""COMPUTED_VALUE"""),"Вк-G4")</f>
        <v>Вк-G4</v>
      </c>
      <c r="AD19" s="10" t="str">
        <f aca="false">IFERROR(__xludf.dummyfunction("""COMPUTED_VALUE"""),"Годен")</f>
        <v>Годен</v>
      </c>
      <c r="AE19" s="10" t="str">
        <f aca="false">IFERROR(__xludf.dummyfunction("""COMPUTED_VALUE"""),"Соловьев")</f>
        <v>Соловьев</v>
      </c>
      <c r="AF19" s="10" t="str">
        <f aca="false">IFERROR(__xludf.dummyfunction("""COMPUTED_VALUE"""),"Роман")</f>
        <v>Роман</v>
      </c>
      <c r="AG19" s="10" t="str">
        <f aca="false">IFERROR(__xludf.dummyfunction("""COMPUTED_VALUE"""),"Юрьевич ")</f>
        <v>Юрьевич </v>
      </c>
      <c r="AH19" s="4"/>
      <c r="AI19" s="4"/>
      <c r="AJ19" s="4"/>
      <c r="AK19" s="4"/>
    </row>
    <row r="20" customFormat="false" ht="15.75" hidden="false" customHeight="false" outlineLevel="0" collapsed="false">
      <c r="A20" s="10" t="str">
        <f aca="false">IFERROR(__xludf.dummyfunction("""COMPUTED_VALUE"""),"2023-ГАЗ-19")</f>
        <v>2023-ГАЗ-19</v>
      </c>
      <c r="B20" s="10" t="str">
        <f aca="false">IFERROR(__xludf.dummyfunction("""COMPUTED_VALUE"""),"20272-00")</f>
        <v>20272-00</v>
      </c>
      <c r="C20" s="10" t="str">
        <f aca="false">IFERROR(__xludf.dummyfunction("""COMPUTED_VALUE"""),"Вк-G4")</f>
        <v>Вк-G4</v>
      </c>
      <c r="D20" s="11" t="n">
        <f aca="false">IFERROR(__xludf.dummyfunction("""COMPUTED_VALUE"""),32876)</f>
        <v>32876</v>
      </c>
      <c r="E20" s="10" t="str">
        <f aca="false">IFERROR(__xludf.dummyfunction("""COMPUTED_VALUE"""),"Физ. лицо")</f>
        <v>Физ. лицо</v>
      </c>
      <c r="F20" s="12" t="n">
        <f aca="false">IFERROR(__xludf.dummyfunction("""COMPUTED_VALUE"""),45098.4354970138)</f>
        <v>45098.4354970138</v>
      </c>
      <c r="G20" s="13" t="n">
        <f aca="false">IFERROR(__xludf.dummyfunction("""COMPUTED_VALUE"""),48750)</f>
        <v>48750</v>
      </c>
      <c r="H20" s="10" t="str">
        <f aca="false">IFERROR(__xludf.dummyfunction("""COMPUTED_VALUE"""),"ГОСТ 8.324-2002")</f>
        <v>ГОСТ 8.324-2002</v>
      </c>
      <c r="I20" s="10" t="str">
        <f aca="false">IFERROR(__xludf.dummyfunction("""COMPUTED_VALUE"""),"Периодическая")</f>
        <v>Периодическая</v>
      </c>
      <c r="J20" s="10" t="str">
        <f aca="false">IFERROR(__xludf.dummyfunction("""COMPUTED_VALUE"""),"Пригоден")</f>
        <v>Пригоден</v>
      </c>
      <c r="K20" s="10" t="str">
        <f aca="false">IFERROR(__xludf.dummyfunction("""COMPUTED_VALUE"""),"")</f>
        <v/>
      </c>
      <c r="L20" s="10" t="str">
        <f aca="false">IFERROR(__xludf.dummyfunction("""COMPUTED_VALUE"""),"Соловьев Р.Ю.")</f>
        <v>Соловьев Р.Ю.</v>
      </c>
      <c r="M20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20" s="10"/>
      <c r="O20" s="10"/>
      <c r="P20" s="10"/>
      <c r="Q20" s="10"/>
      <c r="R20" s="10"/>
      <c r="S20" s="10"/>
      <c r="T20" s="10"/>
      <c r="U20" s="10" t="n">
        <f aca="false">IFERROR(__xludf.dummyfunction("""COMPUTED_VALUE"""),90)</f>
        <v>90</v>
      </c>
      <c r="V20" s="10" t="n">
        <f aca="false">IFERROR(__xludf.dummyfunction("""COMPUTED_VALUE"""),40)</f>
        <v>40</v>
      </c>
      <c r="W20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20" s="10" t="n">
        <f aca="false">IFERROR(__xludf.dummyfunction("""COMPUTED_VALUE"""),313741)</f>
        <v>313741</v>
      </c>
      <c r="Y20" s="10" t="str">
        <f aca="false">IFERROR(__xludf.dummyfunction("""COMPUTED_VALUE"""),"poverka@udmucs.ru")</f>
        <v>poverka@udmucs.ru</v>
      </c>
      <c r="Z20" s="10" t="str">
        <f aca="false">IFERROR(__xludf.dummyfunction("""COMPUTED_VALUE"""),"20272-00")</f>
        <v>20272-00</v>
      </c>
      <c r="AA20" s="12" t="n">
        <f aca="false">IFERROR(__xludf.dummyfunction("""COMPUTED_VALUE"""),45098.4354970138)</f>
        <v>45098.4354970138</v>
      </c>
      <c r="AB20" s="13" t="n">
        <f aca="false">IFERROR(__xludf.dummyfunction("""COMPUTED_VALUE"""),48750)</f>
        <v>48750</v>
      </c>
      <c r="AC20" s="10" t="str">
        <f aca="false">IFERROR(__xludf.dummyfunction("""COMPUTED_VALUE"""),"Вк-G4")</f>
        <v>Вк-G4</v>
      </c>
      <c r="AD20" s="10" t="str">
        <f aca="false">IFERROR(__xludf.dummyfunction("""COMPUTED_VALUE"""),"Годен")</f>
        <v>Годен</v>
      </c>
      <c r="AE20" s="10" t="str">
        <f aca="false">IFERROR(__xludf.dummyfunction("""COMPUTED_VALUE"""),"Соловьев")</f>
        <v>Соловьев</v>
      </c>
      <c r="AF20" s="10" t="str">
        <f aca="false">IFERROR(__xludf.dummyfunction("""COMPUTED_VALUE"""),"Роман")</f>
        <v>Роман</v>
      </c>
      <c r="AG20" s="10" t="str">
        <f aca="false">IFERROR(__xludf.dummyfunction("""COMPUTED_VALUE"""),"Юрьевич ")</f>
        <v>Юрьевич </v>
      </c>
      <c r="AH20" s="4"/>
      <c r="AI20" s="4"/>
      <c r="AJ20" s="4"/>
      <c r="AK20" s="4"/>
    </row>
    <row r="21" customFormat="false" ht="15.75" hidden="false" customHeight="false" outlineLevel="0" collapsed="false">
      <c r="A21" s="10" t="str">
        <f aca="false">IFERROR(__xludf.dummyfunction("""COMPUTED_VALUE"""),"2023-ГАЗ-20")</f>
        <v>2023-ГАЗ-20</v>
      </c>
      <c r="B21" s="10" t="str">
        <f aca="false">IFERROR(__xludf.dummyfunction("""COMPUTED_VALUE"""),"20272-00")</f>
        <v>20272-00</v>
      </c>
      <c r="C21" s="10" t="str">
        <f aca="false">IFERROR(__xludf.dummyfunction("""COMPUTED_VALUE"""),"Вк-G4")</f>
        <v>Вк-G4</v>
      </c>
      <c r="D21" s="11" t="str">
        <f aca="false">IFERROR(__xludf.dummyfunction("""COMPUTED_VALUE"""),"03505480")</f>
        <v>03505480</v>
      </c>
      <c r="E21" s="10" t="str">
        <f aca="false">IFERROR(__xludf.dummyfunction("""COMPUTED_VALUE"""),"Физ. лицо")</f>
        <v>Физ. лицо</v>
      </c>
      <c r="F21" s="12" t="n">
        <f aca="false">IFERROR(__xludf.dummyfunction("""COMPUTED_VALUE"""),45098.4569476157)</f>
        <v>45098.4569476157</v>
      </c>
      <c r="G21" s="13" t="n">
        <f aca="false">IFERROR(__xludf.dummyfunction("""COMPUTED_VALUE"""),48750)</f>
        <v>48750</v>
      </c>
      <c r="H21" s="10" t="str">
        <f aca="false">IFERROR(__xludf.dummyfunction("""COMPUTED_VALUE"""),"ГОСТ 8.324-2002")</f>
        <v>ГОСТ 8.324-2002</v>
      </c>
      <c r="I21" s="10" t="str">
        <f aca="false">IFERROR(__xludf.dummyfunction("""COMPUTED_VALUE"""),"Периодическая")</f>
        <v>Периодическая</v>
      </c>
      <c r="J21" s="10" t="str">
        <f aca="false">IFERROR(__xludf.dummyfunction("""COMPUTED_VALUE"""),"Пригоден")</f>
        <v>Пригоден</v>
      </c>
      <c r="K21" s="10" t="str">
        <f aca="false">IFERROR(__xludf.dummyfunction("""COMPUTED_VALUE"""),"")</f>
        <v/>
      </c>
      <c r="L21" s="10" t="str">
        <f aca="false">IFERROR(__xludf.dummyfunction("""COMPUTED_VALUE"""),"Соловьев Р.Ю.")</f>
        <v>Соловьев Р.Ю.</v>
      </c>
      <c r="M21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21" s="10"/>
      <c r="O21" s="10"/>
      <c r="P21" s="10"/>
      <c r="Q21" s="10"/>
      <c r="R21" s="10"/>
      <c r="S21" s="10"/>
      <c r="T21" s="10"/>
      <c r="U21" s="10" t="n">
        <f aca="false">IFERROR(__xludf.dummyfunction("""COMPUTED_VALUE"""),89)</f>
        <v>89</v>
      </c>
      <c r="V21" s="10" t="n">
        <f aca="false">IFERROR(__xludf.dummyfunction("""COMPUTED_VALUE"""),41)</f>
        <v>41</v>
      </c>
      <c r="W21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21" s="10" t="n">
        <f aca="false">IFERROR(__xludf.dummyfunction("""COMPUTED_VALUE"""),313741)</f>
        <v>313741</v>
      </c>
      <c r="Y21" s="10" t="str">
        <f aca="false">IFERROR(__xludf.dummyfunction("""COMPUTED_VALUE"""),"poverka@udmucs.ru")</f>
        <v>poverka@udmucs.ru</v>
      </c>
      <c r="Z21" s="10" t="str">
        <f aca="false">IFERROR(__xludf.dummyfunction("""COMPUTED_VALUE"""),"20272-00")</f>
        <v>20272-00</v>
      </c>
      <c r="AA21" s="12" t="n">
        <f aca="false">IFERROR(__xludf.dummyfunction("""COMPUTED_VALUE"""),45098.4569476157)</f>
        <v>45098.4569476157</v>
      </c>
      <c r="AB21" s="13" t="n">
        <f aca="false">IFERROR(__xludf.dummyfunction("""COMPUTED_VALUE"""),48750)</f>
        <v>48750</v>
      </c>
      <c r="AC21" s="10" t="str">
        <f aca="false">IFERROR(__xludf.dummyfunction("""COMPUTED_VALUE"""),"Вк-G4")</f>
        <v>Вк-G4</v>
      </c>
      <c r="AD21" s="10" t="str">
        <f aca="false">IFERROR(__xludf.dummyfunction("""COMPUTED_VALUE"""),"Годен")</f>
        <v>Годен</v>
      </c>
      <c r="AE21" s="10" t="str">
        <f aca="false">IFERROR(__xludf.dummyfunction("""COMPUTED_VALUE"""),"Соловьев")</f>
        <v>Соловьев</v>
      </c>
      <c r="AF21" s="10" t="str">
        <f aca="false">IFERROR(__xludf.dummyfunction("""COMPUTED_VALUE"""),"Роман")</f>
        <v>Роман</v>
      </c>
      <c r="AG21" s="10" t="str">
        <f aca="false">IFERROR(__xludf.dummyfunction("""COMPUTED_VALUE"""),"Юрьевич ")</f>
        <v>Юрьевич </v>
      </c>
      <c r="AH21" s="4"/>
      <c r="AI21" s="4"/>
      <c r="AJ21" s="4"/>
      <c r="AK21" s="4"/>
    </row>
    <row r="22" customFormat="false" ht="15.75" hidden="false" customHeight="false" outlineLevel="0" collapsed="false">
      <c r="A22" s="10" t="str">
        <f aca="false">IFERROR(__xludf.dummyfunction("""COMPUTED_VALUE"""),"2023-ГАЗ-21")</f>
        <v>2023-ГАЗ-21</v>
      </c>
      <c r="B22" s="10" t="str">
        <f aca="false">IFERROR(__xludf.dummyfunction("""COMPUTED_VALUE"""),"20272-00")</f>
        <v>20272-00</v>
      </c>
      <c r="C22" s="10" t="str">
        <f aca="false">IFERROR(__xludf.dummyfunction("""COMPUTED_VALUE"""),"ВК-G4")</f>
        <v>ВК-G4</v>
      </c>
      <c r="D22" s="11" t="str">
        <f aca="false">IFERROR(__xludf.dummyfunction("""COMPUTED_VALUE"""),"03505532")</f>
        <v>03505532</v>
      </c>
      <c r="E22" s="10" t="str">
        <f aca="false">IFERROR(__xludf.dummyfunction("""COMPUTED_VALUE"""),"Физ. лицо")</f>
        <v>Физ. лицо</v>
      </c>
      <c r="F22" s="12" t="n">
        <f aca="false">IFERROR(__xludf.dummyfunction("""COMPUTED_VALUE"""),45098.4642652777)</f>
        <v>45098.4642652777</v>
      </c>
      <c r="G22" s="13" t="n">
        <f aca="false">IFERROR(__xludf.dummyfunction("""COMPUTED_VALUE"""),48750)</f>
        <v>48750</v>
      </c>
      <c r="H22" s="10" t="str">
        <f aca="false">IFERROR(__xludf.dummyfunction("""COMPUTED_VALUE"""),"ГОСТ 8.324-2002")</f>
        <v>ГОСТ 8.324-2002</v>
      </c>
      <c r="I22" s="10" t="str">
        <f aca="false">IFERROR(__xludf.dummyfunction("""COMPUTED_VALUE"""),"Периодическая")</f>
        <v>Периодическая</v>
      </c>
      <c r="J22" s="10" t="str">
        <f aca="false">IFERROR(__xludf.dummyfunction("""COMPUTED_VALUE"""),"Пригоден")</f>
        <v>Пригоден</v>
      </c>
      <c r="K22" s="10" t="str">
        <f aca="false">IFERROR(__xludf.dummyfunction("""COMPUTED_VALUE"""),"")</f>
        <v/>
      </c>
      <c r="L22" s="10" t="str">
        <f aca="false">IFERROR(__xludf.dummyfunction("""COMPUTED_VALUE"""),"Соловьев Р.Ю.")</f>
        <v>Соловьев Р.Ю.</v>
      </c>
      <c r="M22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22" s="10"/>
      <c r="O22" s="10"/>
      <c r="P22" s="10"/>
      <c r="Q22" s="10"/>
      <c r="R22" s="10"/>
      <c r="S22" s="10"/>
      <c r="T22" s="10"/>
      <c r="U22" s="10" t="n">
        <f aca="false">IFERROR(__xludf.dummyfunction("""COMPUTED_VALUE"""),93)</f>
        <v>93</v>
      </c>
      <c r="V22" s="10" t="n">
        <f aca="false">IFERROR(__xludf.dummyfunction("""COMPUTED_VALUE"""),45)</f>
        <v>45</v>
      </c>
      <c r="W22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22" s="10" t="n">
        <f aca="false">IFERROR(__xludf.dummyfunction("""COMPUTED_VALUE"""),313741)</f>
        <v>313741</v>
      </c>
      <c r="Y22" s="10" t="str">
        <f aca="false">IFERROR(__xludf.dummyfunction("""COMPUTED_VALUE"""),"poverka@udmucs.ru")</f>
        <v>poverka@udmucs.ru</v>
      </c>
      <c r="Z22" s="10" t="str">
        <f aca="false">IFERROR(__xludf.dummyfunction("""COMPUTED_VALUE"""),"20272-00")</f>
        <v>20272-00</v>
      </c>
      <c r="AA22" s="12" t="n">
        <f aca="false">IFERROR(__xludf.dummyfunction("""COMPUTED_VALUE"""),45098.4642652777)</f>
        <v>45098.4642652777</v>
      </c>
      <c r="AB22" s="13" t="n">
        <f aca="false">IFERROR(__xludf.dummyfunction("""COMPUTED_VALUE"""),48750)</f>
        <v>48750</v>
      </c>
      <c r="AC22" s="10" t="str">
        <f aca="false">IFERROR(__xludf.dummyfunction("""COMPUTED_VALUE"""),"ВК-G4")</f>
        <v>ВК-G4</v>
      </c>
      <c r="AD22" s="10" t="str">
        <f aca="false">IFERROR(__xludf.dummyfunction("""COMPUTED_VALUE"""),"Годен")</f>
        <v>Годен</v>
      </c>
      <c r="AE22" s="10" t="str">
        <f aca="false">IFERROR(__xludf.dummyfunction("""COMPUTED_VALUE"""),"Соловьев")</f>
        <v>Соловьев</v>
      </c>
      <c r="AF22" s="10" t="str">
        <f aca="false">IFERROR(__xludf.dummyfunction("""COMPUTED_VALUE"""),"Роман")</f>
        <v>Роман</v>
      </c>
      <c r="AG22" s="10" t="str">
        <f aca="false">IFERROR(__xludf.dummyfunction("""COMPUTED_VALUE"""),"Юрьевич ")</f>
        <v>Юрьевич </v>
      </c>
      <c r="AH22" s="4"/>
      <c r="AI22" s="4"/>
      <c r="AJ22" s="4"/>
      <c r="AK22" s="4"/>
    </row>
    <row r="23" customFormat="false" ht="15.75" hidden="false" customHeight="false" outlineLevel="0" collapsed="false">
      <c r="A23" s="10" t="str">
        <f aca="false">IFERROR(__xludf.dummyfunction("""COMPUTED_VALUE"""),"2023-ГАЗ-22")</f>
        <v>2023-ГАЗ-22</v>
      </c>
      <c r="B23" s="10" t="str">
        <f aca="false">IFERROR(__xludf.dummyfunction("""COMPUTED_VALUE"""),"27702-07")</f>
        <v>27702-07</v>
      </c>
      <c r="C23" s="10" t="str">
        <f aca="false">IFERROR(__xludf.dummyfunction("""COMPUTED_VALUE"""),"СГБМ-1,6")</f>
        <v>СГБМ-1,6</v>
      </c>
      <c r="D23" s="11" t="str">
        <f aca="false">IFERROR(__xludf.dummyfunction("""COMPUTED_VALUE"""),"01742756")</f>
        <v>01742756</v>
      </c>
      <c r="E23" s="10" t="str">
        <f aca="false">IFERROR(__xludf.dummyfunction("""COMPUTED_VALUE"""),"Физ. лицо")</f>
        <v>Физ. лицо</v>
      </c>
      <c r="F23" s="12" t="n">
        <f aca="false">IFERROR(__xludf.dummyfunction("""COMPUTED_VALUE"""),45098.4879692245)</f>
        <v>45098.4879692245</v>
      </c>
      <c r="G23" s="13" t="n">
        <f aca="false">IFERROR(__xludf.dummyfunction("""COMPUTED_VALUE"""),49480)</f>
        <v>49480</v>
      </c>
      <c r="H23" s="10" t="str">
        <f aca="false">IFERROR(__xludf.dummyfunction("""COMPUTED_VALUE"""),"ПДЕК. 407292.001 И1")</f>
        <v>ПДЕК. 407292.001 И1</v>
      </c>
      <c r="I23" s="10" t="str">
        <f aca="false">IFERROR(__xludf.dummyfunction("""COMPUTED_VALUE"""),"Периодическая")</f>
        <v>Периодическая</v>
      </c>
      <c r="J23" s="10" t="str">
        <f aca="false">IFERROR(__xludf.dummyfunction("""COMPUTED_VALUE"""),"Пригоден")</f>
        <v>Пригоден</v>
      </c>
      <c r="K23" s="10" t="str">
        <f aca="false">IFERROR(__xludf.dummyfunction("""COMPUTED_VALUE"""),"")</f>
        <v/>
      </c>
      <c r="L23" s="10" t="str">
        <f aca="false">IFERROR(__xludf.dummyfunction("""COMPUTED_VALUE"""),"Соловьев Р.Ю.")</f>
        <v>Соловьев Р.Ю.</v>
      </c>
      <c r="M23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23" s="10"/>
      <c r="O23" s="10"/>
      <c r="P23" s="10"/>
      <c r="Q23" s="10"/>
      <c r="R23" s="10"/>
      <c r="S23" s="10"/>
      <c r="T23" s="10"/>
      <c r="U23" s="10" t="n">
        <f aca="false">IFERROR(__xludf.dummyfunction("""COMPUTED_VALUE"""),88)</f>
        <v>88</v>
      </c>
      <c r="V23" s="10" t="n">
        <f aca="false">IFERROR(__xludf.dummyfunction("""COMPUTED_VALUE"""),45)</f>
        <v>45</v>
      </c>
      <c r="W23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23" s="10" t="n">
        <f aca="false">IFERROR(__xludf.dummyfunction("""COMPUTED_VALUE"""),313741)</f>
        <v>313741</v>
      </c>
      <c r="Y23" s="10" t="str">
        <f aca="false">IFERROR(__xludf.dummyfunction("""COMPUTED_VALUE"""),"poverka@udmucs.ru")</f>
        <v>poverka@udmucs.ru</v>
      </c>
      <c r="Z23" s="10" t="str">
        <f aca="false">IFERROR(__xludf.dummyfunction("""COMPUTED_VALUE"""),"27702-07")</f>
        <v>27702-07</v>
      </c>
      <c r="AA23" s="12" t="n">
        <f aca="false">IFERROR(__xludf.dummyfunction("""COMPUTED_VALUE"""),45098.4879692245)</f>
        <v>45098.4879692245</v>
      </c>
      <c r="AB23" s="13" t="n">
        <f aca="false">IFERROR(__xludf.dummyfunction("""COMPUTED_VALUE"""),49480)</f>
        <v>49480</v>
      </c>
      <c r="AC23" s="10" t="str">
        <f aca="false">IFERROR(__xludf.dummyfunction("""COMPUTED_VALUE"""),"СГБМ-1,6")</f>
        <v>СГБМ-1,6</v>
      </c>
      <c r="AD23" s="10" t="str">
        <f aca="false">IFERROR(__xludf.dummyfunction("""COMPUTED_VALUE"""),"Годен")</f>
        <v>Годен</v>
      </c>
      <c r="AE23" s="10" t="str">
        <f aca="false">IFERROR(__xludf.dummyfunction("""COMPUTED_VALUE"""),"Соловьев")</f>
        <v>Соловьев</v>
      </c>
      <c r="AF23" s="10" t="str">
        <f aca="false">IFERROR(__xludf.dummyfunction("""COMPUTED_VALUE"""),"Роман")</f>
        <v>Роман</v>
      </c>
      <c r="AG23" s="10" t="str">
        <f aca="false">IFERROR(__xludf.dummyfunction("""COMPUTED_VALUE"""),"Юрьевич ")</f>
        <v>Юрьевич </v>
      </c>
      <c r="AH23" s="4"/>
      <c r="AI23" s="4"/>
      <c r="AJ23" s="4"/>
      <c r="AK23" s="4"/>
    </row>
    <row r="24" customFormat="false" ht="15.75" hidden="false" customHeight="false" outlineLevel="0" collapsed="false">
      <c r="A24" s="10" t="str">
        <f aca="false">IFERROR(__xludf.dummyfunction("""COMPUTED_VALUE"""),"2023-ГАЗ-23")</f>
        <v>2023-ГАЗ-23</v>
      </c>
      <c r="B24" s="10" t="str">
        <f aca="false">IFERROR(__xludf.dummyfunction("""COMPUTED_VALUE"""),"20272-00")</f>
        <v>20272-00</v>
      </c>
      <c r="C24" s="10" t="str">
        <f aca="false">IFERROR(__xludf.dummyfunction("""COMPUTED_VALUE"""),"Вк-G4Т")</f>
        <v>Вк-G4Т</v>
      </c>
      <c r="D24" s="11" t="str">
        <f aca="false">IFERROR(__xludf.dummyfunction("""COMPUTED_VALUE"""),"03374361")</f>
        <v>03374361</v>
      </c>
      <c r="E24" s="10" t="str">
        <f aca="false">IFERROR(__xludf.dummyfunction("""COMPUTED_VALUE"""),"Физ. лицо")</f>
        <v>Физ. лицо</v>
      </c>
      <c r="F24" s="12" t="n">
        <f aca="false">IFERROR(__xludf.dummyfunction("""COMPUTED_VALUE"""),45098.5263770949)</f>
        <v>45098.5263770949</v>
      </c>
      <c r="G24" s="13" t="n">
        <f aca="false">IFERROR(__xludf.dummyfunction("""COMPUTED_VALUE"""),48750)</f>
        <v>48750</v>
      </c>
      <c r="H24" s="10" t="str">
        <f aca="false">IFERROR(__xludf.dummyfunction("""COMPUTED_VALUE"""),"ГОСТ 8.324-2002")</f>
        <v>ГОСТ 8.324-2002</v>
      </c>
      <c r="I24" s="10" t="str">
        <f aca="false">IFERROR(__xludf.dummyfunction("""COMPUTED_VALUE"""),"Периодическая")</f>
        <v>Периодическая</v>
      </c>
      <c r="J24" s="10" t="str">
        <f aca="false">IFERROR(__xludf.dummyfunction("""COMPUTED_VALUE"""),"Пригоден")</f>
        <v>Пригоден</v>
      </c>
      <c r="K24" s="10" t="str">
        <f aca="false">IFERROR(__xludf.dummyfunction("""COMPUTED_VALUE"""),"")</f>
        <v/>
      </c>
      <c r="L24" s="10" t="str">
        <f aca="false">IFERROR(__xludf.dummyfunction("""COMPUTED_VALUE"""),"Соловьев Р.Ю.")</f>
        <v>Соловьев Р.Ю.</v>
      </c>
      <c r="M24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24" s="10"/>
      <c r="O24" s="10"/>
      <c r="P24" s="10"/>
      <c r="Q24" s="10"/>
      <c r="R24" s="10"/>
      <c r="S24" s="10"/>
      <c r="T24" s="10"/>
      <c r="U24" s="10" t="n">
        <f aca="false">IFERROR(__xludf.dummyfunction("""COMPUTED_VALUE"""),88)</f>
        <v>88</v>
      </c>
      <c r="V24" s="10" t="n">
        <f aca="false">IFERROR(__xludf.dummyfunction("""COMPUTED_VALUE"""),42)</f>
        <v>42</v>
      </c>
      <c r="W24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24" s="10" t="n">
        <f aca="false">IFERROR(__xludf.dummyfunction("""COMPUTED_VALUE"""),313741)</f>
        <v>313741</v>
      </c>
      <c r="Y24" s="10" t="str">
        <f aca="false">IFERROR(__xludf.dummyfunction("""COMPUTED_VALUE"""),"poverka@udmucs.ru")</f>
        <v>poverka@udmucs.ru</v>
      </c>
      <c r="Z24" s="10" t="str">
        <f aca="false">IFERROR(__xludf.dummyfunction("""COMPUTED_VALUE"""),"20272-00")</f>
        <v>20272-00</v>
      </c>
      <c r="AA24" s="12" t="n">
        <f aca="false">IFERROR(__xludf.dummyfunction("""COMPUTED_VALUE"""),45098.5263770949)</f>
        <v>45098.5263770949</v>
      </c>
      <c r="AB24" s="13" t="n">
        <f aca="false">IFERROR(__xludf.dummyfunction("""COMPUTED_VALUE"""),48750)</f>
        <v>48750</v>
      </c>
      <c r="AC24" s="10" t="str">
        <f aca="false">IFERROR(__xludf.dummyfunction("""COMPUTED_VALUE"""),"Вк-G4Т")</f>
        <v>Вк-G4Т</v>
      </c>
      <c r="AD24" s="10" t="str">
        <f aca="false">IFERROR(__xludf.dummyfunction("""COMPUTED_VALUE"""),"Годен")</f>
        <v>Годен</v>
      </c>
      <c r="AE24" s="10" t="str">
        <f aca="false">IFERROR(__xludf.dummyfunction("""COMPUTED_VALUE"""),"Соловьев")</f>
        <v>Соловьев</v>
      </c>
      <c r="AF24" s="10" t="str">
        <f aca="false">IFERROR(__xludf.dummyfunction("""COMPUTED_VALUE"""),"Роман")</f>
        <v>Роман</v>
      </c>
      <c r="AG24" s="10" t="str">
        <f aca="false">IFERROR(__xludf.dummyfunction("""COMPUTED_VALUE"""),"Юрьевич ")</f>
        <v>Юрьевич </v>
      </c>
      <c r="AH24" s="4"/>
      <c r="AI24" s="4"/>
      <c r="AJ24" s="4"/>
      <c r="AK24" s="4"/>
    </row>
    <row r="25" customFormat="false" ht="15.75" hidden="false" customHeight="false" outlineLevel="0" collapsed="false">
      <c r="A25" s="10" t="str">
        <f aca="false">IFERROR(__xludf.dummyfunction("""COMPUTED_VALUE"""),"2023-ГАЗ-24")</f>
        <v>2023-ГАЗ-24</v>
      </c>
      <c r="B25" s="10" t="str">
        <f aca="false">IFERROR(__xludf.dummyfunction("""COMPUTED_VALUE"""),"14665-95")</f>
        <v>14665-95</v>
      </c>
      <c r="C25" s="10" t="str">
        <f aca="false">IFERROR(__xludf.dummyfunction("""COMPUTED_VALUE"""),"G2,5РЛ")</f>
        <v>G2,5РЛ</v>
      </c>
      <c r="D25" s="11" t="n">
        <f aca="false">IFERROR(__xludf.dummyfunction("""COMPUTED_VALUE"""),693904)</f>
        <v>693904</v>
      </c>
      <c r="E25" s="10" t="str">
        <f aca="false">IFERROR(__xludf.dummyfunction("""COMPUTED_VALUE"""),"Физ. лицо")</f>
        <v>Физ. лицо</v>
      </c>
      <c r="F25" s="12" t="n">
        <f aca="false">IFERROR(__xludf.dummyfunction("""COMPUTED_VALUE"""),45098.557327905)</f>
        <v>45098.557327905</v>
      </c>
      <c r="G25" s="13" t="n">
        <f aca="false">IFERROR(__xludf.dummyfunction("""COMPUTED_VALUE"""),46924)</f>
        <v>46924</v>
      </c>
      <c r="H25" s="10" t="str">
        <f aca="false">IFERROR(__xludf.dummyfunction("""COMPUTED_VALUE"""),"562.М.Т.2.784.000 Д1")</f>
        <v>562.М.Т.2.784.000 Д1</v>
      </c>
      <c r="I25" s="10" t="str">
        <f aca="false">IFERROR(__xludf.dummyfunction("""COMPUTED_VALUE"""),"Периодическая")</f>
        <v>Периодическая</v>
      </c>
      <c r="J25" s="10" t="str">
        <f aca="false">IFERROR(__xludf.dummyfunction("""COMPUTED_VALUE"""),"Пригоден")</f>
        <v>Пригоден</v>
      </c>
      <c r="K25" s="10" t="str">
        <f aca="false">IFERROR(__xludf.dummyfunction("""COMPUTED_VALUE"""),"")</f>
        <v/>
      </c>
      <c r="L25" s="10" t="str">
        <f aca="false">IFERROR(__xludf.dummyfunction("""COMPUTED_VALUE"""),"Соловьев Р.Ю.")</f>
        <v>Соловьев Р.Ю.</v>
      </c>
      <c r="M25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25" s="10"/>
      <c r="O25" s="10"/>
      <c r="P25" s="10"/>
      <c r="Q25" s="10"/>
      <c r="R25" s="10"/>
      <c r="S25" s="10"/>
      <c r="T25" s="10"/>
      <c r="U25" s="10" t="n">
        <f aca="false">IFERROR(__xludf.dummyfunction("""COMPUTED_VALUE"""),92)</f>
        <v>92</v>
      </c>
      <c r="V25" s="10" t="n">
        <f aca="false">IFERROR(__xludf.dummyfunction("""COMPUTED_VALUE"""),40)</f>
        <v>40</v>
      </c>
      <c r="W25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25" s="10" t="n">
        <f aca="false">IFERROR(__xludf.dummyfunction("""COMPUTED_VALUE"""),313741)</f>
        <v>313741</v>
      </c>
      <c r="Y25" s="10" t="str">
        <f aca="false">IFERROR(__xludf.dummyfunction("""COMPUTED_VALUE"""),"poverka@udmucs.ru")</f>
        <v>poverka@udmucs.ru</v>
      </c>
      <c r="Z25" s="10" t="str">
        <f aca="false">IFERROR(__xludf.dummyfunction("""COMPUTED_VALUE"""),"14665-95")</f>
        <v>14665-95</v>
      </c>
      <c r="AA25" s="12" t="n">
        <f aca="false">IFERROR(__xludf.dummyfunction("""COMPUTED_VALUE"""),45098.557327905)</f>
        <v>45098.557327905</v>
      </c>
      <c r="AB25" s="13" t="n">
        <f aca="false">IFERROR(__xludf.dummyfunction("""COMPUTED_VALUE"""),46924)</f>
        <v>46924</v>
      </c>
      <c r="AC25" s="10" t="str">
        <f aca="false">IFERROR(__xludf.dummyfunction("""COMPUTED_VALUE"""),"G2,5РЛ")</f>
        <v>G2,5РЛ</v>
      </c>
      <c r="AD25" s="10" t="str">
        <f aca="false">IFERROR(__xludf.dummyfunction("""COMPUTED_VALUE"""),"Годен")</f>
        <v>Годен</v>
      </c>
      <c r="AE25" s="10" t="str">
        <f aca="false">IFERROR(__xludf.dummyfunction("""COMPUTED_VALUE"""),"Соловьев")</f>
        <v>Соловьев</v>
      </c>
      <c r="AF25" s="10" t="str">
        <f aca="false">IFERROR(__xludf.dummyfunction("""COMPUTED_VALUE"""),"Роман")</f>
        <v>Роман</v>
      </c>
      <c r="AG25" s="10" t="str">
        <f aca="false">IFERROR(__xludf.dummyfunction("""COMPUTED_VALUE"""),"Юрьевич ")</f>
        <v>Юрьевич </v>
      </c>
      <c r="AH25" s="4"/>
      <c r="AI25" s="4"/>
      <c r="AJ25" s="4"/>
      <c r="AK25" s="4"/>
    </row>
    <row r="26" customFormat="false" ht="15.75" hidden="false" customHeight="false" outlineLevel="0" collapsed="false">
      <c r="A26" s="10" t="str">
        <f aca="false">IFERROR(__xludf.dummyfunction("""COMPUTED_VALUE"""),"2023-ГАЗ-25")</f>
        <v>2023-ГАЗ-25</v>
      </c>
      <c r="B26" s="10" t="str">
        <f aca="false">IFERROR(__xludf.dummyfunction("""COMPUTED_VALUE"""),"14665-95")</f>
        <v>14665-95</v>
      </c>
      <c r="C26" s="10" t="str">
        <f aca="false">IFERROR(__xludf.dummyfunction("""COMPUTED_VALUE"""),"G2,5РЛ")</f>
        <v>G2,5РЛ</v>
      </c>
      <c r="D26" s="11" t="n">
        <f aca="false">IFERROR(__xludf.dummyfunction("""COMPUTED_VALUE"""),690010)</f>
        <v>690010</v>
      </c>
      <c r="E26" s="10" t="str">
        <f aca="false">IFERROR(__xludf.dummyfunction("""COMPUTED_VALUE"""),"Физ. лицо")</f>
        <v>Физ. лицо</v>
      </c>
      <c r="F26" s="12" t="n">
        <f aca="false">IFERROR(__xludf.dummyfunction("""COMPUTED_VALUE"""),45098.5666494328)</f>
        <v>45098.5666494328</v>
      </c>
      <c r="G26" s="13" t="n">
        <f aca="false">IFERROR(__xludf.dummyfunction("""COMPUTED_VALUE"""),46924)</f>
        <v>46924</v>
      </c>
      <c r="H26" s="10" t="str">
        <f aca="false">IFERROR(__xludf.dummyfunction("""COMPUTED_VALUE"""),"562.М.Т.2.784.000 Д1")</f>
        <v>562.М.Т.2.784.000 Д1</v>
      </c>
      <c r="I26" s="10" t="str">
        <f aca="false">IFERROR(__xludf.dummyfunction("""COMPUTED_VALUE"""),"Периодическая")</f>
        <v>Периодическая</v>
      </c>
      <c r="J26" s="10" t="str">
        <f aca="false">IFERROR(__xludf.dummyfunction("""COMPUTED_VALUE"""),"Пригоден")</f>
        <v>Пригоден</v>
      </c>
      <c r="K26" s="10" t="str">
        <f aca="false">IFERROR(__xludf.dummyfunction("""COMPUTED_VALUE"""),"")</f>
        <v/>
      </c>
      <c r="L26" s="10" t="str">
        <f aca="false">IFERROR(__xludf.dummyfunction("""COMPUTED_VALUE"""),"Соловьев Р.Ю.")</f>
        <v>Соловьев Р.Ю.</v>
      </c>
      <c r="M26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26" s="10"/>
      <c r="O26" s="10"/>
      <c r="P26" s="10"/>
      <c r="Q26" s="10"/>
      <c r="R26" s="10"/>
      <c r="S26" s="10"/>
      <c r="T26" s="10"/>
      <c r="U26" s="10" t="n">
        <f aca="false">IFERROR(__xludf.dummyfunction("""COMPUTED_VALUE"""),91)</f>
        <v>91</v>
      </c>
      <c r="V26" s="10" t="n">
        <f aca="false">IFERROR(__xludf.dummyfunction("""COMPUTED_VALUE"""),44)</f>
        <v>44</v>
      </c>
      <c r="W26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26" s="10" t="n">
        <f aca="false">IFERROR(__xludf.dummyfunction("""COMPUTED_VALUE"""),313741)</f>
        <v>313741</v>
      </c>
      <c r="Y26" s="10" t="str">
        <f aca="false">IFERROR(__xludf.dummyfunction("""COMPUTED_VALUE"""),"poverka@udmucs.ru")</f>
        <v>poverka@udmucs.ru</v>
      </c>
      <c r="Z26" s="10" t="str">
        <f aca="false">IFERROR(__xludf.dummyfunction("""COMPUTED_VALUE"""),"14665-95")</f>
        <v>14665-95</v>
      </c>
      <c r="AA26" s="12" t="n">
        <f aca="false">IFERROR(__xludf.dummyfunction("""COMPUTED_VALUE"""),45098.5666494328)</f>
        <v>45098.5666494328</v>
      </c>
      <c r="AB26" s="13" t="n">
        <f aca="false">IFERROR(__xludf.dummyfunction("""COMPUTED_VALUE"""),46924)</f>
        <v>46924</v>
      </c>
      <c r="AC26" s="10" t="str">
        <f aca="false">IFERROR(__xludf.dummyfunction("""COMPUTED_VALUE"""),"G2,5РЛ")</f>
        <v>G2,5РЛ</v>
      </c>
      <c r="AD26" s="10" t="str">
        <f aca="false">IFERROR(__xludf.dummyfunction("""COMPUTED_VALUE"""),"Годен")</f>
        <v>Годен</v>
      </c>
      <c r="AE26" s="10" t="str">
        <f aca="false">IFERROR(__xludf.dummyfunction("""COMPUTED_VALUE"""),"Соловьев")</f>
        <v>Соловьев</v>
      </c>
      <c r="AF26" s="10" t="str">
        <f aca="false">IFERROR(__xludf.dummyfunction("""COMPUTED_VALUE"""),"Роман")</f>
        <v>Роман</v>
      </c>
      <c r="AG26" s="10" t="str">
        <f aca="false">IFERROR(__xludf.dummyfunction("""COMPUTED_VALUE"""),"Юрьевич ")</f>
        <v>Юрьевич </v>
      </c>
      <c r="AH26" s="4"/>
      <c r="AI26" s="4"/>
      <c r="AJ26" s="4"/>
      <c r="AK26" s="4"/>
    </row>
    <row r="27" customFormat="false" ht="15.75" hidden="false" customHeight="false" outlineLevel="0" collapsed="false">
      <c r="A27" s="10" t="str">
        <f aca="false">IFERROR(__xludf.dummyfunction("""COMPUTED_VALUE"""),"2023-ГАЗ-26")</f>
        <v>2023-ГАЗ-26</v>
      </c>
      <c r="B27" s="10" t="str">
        <f aca="false">IFERROR(__xludf.dummyfunction("""COMPUTED_VALUE"""),"55358-13")</f>
        <v>55358-13</v>
      </c>
      <c r="C27" s="10" t="str">
        <f aca="false">IFERROR(__xludf.dummyfunction("""COMPUTED_VALUE"""),"СГМН-1 G6")</f>
        <v>СГМН-1 G6</v>
      </c>
      <c r="D27" s="11" t="n">
        <f aca="false">IFERROR(__xludf.dummyfunction("""COMPUTED_VALUE"""),5003217)</f>
        <v>5003217</v>
      </c>
      <c r="E27" s="10" t="str">
        <f aca="false">IFERROR(__xludf.dummyfunction("""COMPUTED_VALUE"""),"Физ. лицо")</f>
        <v>Физ. лицо</v>
      </c>
      <c r="F27" s="12" t="n">
        <f aca="false">IFERROR(__xludf.dummyfunction("""COMPUTED_VALUE"""),45099.4002590856)</f>
        <v>45099.4002590856</v>
      </c>
      <c r="G27" s="13" t="n">
        <f aca="false">IFERROR(__xludf.dummyfunction("""COMPUTED_VALUE"""),48020)</f>
        <v>48020</v>
      </c>
      <c r="H27" s="10" t="str">
        <f aca="false">IFERROR(__xludf.dummyfunction("""COMPUTED_VALUE"""),"ГОСТ 8.324-2002")</f>
        <v>ГОСТ 8.324-2002</v>
      </c>
      <c r="I27" s="10" t="str">
        <f aca="false">IFERROR(__xludf.dummyfunction("""COMPUTED_VALUE"""),"Периодическая")</f>
        <v>Периодическая</v>
      </c>
      <c r="J27" s="10" t="str">
        <f aca="false">IFERROR(__xludf.dummyfunction("""COMPUTED_VALUE"""),"Пригоден")</f>
        <v>Пригоден</v>
      </c>
      <c r="K27" s="10" t="str">
        <f aca="false">IFERROR(__xludf.dummyfunction("""COMPUTED_VALUE"""),"")</f>
        <v/>
      </c>
      <c r="L27" s="10" t="str">
        <f aca="false">IFERROR(__xludf.dummyfunction("""COMPUTED_VALUE"""),"Соловьев Р.Ю.")</f>
        <v>Соловьев Р.Ю.</v>
      </c>
      <c r="M27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27" s="10"/>
      <c r="O27" s="10"/>
      <c r="P27" s="10"/>
      <c r="Q27" s="10"/>
      <c r="R27" s="10"/>
      <c r="S27" s="10"/>
      <c r="T27" s="10"/>
      <c r="U27" s="10" t="n">
        <f aca="false">IFERROR(__xludf.dummyfunction("""COMPUTED_VALUE"""),90)</f>
        <v>90</v>
      </c>
      <c r="V27" s="10" t="n">
        <f aca="false">IFERROR(__xludf.dummyfunction("""COMPUTED_VALUE"""),40)</f>
        <v>40</v>
      </c>
      <c r="W27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27" s="10" t="n">
        <f aca="false">IFERROR(__xludf.dummyfunction("""COMPUTED_VALUE"""),313741)</f>
        <v>313741</v>
      </c>
      <c r="Y27" s="10" t="str">
        <f aca="false">IFERROR(__xludf.dummyfunction("""COMPUTED_VALUE"""),"poverka@udmucs.ru")</f>
        <v>poverka@udmucs.ru</v>
      </c>
      <c r="Z27" s="10" t="str">
        <f aca="false">IFERROR(__xludf.dummyfunction("""COMPUTED_VALUE"""),"55358-13")</f>
        <v>55358-13</v>
      </c>
      <c r="AA27" s="12" t="n">
        <f aca="false">IFERROR(__xludf.dummyfunction("""COMPUTED_VALUE"""),45099.4002590856)</f>
        <v>45099.4002590856</v>
      </c>
      <c r="AB27" s="13" t="n">
        <f aca="false">IFERROR(__xludf.dummyfunction("""COMPUTED_VALUE"""),48020)</f>
        <v>48020</v>
      </c>
      <c r="AC27" s="10" t="str">
        <f aca="false">IFERROR(__xludf.dummyfunction("""COMPUTED_VALUE"""),"СГМН-1 G6")</f>
        <v>СГМН-1 G6</v>
      </c>
      <c r="AD27" s="10" t="str">
        <f aca="false">IFERROR(__xludf.dummyfunction("""COMPUTED_VALUE"""),"Годен")</f>
        <v>Годен</v>
      </c>
      <c r="AE27" s="10" t="str">
        <f aca="false">IFERROR(__xludf.dummyfunction("""COMPUTED_VALUE"""),"Соловьев")</f>
        <v>Соловьев</v>
      </c>
      <c r="AF27" s="10" t="str">
        <f aca="false">IFERROR(__xludf.dummyfunction("""COMPUTED_VALUE"""),"Роман")</f>
        <v>Роман</v>
      </c>
      <c r="AG27" s="10" t="str">
        <f aca="false">IFERROR(__xludf.dummyfunction("""COMPUTED_VALUE"""),"Юрьевич ")</f>
        <v>Юрьевич </v>
      </c>
      <c r="AH27" s="4"/>
      <c r="AI27" s="4"/>
      <c r="AJ27" s="4"/>
      <c r="AK27" s="4"/>
    </row>
    <row r="28" customFormat="false" ht="15.75" hidden="false" customHeight="false" outlineLevel="0" collapsed="false">
      <c r="A28" s="10" t="str">
        <f aca="false">IFERROR(__xludf.dummyfunction("""COMPUTED_VALUE"""),"2023-ГАЗ-27")</f>
        <v>2023-ГАЗ-27</v>
      </c>
      <c r="B28" s="10" t="str">
        <f aca="false">IFERROR(__xludf.dummyfunction("""COMPUTED_VALUE"""),"22112-01")</f>
        <v>22112-01</v>
      </c>
      <c r="C28" s="10" t="str">
        <f aca="false">IFERROR(__xludf.dummyfunction("""COMPUTED_VALUE"""),"СГБ G4")</f>
        <v>СГБ G4</v>
      </c>
      <c r="D28" s="11" t="n">
        <f aca="false">IFERROR(__xludf.dummyfunction("""COMPUTED_VALUE"""),70507)</f>
        <v>70507</v>
      </c>
      <c r="E28" s="10" t="str">
        <f aca="false">IFERROR(__xludf.dummyfunction("""COMPUTED_VALUE"""),"Физ. лицо")</f>
        <v>Физ. лицо</v>
      </c>
      <c r="F28" s="12" t="n">
        <f aca="false">IFERROR(__xludf.dummyfunction("""COMPUTED_VALUE"""),45099.4451833449)</f>
        <v>45099.4451833449</v>
      </c>
      <c r="G28" s="13" t="n">
        <f aca="false">IFERROR(__xludf.dummyfunction("""COMPUTED_VALUE"""),48751)</f>
        <v>48751</v>
      </c>
      <c r="H28" s="10" t="str">
        <f aca="false">IFERROR(__xludf.dummyfunction("""COMPUTED_VALUE"""),"СЯМИ 407 274-287 РЭ")</f>
        <v>СЯМИ 407 274-287 РЭ</v>
      </c>
      <c r="I28" s="10" t="str">
        <f aca="false">IFERROR(__xludf.dummyfunction("""COMPUTED_VALUE"""),"Периодическая")</f>
        <v>Периодическая</v>
      </c>
      <c r="J28" s="10" t="str">
        <f aca="false">IFERROR(__xludf.dummyfunction("""COMPUTED_VALUE"""),"Пригоден")</f>
        <v>Пригоден</v>
      </c>
      <c r="K28" s="10" t="str">
        <f aca="false">IFERROR(__xludf.dummyfunction("""COMPUTED_VALUE"""),"")</f>
        <v/>
      </c>
      <c r="L28" s="10" t="str">
        <f aca="false">IFERROR(__xludf.dummyfunction("""COMPUTED_VALUE"""),"Соловьев Р.Ю.")</f>
        <v>Соловьев Р.Ю.</v>
      </c>
      <c r="M28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28" s="10"/>
      <c r="O28" s="10"/>
      <c r="P28" s="10"/>
      <c r="Q28" s="10"/>
      <c r="R28" s="10"/>
      <c r="S28" s="10"/>
      <c r="T28" s="10"/>
      <c r="U28" s="10" t="n">
        <f aca="false">IFERROR(__xludf.dummyfunction("""COMPUTED_VALUE"""),91)</f>
        <v>91</v>
      </c>
      <c r="V28" s="10" t="n">
        <f aca="false">IFERROR(__xludf.dummyfunction("""COMPUTED_VALUE"""),40)</f>
        <v>40</v>
      </c>
      <c r="W28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28" s="10" t="n">
        <f aca="false">IFERROR(__xludf.dummyfunction("""COMPUTED_VALUE"""),313741)</f>
        <v>313741</v>
      </c>
      <c r="Y28" s="10" t="str">
        <f aca="false">IFERROR(__xludf.dummyfunction("""COMPUTED_VALUE"""),"poverka@udmucs.ru")</f>
        <v>poverka@udmucs.ru</v>
      </c>
      <c r="Z28" s="10" t="str">
        <f aca="false">IFERROR(__xludf.dummyfunction("""COMPUTED_VALUE"""),"22112-01")</f>
        <v>22112-01</v>
      </c>
      <c r="AA28" s="12" t="n">
        <f aca="false">IFERROR(__xludf.dummyfunction("""COMPUTED_VALUE"""),45099.4451833449)</f>
        <v>45099.4451833449</v>
      </c>
      <c r="AB28" s="13" t="n">
        <f aca="false">IFERROR(__xludf.dummyfunction("""COMPUTED_VALUE"""),48751)</f>
        <v>48751</v>
      </c>
      <c r="AC28" s="10" t="str">
        <f aca="false">IFERROR(__xludf.dummyfunction("""COMPUTED_VALUE"""),"СГБ G4")</f>
        <v>СГБ G4</v>
      </c>
      <c r="AD28" s="10" t="str">
        <f aca="false">IFERROR(__xludf.dummyfunction("""COMPUTED_VALUE"""),"Годен")</f>
        <v>Годен</v>
      </c>
      <c r="AE28" s="10" t="str">
        <f aca="false">IFERROR(__xludf.dummyfunction("""COMPUTED_VALUE"""),"Соловьев")</f>
        <v>Соловьев</v>
      </c>
      <c r="AF28" s="10" t="str">
        <f aca="false">IFERROR(__xludf.dummyfunction("""COMPUTED_VALUE"""),"Роман")</f>
        <v>Роман</v>
      </c>
      <c r="AG28" s="10" t="str">
        <f aca="false">IFERROR(__xludf.dummyfunction("""COMPUTED_VALUE"""),"Юрьевич ")</f>
        <v>Юрьевич </v>
      </c>
      <c r="AH28" s="4"/>
      <c r="AI28" s="4"/>
      <c r="AJ28" s="4"/>
      <c r="AK28" s="4"/>
    </row>
    <row r="29" customFormat="false" ht="15.75" hidden="false" customHeight="false" outlineLevel="0" collapsed="false">
      <c r="A29" s="10" t="str">
        <f aca="false">IFERROR(__xludf.dummyfunction("""COMPUTED_VALUE"""),"2023-ГАЗ-28")</f>
        <v>2023-ГАЗ-28</v>
      </c>
      <c r="B29" s="10" t="str">
        <f aca="false">IFERROR(__xludf.dummyfunction("""COMPUTED_VALUE"""),"19144-10")</f>
        <v>19144-10</v>
      </c>
      <c r="C29" s="10" t="str">
        <f aca="false">IFERROR(__xludf.dummyfunction("""COMPUTED_VALUE"""),"СГК G4")</f>
        <v>СГК G4</v>
      </c>
      <c r="D29" s="11" t="n">
        <f aca="false">IFERROR(__xludf.dummyfunction("""COMPUTED_VALUE"""),883411)</f>
        <v>883411</v>
      </c>
      <c r="E29" s="10" t="str">
        <f aca="false">IFERROR(__xludf.dummyfunction("""COMPUTED_VALUE"""),"Физ. лицо")</f>
        <v>Физ. лицо</v>
      </c>
      <c r="F29" s="12" t="n">
        <f aca="false">IFERROR(__xludf.dummyfunction("""COMPUTED_VALUE"""),45099.4544008333)</f>
        <v>45099.4544008333</v>
      </c>
      <c r="G29" s="13" t="n">
        <f aca="false">IFERROR(__xludf.dummyfunction("""COMPUTED_VALUE"""),48751)</f>
        <v>48751</v>
      </c>
      <c r="H29" s="10" t="str">
        <f aca="false">IFERROR(__xludf.dummyfunction("""COMPUTED_VALUE"""),"РГДИ 407269.001 МП")</f>
        <v>РГДИ 407269.001 МП</v>
      </c>
      <c r="I29" s="10" t="str">
        <f aca="false">IFERROR(__xludf.dummyfunction("""COMPUTED_VALUE"""),"Периодическая")</f>
        <v>Периодическая</v>
      </c>
      <c r="J29" s="10" t="str">
        <f aca="false">IFERROR(__xludf.dummyfunction("""COMPUTED_VALUE"""),"Пригоден")</f>
        <v>Пригоден</v>
      </c>
      <c r="K29" s="10" t="str">
        <f aca="false">IFERROR(__xludf.dummyfunction("""COMPUTED_VALUE"""),"")</f>
        <v/>
      </c>
      <c r="L29" s="10" t="str">
        <f aca="false">IFERROR(__xludf.dummyfunction("""COMPUTED_VALUE"""),"Соловьев Р.Ю.")</f>
        <v>Соловьев Р.Ю.</v>
      </c>
      <c r="M29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29" s="10"/>
      <c r="O29" s="10"/>
      <c r="P29" s="10"/>
      <c r="Q29" s="10"/>
      <c r="R29" s="10"/>
      <c r="S29" s="10"/>
      <c r="T29" s="10"/>
      <c r="U29" s="10" t="n">
        <f aca="false">IFERROR(__xludf.dummyfunction("""COMPUTED_VALUE"""),89)</f>
        <v>89</v>
      </c>
      <c r="V29" s="10" t="n">
        <f aca="false">IFERROR(__xludf.dummyfunction("""COMPUTED_VALUE"""),47)</f>
        <v>47</v>
      </c>
      <c r="W29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29" s="10" t="n">
        <f aca="false">IFERROR(__xludf.dummyfunction("""COMPUTED_VALUE"""),313741)</f>
        <v>313741</v>
      </c>
      <c r="Y29" s="10" t="str">
        <f aca="false">IFERROR(__xludf.dummyfunction("""COMPUTED_VALUE"""),"poverka@udmucs.ru")</f>
        <v>poverka@udmucs.ru</v>
      </c>
      <c r="Z29" s="10" t="str">
        <f aca="false">IFERROR(__xludf.dummyfunction("""COMPUTED_VALUE"""),"19144-10")</f>
        <v>19144-10</v>
      </c>
      <c r="AA29" s="12" t="n">
        <f aca="false">IFERROR(__xludf.dummyfunction("""COMPUTED_VALUE"""),45099.4544008333)</f>
        <v>45099.4544008333</v>
      </c>
      <c r="AB29" s="13" t="n">
        <f aca="false">IFERROR(__xludf.dummyfunction("""COMPUTED_VALUE"""),48751)</f>
        <v>48751</v>
      </c>
      <c r="AC29" s="10" t="str">
        <f aca="false">IFERROR(__xludf.dummyfunction("""COMPUTED_VALUE"""),"СГК G4")</f>
        <v>СГК G4</v>
      </c>
      <c r="AD29" s="10" t="str">
        <f aca="false">IFERROR(__xludf.dummyfunction("""COMPUTED_VALUE"""),"Годен")</f>
        <v>Годен</v>
      </c>
      <c r="AE29" s="10" t="str">
        <f aca="false">IFERROR(__xludf.dummyfunction("""COMPUTED_VALUE"""),"Соловьев")</f>
        <v>Соловьев</v>
      </c>
      <c r="AF29" s="10" t="str">
        <f aca="false">IFERROR(__xludf.dummyfunction("""COMPUTED_VALUE"""),"Роман")</f>
        <v>Роман</v>
      </c>
      <c r="AG29" s="10" t="str">
        <f aca="false">IFERROR(__xludf.dummyfunction("""COMPUTED_VALUE"""),"Юрьевич ")</f>
        <v>Юрьевич </v>
      </c>
      <c r="AH29" s="4"/>
      <c r="AI29" s="4"/>
      <c r="AJ29" s="4"/>
      <c r="AK29" s="4"/>
    </row>
    <row r="30" customFormat="false" ht="15.75" hidden="false" customHeight="false" outlineLevel="0" collapsed="false">
      <c r="A30" s="10" t="str">
        <f aca="false">IFERROR(__xludf.dummyfunction("""COMPUTED_VALUE"""),"2023-ГАЗ-29")</f>
        <v>2023-ГАЗ-29</v>
      </c>
      <c r="B30" s="10" t="str">
        <f aca="false">IFERROR(__xludf.dummyfunction("""COMPUTED_VALUE"""),"49886-12")</f>
        <v>49886-12</v>
      </c>
      <c r="C30" s="10" t="str">
        <f aca="false">IFERROR(__xludf.dummyfunction("""COMPUTED_VALUE"""),"СГР4, Тритон-газ")</f>
        <v>СГР4, Тритон-газ</v>
      </c>
      <c r="D30" s="11" t="str">
        <f aca="false">IFERROR(__xludf.dummyfunction("""COMPUTED_VALUE"""),"576025-14")</f>
        <v>576025-14</v>
      </c>
      <c r="E30" s="10" t="str">
        <f aca="false">IFERROR(__xludf.dummyfunction("""COMPUTED_VALUE"""),"Физ. лицо")</f>
        <v>Физ. лицо</v>
      </c>
      <c r="F30" s="12" t="n">
        <f aca="false">IFERROR(__xludf.dummyfunction("""COMPUTED_VALUE"""),45099.4946694675)</f>
        <v>45099.4946694675</v>
      </c>
      <c r="G30" s="13" t="n">
        <f aca="false">IFERROR(__xludf.dummyfunction("""COMPUTED_VALUE"""),48020)</f>
        <v>48020</v>
      </c>
      <c r="H30" s="10" t="str">
        <f aca="false">IFERROR(__xludf.dummyfunction("""COMPUTED_VALUE"""),"ГОСТ 8.324-2002")</f>
        <v>ГОСТ 8.324-2002</v>
      </c>
      <c r="I30" s="10" t="str">
        <f aca="false">IFERROR(__xludf.dummyfunction("""COMPUTED_VALUE"""),"Периодическая")</f>
        <v>Периодическая</v>
      </c>
      <c r="J30" s="10" t="str">
        <f aca="false">IFERROR(__xludf.dummyfunction("""COMPUTED_VALUE"""),"Пригоден")</f>
        <v>Пригоден</v>
      </c>
      <c r="K30" s="10" t="str">
        <f aca="false">IFERROR(__xludf.dummyfunction("""COMPUTED_VALUE"""),"")</f>
        <v/>
      </c>
      <c r="L30" s="10" t="str">
        <f aca="false">IFERROR(__xludf.dummyfunction("""COMPUTED_VALUE"""),"Соловьев Р.Ю.")</f>
        <v>Соловьев Р.Ю.</v>
      </c>
      <c r="M30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30" s="10"/>
      <c r="O30" s="10"/>
      <c r="P30" s="10"/>
      <c r="Q30" s="10"/>
      <c r="R30" s="10"/>
      <c r="S30" s="10"/>
      <c r="T30" s="10"/>
      <c r="U30" s="10" t="n">
        <f aca="false">IFERROR(__xludf.dummyfunction("""COMPUTED_VALUE"""),92)</f>
        <v>92</v>
      </c>
      <c r="V30" s="10" t="n">
        <f aca="false">IFERROR(__xludf.dummyfunction("""COMPUTED_VALUE"""),44)</f>
        <v>44</v>
      </c>
      <c r="W30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30" s="10" t="n">
        <f aca="false">IFERROR(__xludf.dummyfunction("""COMPUTED_VALUE"""),313741)</f>
        <v>313741</v>
      </c>
      <c r="Y30" s="10" t="str">
        <f aca="false">IFERROR(__xludf.dummyfunction("""COMPUTED_VALUE"""),"poverka@udmucs.ru")</f>
        <v>poverka@udmucs.ru</v>
      </c>
      <c r="Z30" s="10" t="str">
        <f aca="false">IFERROR(__xludf.dummyfunction("""COMPUTED_VALUE"""),"49886-12")</f>
        <v>49886-12</v>
      </c>
      <c r="AA30" s="12" t="n">
        <f aca="false">IFERROR(__xludf.dummyfunction("""COMPUTED_VALUE"""),45099.4946694675)</f>
        <v>45099.4946694675</v>
      </c>
      <c r="AB30" s="13" t="n">
        <f aca="false">IFERROR(__xludf.dummyfunction("""COMPUTED_VALUE"""),48020)</f>
        <v>48020</v>
      </c>
      <c r="AC30" s="10" t="str">
        <f aca="false">IFERROR(__xludf.dummyfunction("""COMPUTED_VALUE"""),"СГР4, Тритон-газ")</f>
        <v>СГР4, Тритон-газ</v>
      </c>
      <c r="AD30" s="10" t="str">
        <f aca="false">IFERROR(__xludf.dummyfunction("""COMPUTED_VALUE"""),"Годен")</f>
        <v>Годен</v>
      </c>
      <c r="AE30" s="10" t="str">
        <f aca="false">IFERROR(__xludf.dummyfunction("""COMPUTED_VALUE"""),"Соловьев")</f>
        <v>Соловьев</v>
      </c>
      <c r="AF30" s="10" t="str">
        <f aca="false">IFERROR(__xludf.dummyfunction("""COMPUTED_VALUE"""),"Роман")</f>
        <v>Роман</v>
      </c>
      <c r="AG30" s="10" t="str">
        <f aca="false">IFERROR(__xludf.dummyfunction("""COMPUTED_VALUE"""),"Юрьевич ")</f>
        <v>Юрьевич </v>
      </c>
      <c r="AH30" s="4"/>
      <c r="AI30" s="4"/>
      <c r="AJ30" s="4"/>
      <c r="AK30" s="4"/>
    </row>
    <row r="31" customFormat="false" ht="15.75" hidden="false" customHeight="false" outlineLevel="0" collapsed="false">
      <c r="A31" s="10" t="str">
        <f aca="false">IFERROR(__xludf.dummyfunction("""COMPUTED_VALUE"""),"2023-ГАЗ-30")</f>
        <v>2023-ГАЗ-30</v>
      </c>
      <c r="B31" s="10" t="str">
        <f aca="false">IFERROR(__xludf.dummyfunction("""COMPUTED_VALUE"""),"20969-06")</f>
        <v>20969-06</v>
      </c>
      <c r="C31" s="10" t="str">
        <f aca="false">IFERROR(__xludf.dummyfunction("""COMPUTED_VALUE"""),"NPM-G4")</f>
        <v>NPM-G4</v>
      </c>
      <c r="D31" s="11" t="n">
        <f aca="false">IFERROR(__xludf.dummyfunction("""COMPUTED_VALUE"""),4799133)</f>
        <v>4799133</v>
      </c>
      <c r="E31" s="10" t="str">
        <f aca="false">IFERROR(__xludf.dummyfunction("""COMPUTED_VALUE"""),"Физ. лицо")</f>
        <v>Физ. лицо</v>
      </c>
      <c r="F31" s="12" t="n">
        <f aca="false">IFERROR(__xludf.dummyfunction("""COMPUTED_VALUE"""),45099.5239335185)</f>
        <v>45099.5239335185</v>
      </c>
      <c r="G31" s="13" t="n">
        <f aca="false">IFERROR(__xludf.dummyfunction("""COMPUTED_VALUE"""),48751)</f>
        <v>48751</v>
      </c>
      <c r="H31" s="10" t="str">
        <f aca="false">IFERROR(__xludf.dummyfunction("""COMPUTED_VALUE"""),"ГЮНК.407260.004МП")</f>
        <v>ГЮНК.407260.004МП</v>
      </c>
      <c r="I31" s="10" t="str">
        <f aca="false">IFERROR(__xludf.dummyfunction("""COMPUTED_VALUE"""),"Периодическая")</f>
        <v>Периодическая</v>
      </c>
      <c r="J31" s="10" t="str">
        <f aca="false">IFERROR(__xludf.dummyfunction("""COMPUTED_VALUE"""),"Пригоден")</f>
        <v>Пригоден</v>
      </c>
      <c r="K31" s="10" t="str">
        <f aca="false">IFERROR(__xludf.dummyfunction("""COMPUTED_VALUE"""),"")</f>
        <v/>
      </c>
      <c r="L31" s="10" t="str">
        <f aca="false">IFERROR(__xludf.dummyfunction("""COMPUTED_VALUE"""),"Соловьев Р.Ю.")</f>
        <v>Соловьев Р.Ю.</v>
      </c>
      <c r="M31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31" s="10"/>
      <c r="O31" s="10"/>
      <c r="P31" s="10"/>
      <c r="Q31" s="10"/>
      <c r="R31" s="10"/>
      <c r="S31" s="10"/>
      <c r="T31" s="10"/>
      <c r="U31" s="10" t="n">
        <f aca="false">IFERROR(__xludf.dummyfunction("""COMPUTED_VALUE"""),93)</f>
        <v>93</v>
      </c>
      <c r="V31" s="10" t="n">
        <f aca="false">IFERROR(__xludf.dummyfunction("""COMPUTED_VALUE"""),45)</f>
        <v>45</v>
      </c>
      <c r="W31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31" s="10" t="n">
        <f aca="false">IFERROR(__xludf.dummyfunction("""COMPUTED_VALUE"""),313741)</f>
        <v>313741</v>
      </c>
      <c r="Y31" s="10" t="str">
        <f aca="false">IFERROR(__xludf.dummyfunction("""COMPUTED_VALUE"""),"poverka@udmucs.ru")</f>
        <v>poverka@udmucs.ru</v>
      </c>
      <c r="Z31" s="10" t="str">
        <f aca="false">IFERROR(__xludf.dummyfunction("""COMPUTED_VALUE"""),"20969-06")</f>
        <v>20969-06</v>
      </c>
      <c r="AA31" s="12" t="n">
        <f aca="false">IFERROR(__xludf.dummyfunction("""COMPUTED_VALUE"""),45099.5239335185)</f>
        <v>45099.5239335185</v>
      </c>
      <c r="AB31" s="13" t="n">
        <f aca="false">IFERROR(__xludf.dummyfunction("""COMPUTED_VALUE"""),48751)</f>
        <v>48751</v>
      </c>
      <c r="AC31" s="10" t="str">
        <f aca="false">IFERROR(__xludf.dummyfunction("""COMPUTED_VALUE"""),"NPM-G4")</f>
        <v>NPM-G4</v>
      </c>
      <c r="AD31" s="10" t="str">
        <f aca="false">IFERROR(__xludf.dummyfunction("""COMPUTED_VALUE"""),"Годен")</f>
        <v>Годен</v>
      </c>
      <c r="AE31" s="10" t="str">
        <f aca="false">IFERROR(__xludf.dummyfunction("""COMPUTED_VALUE"""),"Соловьев")</f>
        <v>Соловьев</v>
      </c>
      <c r="AF31" s="10" t="str">
        <f aca="false">IFERROR(__xludf.dummyfunction("""COMPUTED_VALUE"""),"Роман")</f>
        <v>Роман</v>
      </c>
      <c r="AG31" s="10" t="str">
        <f aca="false">IFERROR(__xludf.dummyfunction("""COMPUTED_VALUE"""),"Юрьевич ")</f>
        <v>Юрьевич </v>
      </c>
      <c r="AH31" s="4"/>
      <c r="AI31" s="4"/>
      <c r="AJ31" s="4"/>
      <c r="AK31" s="4"/>
    </row>
    <row r="32" customFormat="false" ht="15.75" hidden="false" customHeight="false" outlineLevel="0" collapsed="false">
      <c r="A32" s="10" t="str">
        <f aca="false">IFERROR(__xludf.dummyfunction("""COMPUTED_VALUE"""),"2023-ГАЗ-31")</f>
        <v>2023-ГАЗ-31</v>
      </c>
      <c r="B32" s="10" t="str">
        <f aca="false">IFERROR(__xludf.dummyfunction("""COMPUTED_VALUE"""),"49886-12")</f>
        <v>49886-12</v>
      </c>
      <c r="C32" s="10" t="str">
        <f aca="false">IFERROR(__xludf.dummyfunction("""COMPUTED_VALUE"""),"СГР 4")</f>
        <v>СГР 4</v>
      </c>
      <c r="D32" s="11" t="str">
        <f aca="false">IFERROR(__xludf.dummyfunction("""COMPUTED_VALUE"""),"795342-15")</f>
        <v>795342-15</v>
      </c>
      <c r="E32" s="10" t="str">
        <f aca="false">IFERROR(__xludf.dummyfunction("""COMPUTED_VALUE"""),"Физ. лицо")</f>
        <v>Физ. лицо</v>
      </c>
      <c r="F32" s="12" t="n">
        <f aca="false">IFERROR(__xludf.dummyfunction("""COMPUTED_VALUE"""),45099.5792168402)</f>
        <v>45099.5792168402</v>
      </c>
      <c r="G32" s="13" t="n">
        <f aca="false">IFERROR(__xludf.dummyfunction("""COMPUTED_VALUE"""),48020)</f>
        <v>48020</v>
      </c>
      <c r="H32" s="10" t="str">
        <f aca="false">IFERROR(__xludf.dummyfunction("""COMPUTED_VALUE"""),"ГОСТ 8.324-2002")</f>
        <v>ГОСТ 8.324-2002</v>
      </c>
      <c r="I32" s="10" t="str">
        <f aca="false">IFERROR(__xludf.dummyfunction("""COMPUTED_VALUE"""),"Периодическая")</f>
        <v>Периодическая</v>
      </c>
      <c r="J32" s="10" t="str">
        <f aca="false">IFERROR(__xludf.dummyfunction("""COMPUTED_VALUE"""),"Пригоден")</f>
        <v>Пригоден</v>
      </c>
      <c r="K32" s="10" t="str">
        <f aca="false">IFERROR(__xludf.dummyfunction("""COMPUTED_VALUE"""),"")</f>
        <v/>
      </c>
      <c r="L32" s="10" t="str">
        <f aca="false">IFERROR(__xludf.dummyfunction("""COMPUTED_VALUE"""),"Соловьев Р.Ю.")</f>
        <v>Соловьев Р.Ю.</v>
      </c>
      <c r="M32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32" s="10"/>
      <c r="O32" s="10"/>
      <c r="P32" s="10"/>
      <c r="Q32" s="10"/>
      <c r="R32" s="10"/>
      <c r="S32" s="10"/>
      <c r="T32" s="10"/>
      <c r="U32" s="10" t="n">
        <f aca="false">IFERROR(__xludf.dummyfunction("""COMPUTED_VALUE"""),91)</f>
        <v>91</v>
      </c>
      <c r="V32" s="10" t="n">
        <f aca="false">IFERROR(__xludf.dummyfunction("""COMPUTED_VALUE"""),44)</f>
        <v>44</v>
      </c>
      <c r="W32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32" s="10" t="n">
        <f aca="false">IFERROR(__xludf.dummyfunction("""COMPUTED_VALUE"""),313741)</f>
        <v>313741</v>
      </c>
      <c r="Y32" s="10" t="str">
        <f aca="false">IFERROR(__xludf.dummyfunction("""COMPUTED_VALUE"""),"poverka@udmucs.ru")</f>
        <v>poverka@udmucs.ru</v>
      </c>
      <c r="Z32" s="10" t="str">
        <f aca="false">IFERROR(__xludf.dummyfunction("""COMPUTED_VALUE"""),"49886-12")</f>
        <v>49886-12</v>
      </c>
      <c r="AA32" s="12" t="n">
        <f aca="false">IFERROR(__xludf.dummyfunction("""COMPUTED_VALUE"""),45099.5792168402)</f>
        <v>45099.5792168402</v>
      </c>
      <c r="AB32" s="13" t="n">
        <f aca="false">IFERROR(__xludf.dummyfunction("""COMPUTED_VALUE"""),48020)</f>
        <v>48020</v>
      </c>
      <c r="AC32" s="10" t="str">
        <f aca="false">IFERROR(__xludf.dummyfunction("""COMPUTED_VALUE"""),"СГР 4")</f>
        <v>СГР 4</v>
      </c>
      <c r="AD32" s="10" t="str">
        <f aca="false">IFERROR(__xludf.dummyfunction("""COMPUTED_VALUE"""),"Годен")</f>
        <v>Годен</v>
      </c>
      <c r="AE32" s="10" t="str">
        <f aca="false">IFERROR(__xludf.dummyfunction("""COMPUTED_VALUE"""),"Соловьев")</f>
        <v>Соловьев</v>
      </c>
      <c r="AF32" s="10" t="str">
        <f aca="false">IFERROR(__xludf.dummyfunction("""COMPUTED_VALUE"""),"Роман")</f>
        <v>Роман</v>
      </c>
      <c r="AG32" s="10" t="str">
        <f aca="false">IFERROR(__xludf.dummyfunction("""COMPUTED_VALUE"""),"Юрьевич ")</f>
        <v>Юрьевич </v>
      </c>
      <c r="AH32" s="4"/>
      <c r="AI32" s="4"/>
      <c r="AJ32" s="4"/>
      <c r="AK32" s="4"/>
    </row>
    <row r="33" customFormat="false" ht="15.75" hidden="false" customHeight="false" outlineLevel="0" collapsed="false">
      <c r="A33" s="10" t="str">
        <f aca="false">IFERROR(__xludf.dummyfunction("""COMPUTED_VALUE"""),"2023-ГАЗ-32")</f>
        <v>2023-ГАЗ-32</v>
      </c>
      <c r="B33" s="10" t="str">
        <f aca="false">IFERROR(__xludf.dummyfunction("""COMPUTED_VALUE"""),"17644-08")</f>
        <v>17644-08</v>
      </c>
      <c r="C33" s="10" t="str">
        <f aca="false">IFERROR(__xludf.dummyfunction("""COMPUTED_VALUE"""),"G6 РЛ, NOVATOR")</f>
        <v>G6 РЛ, NOVATOR</v>
      </c>
      <c r="D33" s="11" t="n">
        <f aca="false">IFERROR(__xludf.dummyfunction("""COMPUTED_VALUE"""),1052685)</f>
        <v>1052685</v>
      </c>
      <c r="E33" s="10" t="str">
        <f aca="false">IFERROR(__xludf.dummyfunction("""COMPUTED_VALUE"""),"Физ. лицо")</f>
        <v>Физ. лицо</v>
      </c>
      <c r="F33" s="12" t="n">
        <f aca="false">IFERROR(__xludf.dummyfunction("""COMPUTED_VALUE"""),45099.6220406597)</f>
        <v>45099.6220406597</v>
      </c>
      <c r="G33" s="13" t="n">
        <f aca="false">IFERROR(__xludf.dummyfunction("""COMPUTED_VALUE"""),46925)</f>
        <v>46925</v>
      </c>
      <c r="H33" s="10" t="str">
        <f aca="false">IFERROR(__xludf.dummyfunction("""COMPUTED_VALUE"""),"562.М.Т2.784.000 Д1")</f>
        <v>562.М.Т2.784.000 Д1</v>
      </c>
      <c r="I33" s="10" t="str">
        <f aca="false">IFERROR(__xludf.dummyfunction("""COMPUTED_VALUE"""),"Периодическая")</f>
        <v>Периодическая</v>
      </c>
      <c r="J33" s="10" t="str">
        <f aca="false">IFERROR(__xludf.dummyfunction("""COMPUTED_VALUE"""),"Пригоден")</f>
        <v>Пригоден</v>
      </c>
      <c r="K33" s="10" t="str">
        <f aca="false">IFERROR(__xludf.dummyfunction("""COMPUTED_VALUE"""),"")</f>
        <v/>
      </c>
      <c r="L33" s="10" t="str">
        <f aca="false">IFERROR(__xludf.dummyfunction("""COMPUTED_VALUE"""),"Соловьев Р.Ю.")</f>
        <v>Соловьев Р.Ю.</v>
      </c>
      <c r="M33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33" s="10"/>
      <c r="O33" s="10"/>
      <c r="P33" s="10"/>
      <c r="Q33" s="10"/>
      <c r="R33" s="10"/>
      <c r="S33" s="10"/>
      <c r="T33" s="10"/>
      <c r="U33" s="10" t="n">
        <f aca="false">IFERROR(__xludf.dummyfunction("""COMPUTED_VALUE"""),91)</f>
        <v>91</v>
      </c>
      <c r="V33" s="10" t="n">
        <f aca="false">IFERROR(__xludf.dummyfunction("""COMPUTED_VALUE"""),43)</f>
        <v>43</v>
      </c>
      <c r="W33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33" s="10" t="n">
        <f aca="false">IFERROR(__xludf.dummyfunction("""COMPUTED_VALUE"""),313741)</f>
        <v>313741</v>
      </c>
      <c r="Y33" s="10" t="str">
        <f aca="false">IFERROR(__xludf.dummyfunction("""COMPUTED_VALUE"""),"poverka@udmucs.ru")</f>
        <v>poverka@udmucs.ru</v>
      </c>
      <c r="Z33" s="10" t="str">
        <f aca="false">IFERROR(__xludf.dummyfunction("""COMPUTED_VALUE"""),"17644-08")</f>
        <v>17644-08</v>
      </c>
      <c r="AA33" s="12" t="n">
        <f aca="false">IFERROR(__xludf.dummyfunction("""COMPUTED_VALUE"""),45099.6220406597)</f>
        <v>45099.6220406597</v>
      </c>
      <c r="AB33" s="13" t="n">
        <f aca="false">IFERROR(__xludf.dummyfunction("""COMPUTED_VALUE"""),46925)</f>
        <v>46925</v>
      </c>
      <c r="AC33" s="10" t="str">
        <f aca="false">IFERROR(__xludf.dummyfunction("""COMPUTED_VALUE"""),"G6 РЛ, NOVATOR")</f>
        <v>G6 РЛ, NOVATOR</v>
      </c>
      <c r="AD33" s="10" t="str">
        <f aca="false">IFERROR(__xludf.dummyfunction("""COMPUTED_VALUE"""),"Годен")</f>
        <v>Годен</v>
      </c>
      <c r="AE33" s="10" t="str">
        <f aca="false">IFERROR(__xludf.dummyfunction("""COMPUTED_VALUE"""),"Соловьев")</f>
        <v>Соловьев</v>
      </c>
      <c r="AF33" s="10" t="str">
        <f aca="false">IFERROR(__xludf.dummyfunction("""COMPUTED_VALUE"""),"Роман")</f>
        <v>Роман</v>
      </c>
      <c r="AG33" s="10" t="str">
        <f aca="false">IFERROR(__xludf.dummyfunction("""COMPUTED_VALUE"""),"Юрьевич ")</f>
        <v>Юрьевич </v>
      </c>
      <c r="AH33" s="4"/>
      <c r="AI33" s="4"/>
      <c r="AJ33" s="4"/>
      <c r="AK33" s="4"/>
    </row>
    <row r="34" customFormat="false" ht="15.75" hidden="false" customHeight="false" outlineLevel="0" collapsed="false">
      <c r="A34" s="10" t="str">
        <f aca="false">IFERROR(__xludf.dummyfunction("""COMPUTED_VALUE"""),"2023-ГАЗ-33")</f>
        <v>2023-ГАЗ-33</v>
      </c>
      <c r="B34" s="10" t="str">
        <f aca="false">IFERROR(__xludf.dummyfunction("""COMPUTED_VALUE"""),"49886-12")</f>
        <v>49886-12</v>
      </c>
      <c r="C34" s="10" t="str">
        <f aca="false">IFERROR(__xludf.dummyfunction("""COMPUTED_VALUE"""),"СРГ 6, ""Тритон-газ""")</f>
        <v>СРГ 6, "Тритон-газ"</v>
      </c>
      <c r="D34" s="11" t="str">
        <f aca="false">IFERROR(__xludf.dummyfunction("""COMPUTED_VALUE"""),"735356-15")</f>
        <v>735356-15</v>
      </c>
      <c r="E34" s="10" t="str">
        <f aca="false">IFERROR(__xludf.dummyfunction("""COMPUTED_VALUE"""),"Физ. лицо")</f>
        <v>Физ. лицо</v>
      </c>
      <c r="F34" s="12" t="n">
        <f aca="false">IFERROR(__xludf.dummyfunction("""COMPUTED_VALUE"""),45105.3721832523)</f>
        <v>45105.3721832523</v>
      </c>
      <c r="G34" s="13" t="n">
        <f aca="false">IFERROR(__xludf.dummyfunction("""COMPUTED_VALUE"""),48026)</f>
        <v>48026</v>
      </c>
      <c r="H34" s="10" t="str">
        <f aca="false">IFERROR(__xludf.dummyfunction("""COMPUTED_VALUE"""),"ГОСТ 8.324-2002")</f>
        <v>ГОСТ 8.324-2002</v>
      </c>
      <c r="I34" s="10" t="str">
        <f aca="false">IFERROR(__xludf.dummyfunction("""COMPUTED_VALUE"""),"Периодическая")</f>
        <v>Периодическая</v>
      </c>
      <c r="J34" s="10" t="str">
        <f aca="false">IFERROR(__xludf.dummyfunction("""COMPUTED_VALUE"""),"Пригоден")</f>
        <v>Пригоден</v>
      </c>
      <c r="K34" s="10" t="str">
        <f aca="false">IFERROR(__xludf.dummyfunction("""COMPUTED_VALUE"""),"")</f>
        <v/>
      </c>
      <c r="L34" s="10" t="str">
        <f aca="false">IFERROR(__xludf.dummyfunction("""COMPUTED_VALUE"""),"Соловьев Р.Ю.")</f>
        <v>Соловьев Р.Ю.</v>
      </c>
      <c r="M34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34" s="10"/>
      <c r="O34" s="10"/>
      <c r="P34" s="10"/>
      <c r="Q34" s="10"/>
      <c r="R34" s="10"/>
      <c r="S34" s="10"/>
      <c r="T34" s="10"/>
      <c r="U34" s="10" t="n">
        <f aca="false">IFERROR(__xludf.dummyfunction("""COMPUTED_VALUE"""),89)</f>
        <v>89</v>
      </c>
      <c r="V34" s="10" t="n">
        <f aca="false">IFERROR(__xludf.dummyfunction("""COMPUTED_VALUE"""),42)</f>
        <v>42</v>
      </c>
      <c r="W34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34" s="10" t="n">
        <f aca="false">IFERROR(__xludf.dummyfunction("""COMPUTED_VALUE"""),313741)</f>
        <v>313741</v>
      </c>
      <c r="Y34" s="10" t="str">
        <f aca="false">IFERROR(__xludf.dummyfunction("""COMPUTED_VALUE"""),"poverka@udmucs.ru")</f>
        <v>poverka@udmucs.ru</v>
      </c>
      <c r="Z34" s="10" t="str">
        <f aca="false">IFERROR(__xludf.dummyfunction("""COMPUTED_VALUE"""),"49886-12")</f>
        <v>49886-12</v>
      </c>
      <c r="AA34" s="12" t="n">
        <f aca="false">IFERROR(__xludf.dummyfunction("""COMPUTED_VALUE"""),45105.3721832523)</f>
        <v>45105.3721832523</v>
      </c>
      <c r="AB34" s="13" t="n">
        <f aca="false">IFERROR(__xludf.dummyfunction("""COMPUTED_VALUE"""),48026)</f>
        <v>48026</v>
      </c>
      <c r="AC34" s="10" t="str">
        <f aca="false">IFERROR(__xludf.dummyfunction("""COMPUTED_VALUE"""),"СРГ 6, ""Тритон-газ""")</f>
        <v>СРГ 6, "Тритон-газ"</v>
      </c>
      <c r="AD34" s="10" t="str">
        <f aca="false">IFERROR(__xludf.dummyfunction("""COMPUTED_VALUE"""),"Годен")</f>
        <v>Годен</v>
      </c>
      <c r="AE34" s="10" t="str">
        <f aca="false">IFERROR(__xludf.dummyfunction("""COMPUTED_VALUE"""),"Соловьев")</f>
        <v>Соловьев</v>
      </c>
      <c r="AF34" s="10" t="str">
        <f aca="false">IFERROR(__xludf.dummyfunction("""COMPUTED_VALUE"""),"Роман")</f>
        <v>Роман</v>
      </c>
      <c r="AG34" s="10" t="str">
        <f aca="false">IFERROR(__xludf.dummyfunction("""COMPUTED_VALUE"""),"Юрьевич ")</f>
        <v>Юрьевич </v>
      </c>
      <c r="AH34" s="4"/>
      <c r="AI34" s="4"/>
      <c r="AJ34" s="4"/>
      <c r="AK34" s="4"/>
    </row>
    <row r="35" customFormat="false" ht="15.75" hidden="false" customHeight="false" outlineLevel="0" collapsed="false">
      <c r="A35" s="10" t="str">
        <f aca="false">IFERROR(__xludf.dummyfunction("""COMPUTED_VALUE"""),"2023-ГАЗ-34")</f>
        <v>2023-ГАЗ-34</v>
      </c>
      <c r="B35" s="10" t="str">
        <f aca="false">IFERROR(__xludf.dummyfunction("""COMPUTED_VALUE"""),"19008-99")</f>
        <v>19008-99</v>
      </c>
      <c r="C35" s="10" t="str">
        <f aca="false">IFERROR(__xludf.dummyfunction("""COMPUTED_VALUE"""),"РЛ 6")</f>
        <v>РЛ 6</v>
      </c>
      <c r="D35" s="11" t="str">
        <f aca="false">IFERROR(__xludf.dummyfunction("""COMPUTED_VALUE"""),"02009")</f>
        <v>02009</v>
      </c>
      <c r="E35" s="10" t="str">
        <f aca="false">IFERROR(__xludf.dummyfunction("""COMPUTED_VALUE"""),"Физ. лицо")</f>
        <v>Физ. лицо</v>
      </c>
      <c r="F35" s="12" t="n">
        <f aca="false">IFERROR(__xludf.dummyfunction("""COMPUTED_VALUE"""),45105.4086915856)</f>
        <v>45105.4086915856</v>
      </c>
      <c r="G35" s="10" t="str">
        <f aca="false">IFERROR(__xludf.dummyfunction("""COMPUTED_VALUE"""),"-")</f>
        <v>-</v>
      </c>
      <c r="H35" s="10" t="str">
        <f aca="false">IFERROR(__xludf.dummyfunction("""COMPUTED_VALUE"""),"Инструкция 562.М.Т2.784.000 Д1")</f>
        <v>Инструкция 562.М.Т2.784.000 Д1</v>
      </c>
      <c r="I35" s="10" t="str">
        <f aca="false">IFERROR(__xludf.dummyfunction("""COMPUTED_VALUE"""),"Периодическая")</f>
        <v>Периодическая</v>
      </c>
      <c r="J35" s="10" t="str">
        <f aca="false">IFERROR(__xludf.dummyfunction("""COMPUTED_VALUE"""),"Не пригоден")</f>
        <v>Не пригоден</v>
      </c>
      <c r="K35" s="10" t="str">
        <f aca="false">IFERROR(__xludf.dummyfunction("""COMPUTED_VALUE"""),"Относительная погрешность счетчика не соответствует метрологическим требованиям,  установленным в описании типа СИ")</f>
        <v>Относительная погрешность счетчика не соответствует метрологическим требованиям,  установленным в описании типа СИ</v>
      </c>
      <c r="L35" s="10" t="str">
        <f aca="false">IFERROR(__xludf.dummyfunction("""COMPUTED_VALUE"""),"Соловьев Р.Ю.")</f>
        <v>Соловьев Р.Ю.</v>
      </c>
      <c r="M35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35" s="10"/>
      <c r="O35" s="10"/>
      <c r="P35" s="10"/>
      <c r="Q35" s="10"/>
      <c r="R35" s="10"/>
      <c r="S35" s="10"/>
      <c r="T35" s="10"/>
      <c r="U35" s="10" t="n">
        <f aca="false">IFERROR(__xludf.dummyfunction("""COMPUTED_VALUE"""),91)</f>
        <v>91</v>
      </c>
      <c r="V35" s="10" t="n">
        <f aca="false">IFERROR(__xludf.dummyfunction("""COMPUTED_VALUE"""),43)</f>
        <v>43</v>
      </c>
      <c r="W35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35" s="10" t="n">
        <f aca="false">IFERROR(__xludf.dummyfunction("""COMPUTED_VALUE"""),313741)</f>
        <v>313741</v>
      </c>
      <c r="Y35" s="10" t="str">
        <f aca="false">IFERROR(__xludf.dummyfunction("""COMPUTED_VALUE"""),"poverka@udmucs.ru")</f>
        <v>poverka@udmucs.ru</v>
      </c>
      <c r="Z35" s="10" t="str">
        <f aca="false">IFERROR(__xludf.dummyfunction("""COMPUTED_VALUE"""),"19008-99")</f>
        <v>19008-99</v>
      </c>
      <c r="AA35" s="12" t="n">
        <f aca="false">IFERROR(__xludf.dummyfunction("""COMPUTED_VALUE"""),45105.4086915856)</f>
        <v>45105.4086915856</v>
      </c>
      <c r="AB35" s="10" t="str">
        <f aca="false">IFERROR(__xludf.dummyfunction("""COMPUTED_VALUE"""),"-")</f>
        <v>-</v>
      </c>
      <c r="AC35" s="10" t="str">
        <f aca="false">IFERROR(__xludf.dummyfunction("""COMPUTED_VALUE"""),"РЛ 6")</f>
        <v>РЛ 6</v>
      </c>
      <c r="AD35" s="10" t="str">
        <f aca="false">IFERROR(__xludf.dummyfunction("""COMPUTED_VALUE"""),"Не годен")</f>
        <v>Не годен</v>
      </c>
      <c r="AE35" s="10" t="str">
        <f aca="false">IFERROR(__xludf.dummyfunction("""COMPUTED_VALUE"""),"Соловьев")</f>
        <v>Соловьев</v>
      </c>
      <c r="AF35" s="10" t="str">
        <f aca="false">IFERROR(__xludf.dummyfunction("""COMPUTED_VALUE"""),"Роман")</f>
        <v>Роман</v>
      </c>
      <c r="AG35" s="10" t="str">
        <f aca="false">IFERROR(__xludf.dummyfunction("""COMPUTED_VALUE"""),"Юрьевич ")</f>
        <v>Юрьевич </v>
      </c>
      <c r="AH35" s="4"/>
      <c r="AI35" s="4"/>
      <c r="AJ35" s="4"/>
      <c r="AK35" s="4"/>
    </row>
    <row r="36" customFormat="false" ht="15.75" hidden="false" customHeight="false" outlineLevel="0" collapsed="false">
      <c r="A36" s="10" t="str">
        <f aca="false">IFERROR(__xludf.dummyfunction("""COMPUTED_VALUE"""),"2023-ГАЗ-35")</f>
        <v>2023-ГАЗ-35</v>
      </c>
      <c r="B36" s="10" t="str">
        <f aca="false">IFERROR(__xludf.dummyfunction("""COMPUTED_VALUE"""),"43909-10")</f>
        <v>43909-10</v>
      </c>
      <c r="C36" s="10" t="str">
        <f aca="false">IFERROR(__xludf.dummyfunction("""COMPUTED_VALUE"""),"G4 "" Омега""")</f>
        <v>G4 " Омега"</v>
      </c>
      <c r="D36" s="11" t="n">
        <f aca="false">IFERROR(__xludf.dummyfunction("""COMPUTED_VALUE"""),1355545)</f>
        <v>1355545</v>
      </c>
      <c r="E36" s="10" t="str">
        <f aca="false">IFERROR(__xludf.dummyfunction("""COMPUTED_VALUE"""),"Физ. лицо")</f>
        <v>Физ. лицо</v>
      </c>
      <c r="F36" s="12" t="n">
        <f aca="false">IFERROR(__xludf.dummyfunction("""COMPUTED_VALUE"""),45105.4224356365)</f>
        <v>45105.4224356365</v>
      </c>
      <c r="G36" s="13" t="n">
        <f aca="false">IFERROR(__xludf.dummyfunction("""COMPUTED_VALUE"""),48026)</f>
        <v>48026</v>
      </c>
      <c r="H36" s="10" t="str">
        <f aca="false">IFERROR(__xludf.dummyfunction("""COMPUTED_VALUE"""),"ПМТК.407273. 001 МП")</f>
        <v>ПМТК.407273. 001 МП</v>
      </c>
      <c r="I36" s="10" t="str">
        <f aca="false">IFERROR(__xludf.dummyfunction("""COMPUTED_VALUE"""),"Периодическая")</f>
        <v>Периодическая</v>
      </c>
      <c r="J36" s="10" t="str">
        <f aca="false">IFERROR(__xludf.dummyfunction("""COMPUTED_VALUE"""),"Пригоден")</f>
        <v>Пригоден</v>
      </c>
      <c r="K36" s="10" t="str">
        <f aca="false">IFERROR(__xludf.dummyfunction("""COMPUTED_VALUE"""),"")</f>
        <v/>
      </c>
      <c r="L36" s="10" t="str">
        <f aca="false">IFERROR(__xludf.dummyfunction("""COMPUTED_VALUE"""),"Соловьев Р.Ю.")</f>
        <v>Соловьев Р.Ю.</v>
      </c>
      <c r="M36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36" s="10"/>
      <c r="O36" s="10"/>
      <c r="P36" s="10"/>
      <c r="Q36" s="10"/>
      <c r="R36" s="10"/>
      <c r="S36" s="10"/>
      <c r="T36" s="10"/>
      <c r="U36" s="10" t="n">
        <f aca="false">IFERROR(__xludf.dummyfunction("""COMPUTED_VALUE"""),90)</f>
        <v>90</v>
      </c>
      <c r="V36" s="10" t="n">
        <f aca="false">IFERROR(__xludf.dummyfunction("""COMPUTED_VALUE"""),40)</f>
        <v>40</v>
      </c>
      <c r="W36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36" s="10" t="n">
        <f aca="false">IFERROR(__xludf.dummyfunction("""COMPUTED_VALUE"""),313741)</f>
        <v>313741</v>
      </c>
      <c r="Y36" s="10" t="str">
        <f aca="false">IFERROR(__xludf.dummyfunction("""COMPUTED_VALUE"""),"poverka@udmucs.ru")</f>
        <v>poverka@udmucs.ru</v>
      </c>
      <c r="Z36" s="10" t="str">
        <f aca="false">IFERROR(__xludf.dummyfunction("""COMPUTED_VALUE"""),"43909-10")</f>
        <v>43909-10</v>
      </c>
      <c r="AA36" s="12" t="n">
        <f aca="false">IFERROR(__xludf.dummyfunction("""COMPUTED_VALUE"""),45105.4224356365)</f>
        <v>45105.4224356365</v>
      </c>
      <c r="AB36" s="13" t="n">
        <f aca="false">IFERROR(__xludf.dummyfunction("""COMPUTED_VALUE"""),48026)</f>
        <v>48026</v>
      </c>
      <c r="AC36" s="10" t="str">
        <f aca="false">IFERROR(__xludf.dummyfunction("""COMPUTED_VALUE"""),"G4 "" Омега""")</f>
        <v>G4 " Омега"</v>
      </c>
      <c r="AD36" s="10" t="str">
        <f aca="false">IFERROR(__xludf.dummyfunction("""COMPUTED_VALUE"""),"Годен")</f>
        <v>Годен</v>
      </c>
      <c r="AE36" s="10" t="str">
        <f aca="false">IFERROR(__xludf.dummyfunction("""COMPUTED_VALUE"""),"Соловьев")</f>
        <v>Соловьев</v>
      </c>
      <c r="AF36" s="10" t="str">
        <f aca="false">IFERROR(__xludf.dummyfunction("""COMPUTED_VALUE"""),"Роман")</f>
        <v>Роман</v>
      </c>
      <c r="AG36" s="10" t="str">
        <f aca="false">IFERROR(__xludf.dummyfunction("""COMPUTED_VALUE"""),"Юрьевич ")</f>
        <v>Юрьевич </v>
      </c>
      <c r="AH36" s="4"/>
      <c r="AI36" s="4"/>
      <c r="AJ36" s="4"/>
      <c r="AK36" s="4"/>
    </row>
    <row r="37" customFormat="false" ht="15.75" hidden="false" customHeight="false" outlineLevel="0" collapsed="false">
      <c r="A37" s="10" t="str">
        <f aca="false">IFERROR(__xludf.dummyfunction("""COMPUTED_VALUE"""),"2023-ГАЗ-36")</f>
        <v>2023-ГАЗ-36</v>
      </c>
      <c r="B37" s="10" t="str">
        <f aca="false">IFERROR(__xludf.dummyfunction("""COMPUTED_VALUE"""),"43909-10")</f>
        <v>43909-10</v>
      </c>
      <c r="C37" s="10" t="str">
        <f aca="false">IFERROR(__xludf.dummyfunction("""COMPUTED_VALUE"""),"G6, ""Омега""")</f>
        <v>G6, "Омега"</v>
      </c>
      <c r="D37" s="11" t="n">
        <f aca="false">IFERROR(__xludf.dummyfunction("""COMPUTED_VALUE"""),1329049)</f>
        <v>1329049</v>
      </c>
      <c r="E37" s="10" t="str">
        <f aca="false">IFERROR(__xludf.dummyfunction("""COMPUTED_VALUE"""),"Физ. лицо")</f>
        <v>Физ. лицо</v>
      </c>
      <c r="F37" s="12" t="n">
        <f aca="false">IFERROR(__xludf.dummyfunction("""COMPUTED_VALUE"""),45105.4567328472)</f>
        <v>45105.4567328472</v>
      </c>
      <c r="G37" s="13" t="n">
        <f aca="false">IFERROR(__xludf.dummyfunction("""COMPUTED_VALUE"""),48026)</f>
        <v>48026</v>
      </c>
      <c r="H37" s="10" t="str">
        <f aca="false">IFERROR(__xludf.dummyfunction("""COMPUTED_VALUE"""),"ПМТК.407273. 001 МП")</f>
        <v>ПМТК.407273. 001 МП</v>
      </c>
      <c r="I37" s="10" t="str">
        <f aca="false">IFERROR(__xludf.dummyfunction("""COMPUTED_VALUE"""),"Периодическая")</f>
        <v>Периодическая</v>
      </c>
      <c r="J37" s="10" t="str">
        <f aca="false">IFERROR(__xludf.dummyfunction("""COMPUTED_VALUE"""),"Пригоден")</f>
        <v>Пригоден</v>
      </c>
      <c r="K37" s="10" t="str">
        <f aca="false">IFERROR(__xludf.dummyfunction("""COMPUTED_VALUE"""),"")</f>
        <v/>
      </c>
      <c r="L37" s="10" t="str">
        <f aca="false">IFERROR(__xludf.dummyfunction("""COMPUTED_VALUE"""),"Соловьев Р.Ю.")</f>
        <v>Соловьев Р.Ю.</v>
      </c>
      <c r="M37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37" s="10"/>
      <c r="O37" s="10"/>
      <c r="P37" s="10"/>
      <c r="Q37" s="10"/>
      <c r="R37" s="10"/>
      <c r="S37" s="10"/>
      <c r="T37" s="10"/>
      <c r="U37" s="10" t="n">
        <f aca="false">IFERROR(__xludf.dummyfunction("""COMPUTED_VALUE"""),92)</f>
        <v>92</v>
      </c>
      <c r="V37" s="10" t="n">
        <f aca="false">IFERROR(__xludf.dummyfunction("""COMPUTED_VALUE"""),47)</f>
        <v>47</v>
      </c>
      <c r="W37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37" s="10" t="n">
        <f aca="false">IFERROR(__xludf.dummyfunction("""COMPUTED_VALUE"""),313741)</f>
        <v>313741</v>
      </c>
      <c r="Y37" s="10" t="str">
        <f aca="false">IFERROR(__xludf.dummyfunction("""COMPUTED_VALUE"""),"poverka@udmucs.ru")</f>
        <v>poverka@udmucs.ru</v>
      </c>
      <c r="Z37" s="10" t="str">
        <f aca="false">IFERROR(__xludf.dummyfunction("""COMPUTED_VALUE"""),"43909-10")</f>
        <v>43909-10</v>
      </c>
      <c r="AA37" s="12" t="n">
        <f aca="false">IFERROR(__xludf.dummyfunction("""COMPUTED_VALUE"""),45105.4567328472)</f>
        <v>45105.4567328472</v>
      </c>
      <c r="AB37" s="13" t="n">
        <f aca="false">IFERROR(__xludf.dummyfunction("""COMPUTED_VALUE"""),48026)</f>
        <v>48026</v>
      </c>
      <c r="AC37" s="10" t="str">
        <f aca="false">IFERROR(__xludf.dummyfunction("""COMPUTED_VALUE"""),"G6, ""Омега""")</f>
        <v>G6, "Омега"</v>
      </c>
      <c r="AD37" s="10" t="str">
        <f aca="false">IFERROR(__xludf.dummyfunction("""COMPUTED_VALUE"""),"Годен")</f>
        <v>Годен</v>
      </c>
      <c r="AE37" s="10" t="str">
        <f aca="false">IFERROR(__xludf.dummyfunction("""COMPUTED_VALUE"""),"Соловьев")</f>
        <v>Соловьев</v>
      </c>
      <c r="AF37" s="10" t="str">
        <f aca="false">IFERROR(__xludf.dummyfunction("""COMPUTED_VALUE"""),"Роман")</f>
        <v>Роман</v>
      </c>
      <c r="AG37" s="10" t="str">
        <f aca="false">IFERROR(__xludf.dummyfunction("""COMPUTED_VALUE"""),"Юрьевич ")</f>
        <v>Юрьевич </v>
      </c>
      <c r="AH37" s="4"/>
      <c r="AI37" s="4"/>
      <c r="AJ37" s="4"/>
      <c r="AK37" s="4"/>
    </row>
    <row r="38" customFormat="false" ht="15.75" hidden="false" customHeight="false" outlineLevel="0" collapsed="false">
      <c r="A38" s="10" t="str">
        <f aca="false">IFERROR(__xludf.dummyfunction("""COMPUTED_VALUE"""),"2023-ГАЗ-37")</f>
        <v>2023-ГАЗ-37</v>
      </c>
      <c r="B38" s="10" t="str">
        <f aca="false">IFERROR(__xludf.dummyfunction("""COMPUTED_VALUE"""),"14051-97")</f>
        <v>14051-97</v>
      </c>
      <c r="C38" s="10" t="str">
        <f aca="false">IFERROR(__xludf.dummyfunction("""COMPUTED_VALUE"""),"СГ-1, ""Бетар""")</f>
        <v>СГ-1, "Бетар"</v>
      </c>
      <c r="D38" s="11" t="str">
        <f aca="false">IFERROR(__xludf.dummyfunction("""COMPUTED_VALUE"""),"0139720")</f>
        <v>0139720</v>
      </c>
      <c r="E38" s="10" t="str">
        <f aca="false">IFERROR(__xludf.dummyfunction("""COMPUTED_VALUE"""),"Физ. лицо")</f>
        <v>Физ. лицо</v>
      </c>
      <c r="F38" s="12" t="n">
        <f aca="false">IFERROR(__xludf.dummyfunction("""COMPUTED_VALUE"""),45105.4831707291)</f>
        <v>45105.4831707291</v>
      </c>
      <c r="G38" s="13" t="n">
        <f aca="false">IFERROR(__xludf.dummyfunction("""COMPUTED_VALUE"""),46931)</f>
        <v>46931</v>
      </c>
      <c r="H38" s="10" t="str">
        <f aca="false">IFERROR(__xludf.dummyfunction("""COMPUTED_VALUE"""),"ЯШИУ.407279.001 И2")</f>
        <v>ЯШИУ.407279.001 И2</v>
      </c>
      <c r="I38" s="10" t="str">
        <f aca="false">IFERROR(__xludf.dummyfunction("""COMPUTED_VALUE"""),"Периодическая")</f>
        <v>Периодическая</v>
      </c>
      <c r="J38" s="10" t="str">
        <f aca="false">IFERROR(__xludf.dummyfunction("""COMPUTED_VALUE"""),"Пригоден")</f>
        <v>Пригоден</v>
      </c>
      <c r="K38" s="10" t="str">
        <f aca="false">IFERROR(__xludf.dummyfunction("""COMPUTED_VALUE"""),"")</f>
        <v/>
      </c>
      <c r="L38" s="10" t="str">
        <f aca="false">IFERROR(__xludf.dummyfunction("""COMPUTED_VALUE"""),"Соловьев Р.Ю.")</f>
        <v>Соловьев Р.Ю.</v>
      </c>
      <c r="M38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38" s="10"/>
      <c r="O38" s="10"/>
      <c r="P38" s="10"/>
      <c r="Q38" s="10"/>
      <c r="R38" s="10"/>
      <c r="S38" s="10"/>
      <c r="T38" s="10"/>
      <c r="U38" s="10" t="n">
        <f aca="false">IFERROR(__xludf.dummyfunction("""COMPUTED_VALUE"""),88)</f>
        <v>88</v>
      </c>
      <c r="V38" s="10" t="n">
        <f aca="false">IFERROR(__xludf.dummyfunction("""COMPUTED_VALUE"""),47)</f>
        <v>47</v>
      </c>
      <c r="W38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38" s="10" t="n">
        <f aca="false">IFERROR(__xludf.dummyfunction("""COMPUTED_VALUE"""),313741)</f>
        <v>313741</v>
      </c>
      <c r="Y38" s="10" t="str">
        <f aca="false">IFERROR(__xludf.dummyfunction("""COMPUTED_VALUE"""),"poverka@udmucs.ru")</f>
        <v>poverka@udmucs.ru</v>
      </c>
      <c r="Z38" s="10" t="str">
        <f aca="false">IFERROR(__xludf.dummyfunction("""COMPUTED_VALUE"""),"14051-97")</f>
        <v>14051-97</v>
      </c>
      <c r="AA38" s="12" t="n">
        <f aca="false">IFERROR(__xludf.dummyfunction("""COMPUTED_VALUE"""),45105.4831707291)</f>
        <v>45105.4831707291</v>
      </c>
      <c r="AB38" s="13" t="n">
        <f aca="false">IFERROR(__xludf.dummyfunction("""COMPUTED_VALUE"""),46931)</f>
        <v>46931</v>
      </c>
      <c r="AC38" s="10" t="str">
        <f aca="false">IFERROR(__xludf.dummyfunction("""COMPUTED_VALUE"""),"СГ-1, ""Бетар""")</f>
        <v>СГ-1, "Бетар"</v>
      </c>
      <c r="AD38" s="10" t="str">
        <f aca="false">IFERROR(__xludf.dummyfunction("""COMPUTED_VALUE"""),"Годен")</f>
        <v>Годен</v>
      </c>
      <c r="AE38" s="10" t="str">
        <f aca="false">IFERROR(__xludf.dummyfunction("""COMPUTED_VALUE"""),"Соловьев")</f>
        <v>Соловьев</v>
      </c>
      <c r="AF38" s="10" t="str">
        <f aca="false">IFERROR(__xludf.dummyfunction("""COMPUTED_VALUE"""),"Роман")</f>
        <v>Роман</v>
      </c>
      <c r="AG38" s="10" t="str">
        <f aca="false">IFERROR(__xludf.dummyfunction("""COMPUTED_VALUE"""),"Юрьевич ")</f>
        <v>Юрьевич </v>
      </c>
      <c r="AH38" s="4"/>
      <c r="AI38" s="4"/>
      <c r="AJ38" s="4"/>
      <c r="AK38" s="4"/>
    </row>
    <row r="39" customFormat="false" ht="15.75" hidden="false" customHeight="false" outlineLevel="0" collapsed="false">
      <c r="A39" s="10" t="str">
        <f aca="false">IFERROR(__xludf.dummyfunction("""COMPUTED_VALUE"""),"2023-ГАЗ-38")</f>
        <v>2023-ГАЗ-38</v>
      </c>
      <c r="B39" s="10" t="str">
        <f aca="false">IFERROR(__xludf.dummyfunction("""COMPUTED_VALUE"""),"16996-06")</f>
        <v>16996-06</v>
      </c>
      <c r="C39" s="10" t="str">
        <f aca="false">IFERROR(__xludf.dummyfunction("""COMPUTED_VALUE"""),"G6 РЛ")</f>
        <v>G6 РЛ</v>
      </c>
      <c r="D39" s="11" t="n">
        <f aca="false">IFERROR(__xludf.dummyfunction("""COMPUTED_VALUE"""),353540)</f>
        <v>353540</v>
      </c>
      <c r="E39" s="10" t="str">
        <f aca="false">IFERROR(__xludf.dummyfunction("""COMPUTED_VALUE"""),"Физ. лицо")</f>
        <v>Физ. лицо</v>
      </c>
      <c r="F39" s="12" t="n">
        <f aca="false">IFERROR(__xludf.dummyfunction("""COMPUTED_VALUE"""),45105.5171474305)</f>
        <v>45105.5171474305</v>
      </c>
      <c r="G39" s="10" t="str">
        <f aca="false">IFERROR(__xludf.dummyfunction("""COMPUTED_VALUE"""),"-")</f>
        <v>-</v>
      </c>
      <c r="H39" s="14" t="str">
        <f aca="false">IFERROR(__xludf.dummyfunction("""COMPUTED_VALUE"""),"562.М.Т2.784.000 Д1")</f>
        <v>562.М.Т2.784.000 Д1</v>
      </c>
      <c r="I39" s="10" t="str">
        <f aca="false">IFERROR(__xludf.dummyfunction("""COMPUTED_VALUE"""),"Периодическая")</f>
        <v>Периодическая</v>
      </c>
      <c r="J39" s="10" t="str">
        <f aca="false">IFERROR(__xludf.dummyfunction("""COMPUTED_VALUE"""),"Не пригоден")</f>
        <v>Не пригоден</v>
      </c>
      <c r="K39" s="10" t="str">
        <f aca="false">IFERROR(__xludf.dummyfunction("""COMPUTED_VALUE"""),"Относительная погрешность счетчика не соответствует метрологическим требованиям,  установленным в описании типа СИ")</f>
        <v>Относительная погрешность счетчика не соответствует метрологическим требованиям,  установленным в описании типа СИ</v>
      </c>
      <c r="L39" s="10" t="str">
        <f aca="false">IFERROR(__xludf.dummyfunction("""COMPUTED_VALUE"""),"Соловьев Р.Ю.")</f>
        <v>Соловьев Р.Ю.</v>
      </c>
      <c r="M39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39" s="10"/>
      <c r="O39" s="10"/>
      <c r="P39" s="10"/>
      <c r="Q39" s="10"/>
      <c r="R39" s="10"/>
      <c r="S39" s="10"/>
      <c r="T39" s="10"/>
      <c r="U39" s="10" t="n">
        <f aca="false">IFERROR(__xludf.dummyfunction("""COMPUTED_VALUE"""),93)</f>
        <v>93</v>
      </c>
      <c r="V39" s="10" t="n">
        <f aca="false">IFERROR(__xludf.dummyfunction("""COMPUTED_VALUE"""),46)</f>
        <v>46</v>
      </c>
      <c r="W39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39" s="10" t="n">
        <f aca="false">IFERROR(__xludf.dummyfunction("""COMPUTED_VALUE"""),313741)</f>
        <v>313741</v>
      </c>
      <c r="Y39" s="10" t="str">
        <f aca="false">IFERROR(__xludf.dummyfunction("""COMPUTED_VALUE"""),"poverka@udmucs.ru")</f>
        <v>poverka@udmucs.ru</v>
      </c>
      <c r="Z39" s="10" t="str">
        <f aca="false">IFERROR(__xludf.dummyfunction("""COMPUTED_VALUE"""),"16996-06")</f>
        <v>16996-06</v>
      </c>
      <c r="AA39" s="12" t="n">
        <f aca="false">IFERROR(__xludf.dummyfunction("""COMPUTED_VALUE"""),45105.5171474305)</f>
        <v>45105.5171474305</v>
      </c>
      <c r="AB39" s="10" t="str">
        <f aca="false">IFERROR(__xludf.dummyfunction("""COMPUTED_VALUE"""),"-")</f>
        <v>-</v>
      </c>
      <c r="AC39" s="10" t="str">
        <f aca="false">IFERROR(__xludf.dummyfunction("""COMPUTED_VALUE"""),"G6 РЛ")</f>
        <v>G6 РЛ</v>
      </c>
      <c r="AD39" s="10" t="str">
        <f aca="false">IFERROR(__xludf.dummyfunction("""COMPUTED_VALUE"""),"Не годен")</f>
        <v>Не годен</v>
      </c>
      <c r="AE39" s="10" t="str">
        <f aca="false">IFERROR(__xludf.dummyfunction("""COMPUTED_VALUE"""),"Соловьев")</f>
        <v>Соловьев</v>
      </c>
      <c r="AF39" s="10" t="str">
        <f aca="false">IFERROR(__xludf.dummyfunction("""COMPUTED_VALUE"""),"Роман")</f>
        <v>Роман</v>
      </c>
      <c r="AG39" s="10" t="str">
        <f aca="false">IFERROR(__xludf.dummyfunction("""COMPUTED_VALUE"""),"Юрьевич ")</f>
        <v>Юрьевич </v>
      </c>
      <c r="AH39" s="4"/>
      <c r="AI39" s="4"/>
      <c r="AJ39" s="4"/>
      <c r="AK39" s="4"/>
    </row>
    <row r="40" customFormat="false" ht="15.75" hidden="false" customHeight="false" outlineLevel="0" collapsed="false">
      <c r="A40" s="10" t="str">
        <f aca="false">IFERROR(__xludf.dummyfunction("""COMPUTED_VALUE"""),"2023-ГАЗ-39")</f>
        <v>2023-ГАЗ-39</v>
      </c>
      <c r="B40" s="10" t="str">
        <f aca="false">IFERROR(__xludf.dummyfunction("""COMPUTED_VALUE"""),"49900-12")</f>
        <v>49900-12</v>
      </c>
      <c r="C40" s="10" t="str">
        <f aca="false">IFERROR(__xludf.dummyfunction("""COMPUTED_VALUE"""),"G1,6 ""ГЕЛИКОН""")</f>
        <v>G1,6 "ГЕЛИКОН"</v>
      </c>
      <c r="D40" s="11" t="str">
        <f aca="false">IFERROR(__xludf.dummyfunction("""COMPUTED_VALUE"""),"0320046674")</f>
        <v>0320046674</v>
      </c>
      <c r="E40" s="10" t="str">
        <f aca="false">IFERROR(__xludf.dummyfunction("""COMPUTED_VALUE"""),"Физ. лицо")</f>
        <v>Физ. лицо</v>
      </c>
      <c r="F40" s="12" t="n">
        <f aca="false">IFERROR(__xludf.dummyfunction("""COMPUTED_VALUE"""),45105.5930913657)</f>
        <v>45105.5930913657</v>
      </c>
      <c r="G40" s="13" t="n">
        <f aca="false">IFERROR(__xludf.dummyfunction("""COMPUTED_VALUE"""),46931)</f>
        <v>46931</v>
      </c>
      <c r="H40" s="10" t="str">
        <f aca="false">IFERROR(__xludf.dummyfunction("""COMPUTED_VALUE"""),"562.М.Т.2.784.000 Д1")</f>
        <v>562.М.Т.2.784.000 Д1</v>
      </c>
      <c r="I40" s="10" t="str">
        <f aca="false">IFERROR(__xludf.dummyfunction("""COMPUTED_VALUE"""),"Периодическая")</f>
        <v>Периодическая</v>
      </c>
      <c r="J40" s="10" t="str">
        <f aca="false">IFERROR(__xludf.dummyfunction("""COMPUTED_VALUE"""),"Пригоден")</f>
        <v>Пригоден</v>
      </c>
      <c r="K40" s="10" t="str">
        <f aca="false">IFERROR(__xludf.dummyfunction("""COMPUTED_VALUE"""),"")</f>
        <v/>
      </c>
      <c r="L40" s="10" t="str">
        <f aca="false">IFERROR(__xludf.dummyfunction("""COMPUTED_VALUE"""),"Соловьев Р.Ю.")</f>
        <v>Соловьев Р.Ю.</v>
      </c>
      <c r="M40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40" s="10"/>
      <c r="O40" s="10"/>
      <c r="P40" s="10"/>
      <c r="Q40" s="10"/>
      <c r="R40" s="10"/>
      <c r="S40" s="10"/>
      <c r="T40" s="10"/>
      <c r="U40" s="10" t="n">
        <f aca="false">IFERROR(__xludf.dummyfunction("""COMPUTED_VALUE"""),90)</f>
        <v>90</v>
      </c>
      <c r="V40" s="10" t="n">
        <f aca="false">IFERROR(__xludf.dummyfunction("""COMPUTED_VALUE"""),46)</f>
        <v>46</v>
      </c>
      <c r="W40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40" s="10" t="n">
        <f aca="false">IFERROR(__xludf.dummyfunction("""COMPUTED_VALUE"""),313741)</f>
        <v>313741</v>
      </c>
      <c r="Y40" s="10" t="str">
        <f aca="false">IFERROR(__xludf.dummyfunction("""COMPUTED_VALUE"""),"poverka@udmucs.ru")</f>
        <v>poverka@udmucs.ru</v>
      </c>
      <c r="Z40" s="10" t="str">
        <f aca="false">IFERROR(__xludf.dummyfunction("""COMPUTED_VALUE"""),"49900-12")</f>
        <v>49900-12</v>
      </c>
      <c r="AA40" s="12" t="n">
        <f aca="false">IFERROR(__xludf.dummyfunction("""COMPUTED_VALUE"""),45105.5930913657)</f>
        <v>45105.5930913657</v>
      </c>
      <c r="AB40" s="13" t="n">
        <f aca="false">IFERROR(__xludf.dummyfunction("""COMPUTED_VALUE"""),46931)</f>
        <v>46931</v>
      </c>
      <c r="AC40" s="10" t="str">
        <f aca="false">IFERROR(__xludf.dummyfunction("""COMPUTED_VALUE"""),"G1,6 ""ГЕЛИКОН""")</f>
        <v>G1,6 "ГЕЛИКОН"</v>
      </c>
      <c r="AD40" s="10" t="str">
        <f aca="false">IFERROR(__xludf.dummyfunction("""COMPUTED_VALUE"""),"Годен")</f>
        <v>Годен</v>
      </c>
      <c r="AE40" s="10" t="str">
        <f aca="false">IFERROR(__xludf.dummyfunction("""COMPUTED_VALUE"""),"Соловьев")</f>
        <v>Соловьев</v>
      </c>
      <c r="AF40" s="10" t="str">
        <f aca="false">IFERROR(__xludf.dummyfunction("""COMPUTED_VALUE"""),"Роман")</f>
        <v>Роман</v>
      </c>
      <c r="AG40" s="10" t="str">
        <f aca="false">IFERROR(__xludf.dummyfunction("""COMPUTED_VALUE"""),"Юрьевич ")</f>
        <v>Юрьевич </v>
      </c>
      <c r="AH40" s="4"/>
      <c r="AI40" s="4"/>
      <c r="AJ40" s="4"/>
      <c r="AK40" s="4"/>
    </row>
    <row r="41" customFormat="false" ht="15.75" hidden="false" customHeight="false" outlineLevel="0" collapsed="false">
      <c r="A41" s="10" t="str">
        <f aca="false">IFERROR(__xludf.dummyfunction("""COMPUTED_VALUE"""),"2023-ГАЗ-40")</f>
        <v>2023-ГАЗ-40</v>
      </c>
      <c r="B41" s="10" t="str">
        <f aca="false">IFERROR(__xludf.dummyfunction("""COMPUTED_VALUE"""),"22112-09")</f>
        <v>22112-09</v>
      </c>
      <c r="C41" s="10" t="str">
        <f aca="false">IFERROR(__xludf.dummyfunction("""COMPUTED_VALUE"""),"СГБ G4, ""СИГНАЛ""")</f>
        <v>СГБ G4, "СИГНАЛ"</v>
      </c>
      <c r="D41" s="11" t="n">
        <f aca="false">IFERROR(__xludf.dummyfunction("""COMPUTED_VALUE"""),68268)</f>
        <v>68268</v>
      </c>
      <c r="E41" s="10" t="str">
        <f aca="false">IFERROR(__xludf.dummyfunction("""COMPUTED_VALUE"""),"Физ. лицо")</f>
        <v>Физ. лицо</v>
      </c>
      <c r="F41" s="12" t="n">
        <f aca="false">IFERROR(__xludf.dummyfunction("""COMPUTED_VALUE"""),45105.61330728)</f>
        <v>45105.61330728</v>
      </c>
      <c r="G41" s="13" t="n">
        <f aca="false">IFERROR(__xludf.dummyfunction("""COMPUTED_VALUE"""),48757)</f>
        <v>48757</v>
      </c>
      <c r="H41" s="14" t="str">
        <f aca="false">IFERROR(__xludf.dummyfunction("""COMPUTED_VALUE"""),"СЯМИ 407 274-287 РЭ")</f>
        <v>СЯМИ 407 274-287 РЭ</v>
      </c>
      <c r="I41" s="10" t="str">
        <f aca="false">IFERROR(__xludf.dummyfunction("""COMPUTED_VALUE"""),"Периодическая")</f>
        <v>Периодическая</v>
      </c>
      <c r="J41" s="10" t="str">
        <f aca="false">IFERROR(__xludf.dummyfunction("""COMPUTED_VALUE"""),"Пригоден")</f>
        <v>Пригоден</v>
      </c>
      <c r="K41" s="10" t="str">
        <f aca="false">IFERROR(__xludf.dummyfunction("""COMPUTED_VALUE"""),"")</f>
        <v/>
      </c>
      <c r="L41" s="10" t="str">
        <f aca="false">IFERROR(__xludf.dummyfunction("""COMPUTED_VALUE"""),"Соловьев Р.Ю.")</f>
        <v>Соловьев Р.Ю.</v>
      </c>
      <c r="M41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41" s="10"/>
      <c r="O41" s="10"/>
      <c r="P41" s="10"/>
      <c r="Q41" s="10"/>
      <c r="R41" s="10"/>
      <c r="S41" s="10"/>
      <c r="T41" s="10"/>
      <c r="U41" s="10" t="n">
        <f aca="false">IFERROR(__xludf.dummyfunction("""COMPUTED_VALUE"""),92)</f>
        <v>92</v>
      </c>
      <c r="V41" s="10" t="n">
        <f aca="false">IFERROR(__xludf.dummyfunction("""COMPUTED_VALUE"""),44)</f>
        <v>44</v>
      </c>
      <c r="W41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41" s="10" t="n">
        <f aca="false">IFERROR(__xludf.dummyfunction("""COMPUTED_VALUE"""),313741)</f>
        <v>313741</v>
      </c>
      <c r="Y41" s="10" t="str">
        <f aca="false">IFERROR(__xludf.dummyfunction("""COMPUTED_VALUE"""),"poverka@udmucs.ru")</f>
        <v>poverka@udmucs.ru</v>
      </c>
      <c r="Z41" s="10" t="str">
        <f aca="false">IFERROR(__xludf.dummyfunction("""COMPUTED_VALUE"""),"22112-09")</f>
        <v>22112-09</v>
      </c>
      <c r="AA41" s="12" t="n">
        <f aca="false">IFERROR(__xludf.dummyfunction("""COMPUTED_VALUE"""),45105.61330728)</f>
        <v>45105.61330728</v>
      </c>
      <c r="AB41" s="13" t="n">
        <f aca="false">IFERROR(__xludf.dummyfunction("""COMPUTED_VALUE"""),48757)</f>
        <v>48757</v>
      </c>
      <c r="AC41" s="10" t="str">
        <f aca="false">IFERROR(__xludf.dummyfunction("""COMPUTED_VALUE"""),"СГБ G4, ""СИГНАЛ""")</f>
        <v>СГБ G4, "СИГНАЛ"</v>
      </c>
      <c r="AD41" s="10" t="str">
        <f aca="false">IFERROR(__xludf.dummyfunction("""COMPUTED_VALUE"""),"Годен")</f>
        <v>Годен</v>
      </c>
      <c r="AE41" s="10" t="str">
        <f aca="false">IFERROR(__xludf.dummyfunction("""COMPUTED_VALUE"""),"Соловьев")</f>
        <v>Соловьев</v>
      </c>
      <c r="AF41" s="10" t="str">
        <f aca="false">IFERROR(__xludf.dummyfunction("""COMPUTED_VALUE"""),"Роман")</f>
        <v>Роман</v>
      </c>
      <c r="AG41" s="10" t="str">
        <f aca="false">IFERROR(__xludf.dummyfunction("""COMPUTED_VALUE"""),"Юрьевич ")</f>
        <v>Юрьевич </v>
      </c>
      <c r="AH41" s="4"/>
      <c r="AI41" s="4"/>
      <c r="AJ41" s="4"/>
      <c r="AK41" s="4"/>
    </row>
    <row r="42" customFormat="false" ht="15.75" hidden="false" customHeight="false" outlineLevel="0" collapsed="false">
      <c r="A42" s="10" t="str">
        <f aca="false">IFERROR(__xludf.dummyfunction("""COMPUTED_VALUE"""),"2023-ГАЗ-41")</f>
        <v>2023-ГАЗ-41</v>
      </c>
      <c r="B42" s="10" t="str">
        <f aca="false">IFERROR(__xludf.dummyfunction("""COMPUTED_VALUE"""),"49886-12")</f>
        <v>49886-12</v>
      </c>
      <c r="C42" s="10" t="str">
        <f aca="false">IFERROR(__xludf.dummyfunction("""COMPUTED_VALUE"""),"СГР 6, ""Тритон-Газ""")</f>
        <v>СГР 6, "Тритон-Газ"</v>
      </c>
      <c r="D42" s="11" t="str">
        <f aca="false">IFERROR(__xludf.dummyfunction("""COMPUTED_VALUE"""),"565449-14")</f>
        <v>565449-14</v>
      </c>
      <c r="E42" s="10" t="str">
        <f aca="false">IFERROR(__xludf.dummyfunction("""COMPUTED_VALUE"""),"Физ. лицо")</f>
        <v>Физ. лицо</v>
      </c>
      <c r="F42" s="12" t="n">
        <f aca="false">IFERROR(__xludf.dummyfunction("""COMPUTED_VALUE"""),45106.3653192592)</f>
        <v>45106.3653192592</v>
      </c>
      <c r="G42" s="13" t="n">
        <f aca="false">IFERROR(__xludf.dummyfunction("""COMPUTED_VALUE"""),48027)</f>
        <v>48027</v>
      </c>
      <c r="H42" s="10" t="str">
        <f aca="false">IFERROR(__xludf.dummyfunction("""COMPUTED_VALUE"""),"ГОСТ 8.324-2002")</f>
        <v>ГОСТ 8.324-2002</v>
      </c>
      <c r="I42" s="10" t="str">
        <f aca="false">IFERROR(__xludf.dummyfunction("""COMPUTED_VALUE"""),"Периодическая")</f>
        <v>Периодическая</v>
      </c>
      <c r="J42" s="10" t="str">
        <f aca="false">IFERROR(__xludf.dummyfunction("""COMPUTED_VALUE"""),"Пригоден")</f>
        <v>Пригоден</v>
      </c>
      <c r="K42" s="10" t="str">
        <f aca="false">IFERROR(__xludf.dummyfunction("""COMPUTED_VALUE"""),"")</f>
        <v/>
      </c>
      <c r="L42" s="10" t="str">
        <f aca="false">IFERROR(__xludf.dummyfunction("""COMPUTED_VALUE"""),"Соловьев Р.Ю.")</f>
        <v>Соловьев Р.Ю.</v>
      </c>
      <c r="M42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42" s="10"/>
      <c r="O42" s="10"/>
      <c r="P42" s="10"/>
      <c r="Q42" s="10"/>
      <c r="R42" s="10"/>
      <c r="S42" s="10"/>
      <c r="T42" s="10"/>
      <c r="U42" s="10" t="n">
        <f aca="false">IFERROR(__xludf.dummyfunction("""COMPUTED_VALUE"""),88)</f>
        <v>88</v>
      </c>
      <c r="V42" s="10" t="n">
        <f aca="false">IFERROR(__xludf.dummyfunction("""COMPUTED_VALUE"""),47)</f>
        <v>47</v>
      </c>
      <c r="W42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42" s="10" t="n">
        <f aca="false">IFERROR(__xludf.dummyfunction("""COMPUTED_VALUE"""),313741)</f>
        <v>313741</v>
      </c>
      <c r="Y42" s="10" t="str">
        <f aca="false">IFERROR(__xludf.dummyfunction("""COMPUTED_VALUE"""),"poverka@udmucs.ru")</f>
        <v>poverka@udmucs.ru</v>
      </c>
      <c r="Z42" s="10" t="str">
        <f aca="false">IFERROR(__xludf.dummyfunction("""COMPUTED_VALUE"""),"49886-12")</f>
        <v>49886-12</v>
      </c>
      <c r="AA42" s="12" t="n">
        <f aca="false">IFERROR(__xludf.dummyfunction("""COMPUTED_VALUE"""),45106.3653192592)</f>
        <v>45106.3653192592</v>
      </c>
      <c r="AB42" s="13" t="n">
        <f aca="false">IFERROR(__xludf.dummyfunction("""COMPUTED_VALUE"""),48027)</f>
        <v>48027</v>
      </c>
      <c r="AC42" s="10" t="str">
        <f aca="false">IFERROR(__xludf.dummyfunction("""COMPUTED_VALUE"""),"СГР 6, ""Тритон-Газ""")</f>
        <v>СГР 6, "Тритон-Газ"</v>
      </c>
      <c r="AD42" s="10" t="str">
        <f aca="false">IFERROR(__xludf.dummyfunction("""COMPUTED_VALUE"""),"Годен")</f>
        <v>Годен</v>
      </c>
      <c r="AE42" s="10" t="str">
        <f aca="false">IFERROR(__xludf.dummyfunction("""COMPUTED_VALUE"""),"Соловьев")</f>
        <v>Соловьев</v>
      </c>
      <c r="AF42" s="10" t="str">
        <f aca="false">IFERROR(__xludf.dummyfunction("""COMPUTED_VALUE"""),"Роман")</f>
        <v>Роман</v>
      </c>
      <c r="AG42" s="10" t="str">
        <f aca="false">IFERROR(__xludf.dummyfunction("""COMPUTED_VALUE"""),"Юрьевич ")</f>
        <v>Юрьевич </v>
      </c>
      <c r="AH42" s="4"/>
      <c r="AI42" s="4"/>
      <c r="AJ42" s="4"/>
      <c r="AK42" s="4"/>
    </row>
    <row r="43" customFormat="false" ht="15.75" hidden="false" customHeight="false" outlineLevel="0" collapsed="false">
      <c r="A43" s="10" t="str">
        <f aca="false">IFERROR(__xludf.dummyfunction("""COMPUTED_VALUE"""),"2023-ГАЗ-42")</f>
        <v>2023-ГАЗ-42</v>
      </c>
      <c r="B43" s="10" t="str">
        <f aca="false">IFERROR(__xludf.dummyfunction("""COMPUTED_VALUE"""),"27702-04")</f>
        <v>27702-04</v>
      </c>
      <c r="C43" s="10" t="str">
        <f aca="false">IFERROR(__xludf.dummyfunction("""COMPUTED_VALUE"""),"СГБМ-1,6 ""Бетар""")</f>
        <v>СГБМ-1,6 "Бетар"</v>
      </c>
      <c r="D43" s="11" t="str">
        <f aca="false">IFERROR(__xludf.dummyfunction("""COMPUTED_VALUE"""),"01140830")</f>
        <v>01140830</v>
      </c>
      <c r="E43" s="10" t="str">
        <f aca="false">IFERROR(__xludf.dummyfunction("""COMPUTED_VALUE"""),"Физ. лицо")</f>
        <v>Физ. лицо</v>
      </c>
      <c r="F43" s="12" t="n">
        <f aca="false">IFERROR(__xludf.dummyfunction("""COMPUTED_VALUE"""),45106.3901335879)</f>
        <v>45106.3901335879</v>
      </c>
      <c r="G43" s="13" t="n">
        <f aca="false">IFERROR(__xludf.dummyfunction("""COMPUTED_VALUE"""),49488)</f>
        <v>49488</v>
      </c>
      <c r="H43" s="10" t="str">
        <f aca="false">IFERROR(__xludf.dummyfunction("""COMPUTED_VALUE"""),"ПДЕК 407292.001 И1")</f>
        <v>ПДЕК 407292.001 И1</v>
      </c>
      <c r="I43" s="10" t="str">
        <f aca="false">IFERROR(__xludf.dummyfunction("""COMPUTED_VALUE"""),"Периодическая")</f>
        <v>Периодическая</v>
      </c>
      <c r="J43" s="10" t="str">
        <f aca="false">IFERROR(__xludf.dummyfunction("""COMPUTED_VALUE"""),"Пригоден")</f>
        <v>Пригоден</v>
      </c>
      <c r="K43" s="10" t="str">
        <f aca="false">IFERROR(__xludf.dummyfunction("""COMPUTED_VALUE"""),"")</f>
        <v/>
      </c>
      <c r="L43" s="10" t="str">
        <f aca="false">IFERROR(__xludf.dummyfunction("""COMPUTED_VALUE"""),"Соловьев Р.Ю.")</f>
        <v>Соловьев Р.Ю.</v>
      </c>
      <c r="M43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43" s="10"/>
      <c r="O43" s="10"/>
      <c r="P43" s="10"/>
      <c r="Q43" s="10"/>
      <c r="R43" s="10"/>
      <c r="S43" s="10"/>
      <c r="T43" s="10"/>
      <c r="U43" s="10" t="n">
        <f aca="false">IFERROR(__xludf.dummyfunction("""COMPUTED_VALUE"""),91)</f>
        <v>91</v>
      </c>
      <c r="V43" s="10" t="n">
        <f aca="false">IFERROR(__xludf.dummyfunction("""COMPUTED_VALUE"""),43)</f>
        <v>43</v>
      </c>
      <c r="W43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43" s="10" t="n">
        <f aca="false">IFERROR(__xludf.dummyfunction("""COMPUTED_VALUE"""),313741)</f>
        <v>313741</v>
      </c>
      <c r="Y43" s="10" t="str">
        <f aca="false">IFERROR(__xludf.dummyfunction("""COMPUTED_VALUE"""),"poverka@udmucs.ru")</f>
        <v>poverka@udmucs.ru</v>
      </c>
      <c r="Z43" s="10" t="str">
        <f aca="false">IFERROR(__xludf.dummyfunction("""COMPUTED_VALUE"""),"27702-04")</f>
        <v>27702-04</v>
      </c>
      <c r="AA43" s="12" t="n">
        <f aca="false">IFERROR(__xludf.dummyfunction("""COMPUTED_VALUE"""),45106.3901335879)</f>
        <v>45106.3901335879</v>
      </c>
      <c r="AB43" s="13" t="n">
        <f aca="false">IFERROR(__xludf.dummyfunction("""COMPUTED_VALUE"""),49488)</f>
        <v>49488</v>
      </c>
      <c r="AC43" s="10" t="str">
        <f aca="false">IFERROR(__xludf.dummyfunction("""COMPUTED_VALUE"""),"СГБМ-1,6 ""Бетар""")</f>
        <v>СГБМ-1,6 "Бетар"</v>
      </c>
      <c r="AD43" s="10" t="str">
        <f aca="false">IFERROR(__xludf.dummyfunction("""COMPUTED_VALUE"""),"Годен")</f>
        <v>Годен</v>
      </c>
      <c r="AE43" s="10" t="str">
        <f aca="false">IFERROR(__xludf.dummyfunction("""COMPUTED_VALUE"""),"Соловьев")</f>
        <v>Соловьев</v>
      </c>
      <c r="AF43" s="10" t="str">
        <f aca="false">IFERROR(__xludf.dummyfunction("""COMPUTED_VALUE"""),"Роман")</f>
        <v>Роман</v>
      </c>
      <c r="AG43" s="10" t="str">
        <f aca="false">IFERROR(__xludf.dummyfunction("""COMPUTED_VALUE"""),"Юрьевич ")</f>
        <v>Юрьевич </v>
      </c>
      <c r="AH43" s="4"/>
      <c r="AI43" s="4"/>
      <c r="AJ43" s="4"/>
      <c r="AK43" s="4"/>
    </row>
    <row r="44" customFormat="false" ht="15.75" hidden="false" customHeight="false" outlineLevel="0" collapsed="false">
      <c r="A44" s="10" t="str">
        <f aca="false">IFERROR(__xludf.dummyfunction("""COMPUTED_VALUE"""),"2023-ГАЗ-43")</f>
        <v>2023-ГАЗ-43</v>
      </c>
      <c r="B44" s="10" t="str">
        <f aca="false">IFERROR(__xludf.dummyfunction("""COMPUTED_VALUE"""),"27702-04")</f>
        <v>27702-04</v>
      </c>
      <c r="C44" s="10" t="str">
        <f aca="false">IFERROR(__xludf.dummyfunction("""COMPUTED_VALUE"""),"СГБМ-1,6")</f>
        <v>СГБМ-1,6</v>
      </c>
      <c r="D44" s="11" t="str">
        <f aca="false">IFERROR(__xludf.dummyfunction("""COMPUTED_VALUE"""),"01433163")</f>
        <v>01433163</v>
      </c>
      <c r="E44" s="10" t="str">
        <f aca="false">IFERROR(__xludf.dummyfunction("""COMPUTED_VALUE"""),"Физ. лицо")</f>
        <v>Физ. лицо</v>
      </c>
      <c r="F44" s="12" t="n">
        <f aca="false">IFERROR(__xludf.dummyfunction("""COMPUTED_VALUE"""),45106.4237528009)</f>
        <v>45106.4237528009</v>
      </c>
      <c r="G44" s="13" t="n">
        <f aca="false">IFERROR(__xludf.dummyfunction("""COMPUTED_VALUE"""),49488)</f>
        <v>49488</v>
      </c>
      <c r="H44" s="10" t="str">
        <f aca="false">IFERROR(__xludf.dummyfunction("""COMPUTED_VALUE"""),"ПДЕК 407292.001 И1")</f>
        <v>ПДЕК 407292.001 И1</v>
      </c>
      <c r="I44" s="10" t="str">
        <f aca="false">IFERROR(__xludf.dummyfunction("""COMPUTED_VALUE"""),"Периодическая")</f>
        <v>Периодическая</v>
      </c>
      <c r="J44" s="10" t="str">
        <f aca="false">IFERROR(__xludf.dummyfunction("""COMPUTED_VALUE"""),"Пригоден")</f>
        <v>Пригоден</v>
      </c>
      <c r="K44" s="10" t="str">
        <f aca="false">IFERROR(__xludf.dummyfunction("""COMPUTED_VALUE"""),"")</f>
        <v/>
      </c>
      <c r="L44" s="10" t="str">
        <f aca="false">IFERROR(__xludf.dummyfunction("""COMPUTED_VALUE"""),"Соловьев Р.Ю.")</f>
        <v>Соловьев Р.Ю.</v>
      </c>
      <c r="M44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44" s="10"/>
      <c r="O44" s="10"/>
      <c r="P44" s="10"/>
      <c r="Q44" s="10"/>
      <c r="R44" s="10"/>
      <c r="S44" s="10"/>
      <c r="T44" s="10"/>
      <c r="U44" s="10" t="n">
        <f aca="false">IFERROR(__xludf.dummyfunction("""COMPUTED_VALUE"""),90)</f>
        <v>90</v>
      </c>
      <c r="V44" s="10" t="n">
        <f aca="false">IFERROR(__xludf.dummyfunction("""COMPUTED_VALUE"""),39)</f>
        <v>39</v>
      </c>
      <c r="W44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44" s="10" t="n">
        <f aca="false">IFERROR(__xludf.dummyfunction("""COMPUTED_VALUE"""),313741)</f>
        <v>313741</v>
      </c>
      <c r="Y44" s="10" t="str">
        <f aca="false">IFERROR(__xludf.dummyfunction("""COMPUTED_VALUE"""),"poverka@udmucs.ru")</f>
        <v>poverka@udmucs.ru</v>
      </c>
      <c r="Z44" s="10" t="str">
        <f aca="false">IFERROR(__xludf.dummyfunction("""COMPUTED_VALUE"""),"27702-04")</f>
        <v>27702-04</v>
      </c>
      <c r="AA44" s="12" t="n">
        <f aca="false">IFERROR(__xludf.dummyfunction("""COMPUTED_VALUE"""),45106.4237528009)</f>
        <v>45106.4237528009</v>
      </c>
      <c r="AB44" s="13" t="n">
        <f aca="false">IFERROR(__xludf.dummyfunction("""COMPUTED_VALUE"""),49488)</f>
        <v>49488</v>
      </c>
      <c r="AC44" s="10" t="str">
        <f aca="false">IFERROR(__xludf.dummyfunction("""COMPUTED_VALUE"""),"СГБМ-1,6")</f>
        <v>СГБМ-1,6</v>
      </c>
      <c r="AD44" s="10" t="str">
        <f aca="false">IFERROR(__xludf.dummyfunction("""COMPUTED_VALUE"""),"Годен")</f>
        <v>Годен</v>
      </c>
      <c r="AE44" s="10" t="str">
        <f aca="false">IFERROR(__xludf.dummyfunction("""COMPUTED_VALUE"""),"Соловьев")</f>
        <v>Соловьев</v>
      </c>
      <c r="AF44" s="10" t="str">
        <f aca="false">IFERROR(__xludf.dummyfunction("""COMPUTED_VALUE"""),"Роман")</f>
        <v>Роман</v>
      </c>
      <c r="AG44" s="10" t="str">
        <f aca="false">IFERROR(__xludf.dummyfunction("""COMPUTED_VALUE"""),"Юрьевич ")</f>
        <v>Юрьевич </v>
      </c>
      <c r="AH44" s="4"/>
      <c r="AI44" s="4"/>
      <c r="AJ44" s="4"/>
      <c r="AK44" s="4"/>
    </row>
    <row r="45" customFormat="false" ht="15.75" hidden="false" customHeight="false" outlineLevel="0" collapsed="false">
      <c r="A45" s="10" t="str">
        <f aca="false">IFERROR(__xludf.dummyfunction("""COMPUTED_VALUE"""),"2023-ГАЗ-44")</f>
        <v>2023-ГАЗ-44</v>
      </c>
      <c r="B45" s="10" t="str">
        <f aca="false">IFERROR(__xludf.dummyfunction("""COMPUTED_VALUE"""),"46503-11")</f>
        <v>46503-11</v>
      </c>
      <c r="C45" s="10" t="str">
        <f aca="false">IFERROR(__xludf.dummyfunction("""COMPUTED_VALUE"""),"ГРАНД 1,6")</f>
        <v>ГРАНД 1,6</v>
      </c>
      <c r="D45" s="11" t="n">
        <f aca="false">IFERROR(__xludf.dummyfunction("""COMPUTED_VALUE"""),1115044580)</f>
        <v>1115044580</v>
      </c>
      <c r="E45" s="10" t="str">
        <f aca="false">IFERROR(__xludf.dummyfunction("""COMPUTED_VALUE"""),"Физ. лицо")</f>
        <v>Физ. лицо</v>
      </c>
      <c r="F45" s="12" t="n">
        <f aca="false">IFERROR(__xludf.dummyfunction("""COMPUTED_VALUE"""),45106.4525205902)</f>
        <v>45106.4525205902</v>
      </c>
      <c r="G45" s="13" t="n">
        <f aca="false">IFERROR(__xludf.dummyfunction("""COMPUTED_VALUE"""),49488)</f>
        <v>49488</v>
      </c>
      <c r="H45" s="10" t="str">
        <f aca="false">IFERROR(__xludf.dummyfunction("""COMPUTED_VALUE"""),"Счетчик газа Гранд.Методика поверки 4213-004-70670506-2010МП")</f>
        <v>Счетчик газа Гранд.Методика поверки 4213-004-70670506-2010МП</v>
      </c>
      <c r="I45" s="10" t="str">
        <f aca="false">IFERROR(__xludf.dummyfunction("""COMPUTED_VALUE"""),"Периодическая")</f>
        <v>Периодическая</v>
      </c>
      <c r="J45" s="10" t="str">
        <f aca="false">IFERROR(__xludf.dummyfunction("""COMPUTED_VALUE"""),"Пригоден")</f>
        <v>Пригоден</v>
      </c>
      <c r="K45" s="10" t="str">
        <f aca="false">IFERROR(__xludf.dummyfunction("""COMPUTED_VALUE"""),"")</f>
        <v/>
      </c>
      <c r="L45" s="10" t="str">
        <f aca="false">IFERROR(__xludf.dummyfunction("""COMPUTED_VALUE"""),"Соловьев Р.Ю.")</f>
        <v>Соловьев Р.Ю.</v>
      </c>
      <c r="M45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45" s="10"/>
      <c r="O45" s="10"/>
      <c r="P45" s="10"/>
      <c r="Q45" s="10"/>
      <c r="R45" s="10"/>
      <c r="S45" s="10"/>
      <c r="T45" s="10"/>
      <c r="U45" s="10" t="n">
        <f aca="false">IFERROR(__xludf.dummyfunction("""COMPUTED_VALUE"""),92)</f>
        <v>92</v>
      </c>
      <c r="V45" s="10" t="n">
        <f aca="false">IFERROR(__xludf.dummyfunction("""COMPUTED_VALUE"""),47)</f>
        <v>47</v>
      </c>
      <c r="W45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45" s="10" t="n">
        <f aca="false">IFERROR(__xludf.dummyfunction("""COMPUTED_VALUE"""),313741)</f>
        <v>313741</v>
      </c>
      <c r="Y45" s="10" t="str">
        <f aca="false">IFERROR(__xludf.dummyfunction("""COMPUTED_VALUE"""),"poverka@udmucs.ru")</f>
        <v>poverka@udmucs.ru</v>
      </c>
      <c r="Z45" s="10" t="str">
        <f aca="false">IFERROR(__xludf.dummyfunction("""COMPUTED_VALUE"""),"46503-11")</f>
        <v>46503-11</v>
      </c>
      <c r="AA45" s="12" t="n">
        <f aca="false">IFERROR(__xludf.dummyfunction("""COMPUTED_VALUE"""),45106.4525205902)</f>
        <v>45106.4525205902</v>
      </c>
      <c r="AB45" s="13" t="n">
        <f aca="false">IFERROR(__xludf.dummyfunction("""COMPUTED_VALUE"""),49488)</f>
        <v>49488</v>
      </c>
      <c r="AC45" s="10" t="str">
        <f aca="false">IFERROR(__xludf.dummyfunction("""COMPUTED_VALUE"""),"ГРАНД 1,6")</f>
        <v>ГРАНД 1,6</v>
      </c>
      <c r="AD45" s="10" t="str">
        <f aca="false">IFERROR(__xludf.dummyfunction("""COMPUTED_VALUE"""),"Годен")</f>
        <v>Годен</v>
      </c>
      <c r="AE45" s="10" t="str">
        <f aca="false">IFERROR(__xludf.dummyfunction("""COMPUTED_VALUE"""),"Соловьев")</f>
        <v>Соловьев</v>
      </c>
      <c r="AF45" s="10" t="str">
        <f aca="false">IFERROR(__xludf.dummyfunction("""COMPUTED_VALUE"""),"Роман")</f>
        <v>Роман</v>
      </c>
      <c r="AG45" s="10" t="str">
        <f aca="false">IFERROR(__xludf.dummyfunction("""COMPUTED_VALUE"""),"Юрьевич ")</f>
        <v>Юрьевич </v>
      </c>
      <c r="AH45" s="4"/>
      <c r="AI45" s="4"/>
      <c r="AJ45" s="4"/>
      <c r="AK45" s="4"/>
    </row>
    <row r="46" customFormat="false" ht="15.75" hidden="false" customHeight="false" outlineLevel="0" collapsed="false">
      <c r="A46" s="10" t="str">
        <f aca="false">IFERROR(__xludf.dummyfunction("""COMPUTED_VALUE"""),"2023-ГАЗ-45")</f>
        <v>2023-ГАЗ-45</v>
      </c>
      <c r="B46" s="10" t="str">
        <f aca="false">IFERROR(__xludf.dummyfunction("""COMPUTED_VALUE"""),"20272-00")</f>
        <v>20272-00</v>
      </c>
      <c r="C46" s="10" t="str">
        <f aca="false">IFERROR(__xludf.dummyfunction("""COMPUTED_VALUE"""),"Вк-G4")</f>
        <v>Вк-G4</v>
      </c>
      <c r="D46" s="11" t="str">
        <f aca="false">IFERROR(__xludf.dummyfunction("""COMPUTED_VALUE"""),"02934136")</f>
        <v>02934136</v>
      </c>
      <c r="E46" s="10" t="str">
        <f aca="false">IFERROR(__xludf.dummyfunction("""COMPUTED_VALUE"""),"Физ. лицо")</f>
        <v>Физ. лицо</v>
      </c>
      <c r="F46" s="12" t="n">
        <f aca="false">IFERROR(__xludf.dummyfunction("""COMPUTED_VALUE"""),45106.4800191435)</f>
        <v>45106.4800191435</v>
      </c>
      <c r="G46" s="13" t="n">
        <f aca="false">IFERROR(__xludf.dummyfunction("""COMPUTED_VALUE"""),48758)</f>
        <v>48758</v>
      </c>
      <c r="H46" s="10" t="str">
        <f aca="false">IFERROR(__xludf.dummyfunction("""COMPUTED_VALUE"""),"ГОСТ 8.324-2002")</f>
        <v>ГОСТ 8.324-2002</v>
      </c>
      <c r="I46" s="10" t="str">
        <f aca="false">IFERROR(__xludf.dummyfunction("""COMPUTED_VALUE"""),"Периодическая")</f>
        <v>Периодическая</v>
      </c>
      <c r="J46" s="10" t="str">
        <f aca="false">IFERROR(__xludf.dummyfunction("""COMPUTED_VALUE"""),"Пригоден")</f>
        <v>Пригоден</v>
      </c>
      <c r="K46" s="10" t="str">
        <f aca="false">IFERROR(__xludf.dummyfunction("""COMPUTED_VALUE"""),"")</f>
        <v/>
      </c>
      <c r="L46" s="10" t="str">
        <f aca="false">IFERROR(__xludf.dummyfunction("""COMPUTED_VALUE"""),"Соловьев Р.Ю.")</f>
        <v>Соловьев Р.Ю.</v>
      </c>
      <c r="M46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46" s="10"/>
      <c r="O46" s="10"/>
      <c r="P46" s="10"/>
      <c r="Q46" s="10"/>
      <c r="R46" s="10"/>
      <c r="S46" s="10"/>
      <c r="T46" s="10"/>
      <c r="U46" s="10" t="n">
        <f aca="false">IFERROR(__xludf.dummyfunction("""COMPUTED_VALUE"""),93)</f>
        <v>93</v>
      </c>
      <c r="V46" s="10" t="n">
        <f aca="false">IFERROR(__xludf.dummyfunction("""COMPUTED_VALUE"""),47)</f>
        <v>47</v>
      </c>
      <c r="W46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46" s="10" t="n">
        <f aca="false">IFERROR(__xludf.dummyfunction("""COMPUTED_VALUE"""),313741)</f>
        <v>313741</v>
      </c>
      <c r="Y46" s="10" t="str">
        <f aca="false">IFERROR(__xludf.dummyfunction("""COMPUTED_VALUE"""),"poverka@udmucs.ru")</f>
        <v>poverka@udmucs.ru</v>
      </c>
      <c r="Z46" s="10" t="str">
        <f aca="false">IFERROR(__xludf.dummyfunction("""COMPUTED_VALUE"""),"20272-00")</f>
        <v>20272-00</v>
      </c>
      <c r="AA46" s="12" t="n">
        <f aca="false">IFERROR(__xludf.dummyfunction("""COMPUTED_VALUE"""),45106.4800191435)</f>
        <v>45106.4800191435</v>
      </c>
      <c r="AB46" s="13" t="n">
        <f aca="false">IFERROR(__xludf.dummyfunction("""COMPUTED_VALUE"""),48758)</f>
        <v>48758</v>
      </c>
      <c r="AC46" s="10" t="str">
        <f aca="false">IFERROR(__xludf.dummyfunction("""COMPUTED_VALUE"""),"Вк-G4")</f>
        <v>Вк-G4</v>
      </c>
      <c r="AD46" s="10" t="str">
        <f aca="false">IFERROR(__xludf.dummyfunction("""COMPUTED_VALUE"""),"Годен")</f>
        <v>Годен</v>
      </c>
      <c r="AE46" s="10" t="str">
        <f aca="false">IFERROR(__xludf.dummyfunction("""COMPUTED_VALUE"""),"Соловьев")</f>
        <v>Соловьев</v>
      </c>
      <c r="AF46" s="10" t="str">
        <f aca="false">IFERROR(__xludf.dummyfunction("""COMPUTED_VALUE"""),"Роман")</f>
        <v>Роман</v>
      </c>
      <c r="AG46" s="10" t="str">
        <f aca="false">IFERROR(__xludf.dummyfunction("""COMPUTED_VALUE"""),"Юрьевич ")</f>
        <v>Юрьевич </v>
      </c>
      <c r="AH46" s="4"/>
      <c r="AI46" s="4"/>
      <c r="AJ46" s="4"/>
      <c r="AK46" s="4"/>
    </row>
    <row r="47" customFormat="false" ht="15.75" hidden="false" customHeight="false" outlineLevel="0" collapsed="false">
      <c r="A47" s="10" t="str">
        <f aca="false">IFERROR(__xludf.dummyfunction("""COMPUTED_VALUE"""),"2023-ГАЗ-46")</f>
        <v>2023-ГАЗ-46</v>
      </c>
      <c r="B47" s="10" t="str">
        <f aca="false">IFERROR(__xludf.dummyfunction("""COMPUTED_VALUE"""),"49886-12")</f>
        <v>49886-12</v>
      </c>
      <c r="C47" s="10" t="str">
        <f aca="false">IFERROR(__xludf.dummyfunction("""COMPUTED_VALUE"""),"СГР 4, ""Тритон-Газ""")</f>
        <v>СГР 4, "Тритон-Газ"</v>
      </c>
      <c r="D47" s="11" t="str">
        <f aca="false">IFERROR(__xludf.dummyfunction("""COMPUTED_VALUE"""),"675824-15")</f>
        <v>675824-15</v>
      </c>
      <c r="E47" s="10" t="str">
        <f aca="false">IFERROR(__xludf.dummyfunction("""COMPUTED_VALUE"""),"Физ. лицо")</f>
        <v>Физ. лицо</v>
      </c>
      <c r="F47" s="12" t="n">
        <f aca="false">IFERROR(__xludf.dummyfunction("""COMPUTED_VALUE"""),45106.506418912)</f>
        <v>45106.506418912</v>
      </c>
      <c r="G47" s="13" t="n">
        <f aca="false">IFERROR(__xludf.dummyfunction("""COMPUTED_VALUE"""),48027)</f>
        <v>48027</v>
      </c>
      <c r="H47" s="10" t="str">
        <f aca="false">IFERROR(__xludf.dummyfunction("""COMPUTED_VALUE"""),"ГОСТ 8.324-2002")</f>
        <v>ГОСТ 8.324-2002</v>
      </c>
      <c r="I47" s="10" t="str">
        <f aca="false">IFERROR(__xludf.dummyfunction("""COMPUTED_VALUE"""),"Периодическая")</f>
        <v>Периодическая</v>
      </c>
      <c r="J47" s="10" t="str">
        <f aca="false">IFERROR(__xludf.dummyfunction("""COMPUTED_VALUE"""),"Пригоден")</f>
        <v>Пригоден</v>
      </c>
      <c r="K47" s="10" t="str">
        <f aca="false">IFERROR(__xludf.dummyfunction("""COMPUTED_VALUE"""),"")</f>
        <v/>
      </c>
      <c r="L47" s="10" t="str">
        <f aca="false">IFERROR(__xludf.dummyfunction("""COMPUTED_VALUE"""),"Соловьев Р.Ю.")</f>
        <v>Соловьев Р.Ю.</v>
      </c>
      <c r="M47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47" s="10"/>
      <c r="O47" s="10"/>
      <c r="P47" s="10"/>
      <c r="Q47" s="10"/>
      <c r="R47" s="10"/>
      <c r="S47" s="10"/>
      <c r="T47" s="10"/>
      <c r="U47" s="10" t="n">
        <f aca="false">IFERROR(__xludf.dummyfunction("""COMPUTED_VALUE"""),90)</f>
        <v>90</v>
      </c>
      <c r="V47" s="10" t="n">
        <f aca="false">IFERROR(__xludf.dummyfunction("""COMPUTED_VALUE"""),47)</f>
        <v>47</v>
      </c>
      <c r="W47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47" s="10" t="n">
        <f aca="false">IFERROR(__xludf.dummyfunction("""COMPUTED_VALUE"""),313741)</f>
        <v>313741</v>
      </c>
      <c r="Y47" s="10" t="str">
        <f aca="false">IFERROR(__xludf.dummyfunction("""COMPUTED_VALUE"""),"poverka@udmucs.ru")</f>
        <v>poverka@udmucs.ru</v>
      </c>
      <c r="Z47" s="10" t="str">
        <f aca="false">IFERROR(__xludf.dummyfunction("""COMPUTED_VALUE"""),"49886-12")</f>
        <v>49886-12</v>
      </c>
      <c r="AA47" s="12" t="n">
        <f aca="false">IFERROR(__xludf.dummyfunction("""COMPUTED_VALUE"""),45106.506418912)</f>
        <v>45106.506418912</v>
      </c>
      <c r="AB47" s="13" t="n">
        <f aca="false">IFERROR(__xludf.dummyfunction("""COMPUTED_VALUE"""),48027)</f>
        <v>48027</v>
      </c>
      <c r="AC47" s="10" t="str">
        <f aca="false">IFERROR(__xludf.dummyfunction("""COMPUTED_VALUE"""),"СГР 4, ""Тритон-Газ""")</f>
        <v>СГР 4, "Тритон-Газ"</v>
      </c>
      <c r="AD47" s="10" t="str">
        <f aca="false">IFERROR(__xludf.dummyfunction("""COMPUTED_VALUE"""),"Годен")</f>
        <v>Годен</v>
      </c>
      <c r="AE47" s="10" t="str">
        <f aca="false">IFERROR(__xludf.dummyfunction("""COMPUTED_VALUE"""),"Соловьев")</f>
        <v>Соловьев</v>
      </c>
      <c r="AF47" s="10" t="str">
        <f aca="false">IFERROR(__xludf.dummyfunction("""COMPUTED_VALUE"""),"Роман")</f>
        <v>Роман</v>
      </c>
      <c r="AG47" s="10" t="str">
        <f aca="false">IFERROR(__xludf.dummyfunction("""COMPUTED_VALUE"""),"Юрьевич ")</f>
        <v>Юрьевич </v>
      </c>
      <c r="AH47" s="4"/>
      <c r="AI47" s="4"/>
      <c r="AJ47" s="4"/>
      <c r="AK47" s="4"/>
    </row>
    <row r="48" customFormat="false" ht="15.75" hidden="false" customHeight="false" outlineLevel="0" collapsed="false">
      <c r="A48" s="10" t="str">
        <f aca="false">IFERROR(__xludf.dummyfunction("""COMPUTED_VALUE"""),"2023-ГАЗ-47")</f>
        <v>2023-ГАЗ-47</v>
      </c>
      <c r="B48" s="10" t="str">
        <f aca="false">IFERROR(__xludf.dummyfunction("""COMPUTED_VALUE"""),"16996-06")</f>
        <v>16996-06</v>
      </c>
      <c r="C48" s="10" t="str">
        <f aca="false">IFERROR(__xludf.dummyfunction("""COMPUTED_VALUE"""),"G6 РЛ")</f>
        <v>G6 РЛ</v>
      </c>
      <c r="D48" s="11" t="n">
        <f aca="false">IFERROR(__xludf.dummyfunction("""COMPUTED_VALUE"""),439492)</f>
        <v>439492</v>
      </c>
      <c r="E48" s="10" t="str">
        <f aca="false">IFERROR(__xludf.dummyfunction("""COMPUTED_VALUE"""),"Физ. лицо")</f>
        <v>Физ. лицо</v>
      </c>
      <c r="F48" s="12" t="n">
        <f aca="false">IFERROR(__xludf.dummyfunction("""COMPUTED_VALUE"""),45106.5498639583)</f>
        <v>45106.5498639583</v>
      </c>
      <c r="G48" s="13" t="n">
        <f aca="false">IFERROR(__xludf.dummyfunction("""COMPUTED_VALUE"""),46932)</f>
        <v>46932</v>
      </c>
      <c r="H48" s="14" t="str">
        <f aca="false">IFERROR(__xludf.dummyfunction("""COMPUTED_VALUE"""),"562.М.Т2.784.000 Д1")</f>
        <v>562.М.Т2.784.000 Д1</v>
      </c>
      <c r="I48" s="10" t="str">
        <f aca="false">IFERROR(__xludf.dummyfunction("""COMPUTED_VALUE"""),"Периодическая")</f>
        <v>Периодическая</v>
      </c>
      <c r="J48" s="10" t="str">
        <f aca="false">IFERROR(__xludf.dummyfunction("""COMPUTED_VALUE"""),"Пригоден")</f>
        <v>Пригоден</v>
      </c>
      <c r="K48" s="10" t="str">
        <f aca="false">IFERROR(__xludf.dummyfunction("""COMPUTED_VALUE"""),"")</f>
        <v/>
      </c>
      <c r="L48" s="10" t="str">
        <f aca="false">IFERROR(__xludf.dummyfunction("""COMPUTED_VALUE"""),"Соловьев Р.Ю.")</f>
        <v>Соловьев Р.Ю.</v>
      </c>
      <c r="M48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48" s="10"/>
      <c r="O48" s="10"/>
      <c r="P48" s="10"/>
      <c r="Q48" s="10"/>
      <c r="R48" s="10"/>
      <c r="S48" s="10"/>
      <c r="T48" s="10"/>
      <c r="U48" s="10" t="n">
        <f aca="false">IFERROR(__xludf.dummyfunction("""COMPUTED_VALUE"""),90)</f>
        <v>90</v>
      </c>
      <c r="V48" s="10" t="n">
        <f aca="false">IFERROR(__xludf.dummyfunction("""COMPUTED_VALUE"""),42)</f>
        <v>42</v>
      </c>
      <c r="W48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48" s="10" t="n">
        <f aca="false">IFERROR(__xludf.dummyfunction("""COMPUTED_VALUE"""),313741)</f>
        <v>313741</v>
      </c>
      <c r="Y48" s="10" t="str">
        <f aca="false">IFERROR(__xludf.dummyfunction("""COMPUTED_VALUE"""),"poverka@udmucs.ru")</f>
        <v>poverka@udmucs.ru</v>
      </c>
      <c r="Z48" s="10" t="str">
        <f aca="false">IFERROR(__xludf.dummyfunction("""COMPUTED_VALUE"""),"16996-06")</f>
        <v>16996-06</v>
      </c>
      <c r="AA48" s="12" t="n">
        <f aca="false">IFERROR(__xludf.dummyfunction("""COMPUTED_VALUE"""),45106.5498639583)</f>
        <v>45106.5498639583</v>
      </c>
      <c r="AB48" s="13" t="n">
        <f aca="false">IFERROR(__xludf.dummyfunction("""COMPUTED_VALUE"""),46932)</f>
        <v>46932</v>
      </c>
      <c r="AC48" s="10" t="str">
        <f aca="false">IFERROR(__xludf.dummyfunction("""COMPUTED_VALUE"""),"G6 РЛ")</f>
        <v>G6 РЛ</v>
      </c>
      <c r="AD48" s="10" t="str">
        <f aca="false">IFERROR(__xludf.dummyfunction("""COMPUTED_VALUE"""),"Годен")</f>
        <v>Годен</v>
      </c>
      <c r="AE48" s="10" t="str">
        <f aca="false">IFERROR(__xludf.dummyfunction("""COMPUTED_VALUE"""),"Соловьев")</f>
        <v>Соловьев</v>
      </c>
      <c r="AF48" s="10" t="str">
        <f aca="false">IFERROR(__xludf.dummyfunction("""COMPUTED_VALUE"""),"Роман")</f>
        <v>Роман</v>
      </c>
      <c r="AG48" s="10" t="str">
        <f aca="false">IFERROR(__xludf.dummyfunction("""COMPUTED_VALUE"""),"Юрьевич ")</f>
        <v>Юрьевич </v>
      </c>
      <c r="AH48" s="4"/>
      <c r="AI48" s="4"/>
      <c r="AJ48" s="4"/>
      <c r="AK48" s="4"/>
    </row>
    <row r="49" customFormat="false" ht="15.75" hidden="false" customHeight="false" outlineLevel="0" collapsed="false">
      <c r="A49" s="10" t="str">
        <f aca="false">IFERROR(__xludf.dummyfunction("""COMPUTED_VALUE"""),"2023-ГАЗ-48")</f>
        <v>2023-ГАЗ-48</v>
      </c>
      <c r="B49" s="10" t="str">
        <f aca="false">IFERROR(__xludf.dummyfunction("""COMPUTED_VALUE"""),"16996-06")</f>
        <v>16996-06</v>
      </c>
      <c r="C49" s="10" t="str">
        <f aca="false">IFERROR(__xludf.dummyfunction("""COMPUTED_VALUE"""),"РЛ-6 G6")</f>
        <v>РЛ-6 G6</v>
      </c>
      <c r="D49" s="11" t="str">
        <f aca="false">IFERROR(__xludf.dummyfunction("""COMPUTED_VALUE"""),"0862620")</f>
        <v>0862620</v>
      </c>
      <c r="E49" s="10" t="str">
        <f aca="false">IFERROR(__xludf.dummyfunction("""COMPUTED_VALUE"""),"Физ. лицо")</f>
        <v>Физ. лицо</v>
      </c>
      <c r="F49" s="12" t="n">
        <f aca="false">IFERROR(__xludf.dummyfunction("""COMPUTED_VALUE"""),45106.5761494212)</f>
        <v>45106.5761494212</v>
      </c>
      <c r="G49" s="13" t="n">
        <f aca="false">IFERROR(__xludf.dummyfunction("""COMPUTED_VALUE"""),46932)</f>
        <v>46932</v>
      </c>
      <c r="H49" s="14" t="str">
        <f aca="false">IFERROR(__xludf.dummyfunction("""COMPUTED_VALUE"""),"562.М.Т2.784.000 Д1")</f>
        <v>562.М.Т2.784.000 Д1</v>
      </c>
      <c r="I49" s="10" t="str">
        <f aca="false">IFERROR(__xludf.dummyfunction("""COMPUTED_VALUE"""),"Периодическая")</f>
        <v>Периодическая</v>
      </c>
      <c r="J49" s="10" t="str">
        <f aca="false">IFERROR(__xludf.dummyfunction("""COMPUTED_VALUE"""),"Пригоден")</f>
        <v>Пригоден</v>
      </c>
      <c r="K49" s="10" t="str">
        <f aca="false">IFERROR(__xludf.dummyfunction("""COMPUTED_VALUE"""),"")</f>
        <v/>
      </c>
      <c r="L49" s="10" t="str">
        <f aca="false">IFERROR(__xludf.dummyfunction("""COMPUTED_VALUE"""),"Соловьев Р.Ю.")</f>
        <v>Соловьев Р.Ю.</v>
      </c>
      <c r="M49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49" s="10"/>
      <c r="O49" s="10"/>
      <c r="P49" s="10"/>
      <c r="Q49" s="10"/>
      <c r="R49" s="10"/>
      <c r="S49" s="10"/>
      <c r="T49" s="10"/>
      <c r="U49" s="10" t="n">
        <f aca="false">IFERROR(__xludf.dummyfunction("""COMPUTED_VALUE"""),92)</f>
        <v>92</v>
      </c>
      <c r="V49" s="10" t="n">
        <f aca="false">IFERROR(__xludf.dummyfunction("""COMPUTED_VALUE"""),41)</f>
        <v>41</v>
      </c>
      <c r="W49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49" s="10" t="n">
        <f aca="false">IFERROR(__xludf.dummyfunction("""COMPUTED_VALUE"""),313741)</f>
        <v>313741</v>
      </c>
      <c r="Y49" s="10" t="str">
        <f aca="false">IFERROR(__xludf.dummyfunction("""COMPUTED_VALUE"""),"poverka@udmucs.ru")</f>
        <v>poverka@udmucs.ru</v>
      </c>
      <c r="Z49" s="10" t="str">
        <f aca="false">IFERROR(__xludf.dummyfunction("""COMPUTED_VALUE"""),"16996-06")</f>
        <v>16996-06</v>
      </c>
      <c r="AA49" s="12" t="n">
        <f aca="false">IFERROR(__xludf.dummyfunction("""COMPUTED_VALUE"""),45106.5761494212)</f>
        <v>45106.5761494212</v>
      </c>
      <c r="AB49" s="13" t="n">
        <f aca="false">IFERROR(__xludf.dummyfunction("""COMPUTED_VALUE"""),46932)</f>
        <v>46932</v>
      </c>
      <c r="AC49" s="10" t="str">
        <f aca="false">IFERROR(__xludf.dummyfunction("""COMPUTED_VALUE"""),"РЛ-6 G6")</f>
        <v>РЛ-6 G6</v>
      </c>
      <c r="AD49" s="10" t="str">
        <f aca="false">IFERROR(__xludf.dummyfunction("""COMPUTED_VALUE"""),"Годен")</f>
        <v>Годен</v>
      </c>
      <c r="AE49" s="10" t="str">
        <f aca="false">IFERROR(__xludf.dummyfunction("""COMPUTED_VALUE"""),"Соловьев")</f>
        <v>Соловьев</v>
      </c>
      <c r="AF49" s="10" t="str">
        <f aca="false">IFERROR(__xludf.dummyfunction("""COMPUTED_VALUE"""),"Роман")</f>
        <v>Роман</v>
      </c>
      <c r="AG49" s="10" t="str">
        <f aca="false">IFERROR(__xludf.dummyfunction("""COMPUTED_VALUE"""),"Юрьевич ")</f>
        <v>Юрьевич </v>
      </c>
      <c r="AH49" s="4"/>
      <c r="AI49" s="4"/>
      <c r="AJ49" s="4"/>
      <c r="AK49" s="4"/>
    </row>
    <row r="50" customFormat="false" ht="15.75" hidden="false" customHeight="false" outlineLevel="0" collapsed="false">
      <c r="A50" s="10" t="str">
        <f aca="false">IFERROR(__xludf.dummyfunction("""COMPUTED_VALUE"""),"2023-ГАЗ-49")</f>
        <v>2023-ГАЗ-49</v>
      </c>
      <c r="B50" s="10" t="str">
        <f aca="false">IFERROR(__xludf.dummyfunction("""COMPUTED_VALUE"""),"13873-95")</f>
        <v>13873-95</v>
      </c>
      <c r="C50" s="10" t="str">
        <f aca="false">IFERROR(__xludf.dummyfunction("""COMPUTED_VALUE"""),"СГБ-G6")</f>
        <v>СГБ-G6</v>
      </c>
      <c r="D50" s="11" t="n">
        <f aca="false">IFERROR(__xludf.dummyfunction("""COMPUTED_VALUE"""),88172)</f>
        <v>88172</v>
      </c>
      <c r="E50" s="10" t="str">
        <f aca="false">IFERROR(__xludf.dummyfunction("""COMPUTED_VALUE"""),"Физ. лицо")</f>
        <v>Физ. лицо</v>
      </c>
      <c r="F50" s="12" t="n">
        <f aca="false">IFERROR(__xludf.dummyfunction("""COMPUTED_VALUE"""),45106.6207490972)</f>
        <v>45106.6207490972</v>
      </c>
      <c r="G50" s="13" t="n">
        <f aca="false">IFERROR(__xludf.dummyfunction("""COMPUTED_VALUE"""),46932)</f>
        <v>46932</v>
      </c>
      <c r="H50" s="10" t="str">
        <f aca="false">IFERROR(__xludf.dummyfunction("""COMPUTED_VALUE"""),"СЯМИ И 407 274-103 РЭ")</f>
        <v>СЯМИ И 407 274-103 РЭ</v>
      </c>
      <c r="I50" s="10" t="str">
        <f aca="false">IFERROR(__xludf.dummyfunction("""COMPUTED_VALUE"""),"Периодическая")</f>
        <v>Периодическая</v>
      </c>
      <c r="J50" s="10" t="str">
        <f aca="false">IFERROR(__xludf.dummyfunction("""COMPUTED_VALUE"""),"Пригоден")</f>
        <v>Пригоден</v>
      </c>
      <c r="K50" s="10" t="str">
        <f aca="false">IFERROR(__xludf.dummyfunction("""COMPUTED_VALUE"""),"")</f>
        <v/>
      </c>
      <c r="L50" s="10" t="str">
        <f aca="false">IFERROR(__xludf.dummyfunction("""COMPUTED_VALUE"""),"Соловьев Р.Ю.")</f>
        <v>Соловьев Р.Ю.</v>
      </c>
      <c r="M50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50" s="10"/>
      <c r="O50" s="10"/>
      <c r="P50" s="10"/>
      <c r="Q50" s="10"/>
      <c r="R50" s="10"/>
      <c r="S50" s="10"/>
      <c r="T50" s="10"/>
      <c r="U50" s="10" t="n">
        <f aca="false">IFERROR(__xludf.dummyfunction("""COMPUTED_VALUE"""),92)</f>
        <v>92</v>
      </c>
      <c r="V50" s="10" t="n">
        <f aca="false">IFERROR(__xludf.dummyfunction("""COMPUTED_VALUE"""),43)</f>
        <v>43</v>
      </c>
      <c r="W50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50" s="10" t="n">
        <f aca="false">IFERROR(__xludf.dummyfunction("""COMPUTED_VALUE"""),313741)</f>
        <v>313741</v>
      </c>
      <c r="Y50" s="10" t="str">
        <f aca="false">IFERROR(__xludf.dummyfunction("""COMPUTED_VALUE"""),"poverka@udmucs.ru")</f>
        <v>poverka@udmucs.ru</v>
      </c>
      <c r="Z50" s="10" t="str">
        <f aca="false">IFERROR(__xludf.dummyfunction("""COMPUTED_VALUE"""),"13873-95")</f>
        <v>13873-95</v>
      </c>
      <c r="AA50" s="12" t="n">
        <f aca="false">IFERROR(__xludf.dummyfunction("""COMPUTED_VALUE"""),45106.6207490972)</f>
        <v>45106.6207490972</v>
      </c>
      <c r="AB50" s="13" t="n">
        <f aca="false">IFERROR(__xludf.dummyfunction("""COMPUTED_VALUE"""),46932)</f>
        <v>46932</v>
      </c>
      <c r="AC50" s="10" t="str">
        <f aca="false">IFERROR(__xludf.dummyfunction("""COMPUTED_VALUE"""),"СГБ-G6")</f>
        <v>СГБ-G6</v>
      </c>
      <c r="AD50" s="10" t="str">
        <f aca="false">IFERROR(__xludf.dummyfunction("""COMPUTED_VALUE"""),"Годен")</f>
        <v>Годен</v>
      </c>
      <c r="AE50" s="10" t="str">
        <f aca="false">IFERROR(__xludf.dummyfunction("""COMPUTED_VALUE"""),"Соловьев")</f>
        <v>Соловьев</v>
      </c>
      <c r="AF50" s="10" t="str">
        <f aca="false">IFERROR(__xludf.dummyfunction("""COMPUTED_VALUE"""),"Роман")</f>
        <v>Роман</v>
      </c>
      <c r="AG50" s="10" t="str">
        <f aca="false">IFERROR(__xludf.dummyfunction("""COMPUTED_VALUE"""),"Юрьевич ")</f>
        <v>Юрьевич </v>
      </c>
      <c r="AH50" s="4"/>
      <c r="AI50" s="4"/>
      <c r="AJ50" s="4"/>
      <c r="AK50" s="4"/>
    </row>
    <row r="51" customFormat="false" ht="15.75" hidden="false" customHeight="false" outlineLevel="0" collapsed="false">
      <c r="A51" s="10" t="str">
        <f aca="false">IFERROR(__xludf.dummyfunction("""COMPUTED_VALUE"""),"2023-ГАЗ-50")</f>
        <v>2023-ГАЗ-50</v>
      </c>
      <c r="B51" s="10" t="str">
        <f aca="false">IFERROR(__xludf.dummyfunction("""COMPUTED_VALUE"""),"43909-10")</f>
        <v>43909-10</v>
      </c>
      <c r="C51" s="10" t="str">
        <f aca="false">IFERROR(__xludf.dummyfunction("""COMPUTED_VALUE"""),"G6, ""Омега""")</f>
        <v>G6, "Омега"</v>
      </c>
      <c r="D51" s="11" t="n">
        <f aca="false">IFERROR(__xludf.dummyfunction("""COMPUTED_VALUE"""),1332307)</f>
        <v>1332307</v>
      </c>
      <c r="E51" s="10" t="str">
        <f aca="false">IFERROR(__xludf.dummyfunction("""COMPUTED_VALUE"""),"Физ. лицо")</f>
        <v>Физ. лицо</v>
      </c>
      <c r="F51" s="12" t="n">
        <f aca="false">IFERROR(__xludf.dummyfunction("""COMPUTED_VALUE"""),45106.6283392129)</f>
        <v>45106.6283392129</v>
      </c>
      <c r="G51" s="13" t="n">
        <f aca="false">IFERROR(__xludf.dummyfunction("""COMPUTED_VALUE"""),48027)</f>
        <v>48027</v>
      </c>
      <c r="H51" s="10" t="str">
        <f aca="false">IFERROR(__xludf.dummyfunction("""COMPUTED_VALUE"""),"ПМТК.407273. 001 МП")</f>
        <v>ПМТК.407273. 001 МП</v>
      </c>
      <c r="I51" s="10" t="str">
        <f aca="false">IFERROR(__xludf.dummyfunction("""COMPUTED_VALUE"""),"Периодическая")</f>
        <v>Периодическая</v>
      </c>
      <c r="J51" s="10" t="str">
        <f aca="false">IFERROR(__xludf.dummyfunction("""COMPUTED_VALUE"""),"Пригоден")</f>
        <v>Пригоден</v>
      </c>
      <c r="K51" s="10" t="str">
        <f aca="false">IFERROR(__xludf.dummyfunction("""COMPUTED_VALUE"""),"")</f>
        <v/>
      </c>
      <c r="L51" s="10" t="str">
        <f aca="false">IFERROR(__xludf.dummyfunction("""COMPUTED_VALUE"""),"Соловьев Р.Ю.")</f>
        <v>Соловьев Р.Ю.</v>
      </c>
      <c r="M51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51" s="10"/>
      <c r="O51" s="10"/>
      <c r="P51" s="10"/>
      <c r="Q51" s="10"/>
      <c r="R51" s="10"/>
      <c r="S51" s="10"/>
      <c r="T51" s="10"/>
      <c r="U51" s="10" t="n">
        <f aca="false">IFERROR(__xludf.dummyfunction("""COMPUTED_VALUE"""),89)</f>
        <v>89</v>
      </c>
      <c r="V51" s="10" t="n">
        <f aca="false">IFERROR(__xludf.dummyfunction("""COMPUTED_VALUE"""),39)</f>
        <v>39</v>
      </c>
      <c r="W51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51" s="10" t="n">
        <f aca="false">IFERROR(__xludf.dummyfunction("""COMPUTED_VALUE"""),313741)</f>
        <v>313741</v>
      </c>
      <c r="Y51" s="10" t="str">
        <f aca="false">IFERROR(__xludf.dummyfunction("""COMPUTED_VALUE"""),"poverka@udmucs.ru")</f>
        <v>poverka@udmucs.ru</v>
      </c>
      <c r="Z51" s="10" t="str">
        <f aca="false">IFERROR(__xludf.dummyfunction("""COMPUTED_VALUE"""),"43909-10")</f>
        <v>43909-10</v>
      </c>
      <c r="AA51" s="12" t="n">
        <f aca="false">IFERROR(__xludf.dummyfunction("""COMPUTED_VALUE"""),45106.6283392129)</f>
        <v>45106.6283392129</v>
      </c>
      <c r="AB51" s="13" t="n">
        <f aca="false">IFERROR(__xludf.dummyfunction("""COMPUTED_VALUE"""),48027)</f>
        <v>48027</v>
      </c>
      <c r="AC51" s="10" t="str">
        <f aca="false">IFERROR(__xludf.dummyfunction("""COMPUTED_VALUE"""),"G6, ""Омега""")</f>
        <v>G6, "Омега"</v>
      </c>
      <c r="AD51" s="10" t="str">
        <f aca="false">IFERROR(__xludf.dummyfunction("""COMPUTED_VALUE"""),"Годен")</f>
        <v>Годен</v>
      </c>
      <c r="AE51" s="10" t="str">
        <f aca="false">IFERROR(__xludf.dummyfunction("""COMPUTED_VALUE"""),"Соловьев")</f>
        <v>Соловьев</v>
      </c>
      <c r="AF51" s="10" t="str">
        <f aca="false">IFERROR(__xludf.dummyfunction("""COMPUTED_VALUE"""),"Роман")</f>
        <v>Роман</v>
      </c>
      <c r="AG51" s="10" t="str">
        <f aca="false">IFERROR(__xludf.dummyfunction("""COMPUTED_VALUE"""),"Юрьевич ")</f>
        <v>Юрьевич </v>
      </c>
      <c r="AH51" s="4"/>
      <c r="AI51" s="4"/>
      <c r="AJ51" s="4"/>
      <c r="AK51" s="4"/>
    </row>
    <row r="52" customFormat="false" ht="15.75" hidden="false" customHeight="false" outlineLevel="0" collapsed="false">
      <c r="A52" s="10" t="str">
        <f aca="false">IFERROR(__xludf.dummyfunction("""COMPUTED_VALUE"""),"2023-ГАЗ-51")</f>
        <v>2023-ГАЗ-51</v>
      </c>
      <c r="B52" s="10" t="str">
        <f aca="false">IFERROR(__xludf.dummyfunction("""COMPUTED_VALUE"""),"16996-06")</f>
        <v>16996-06</v>
      </c>
      <c r="C52" s="10" t="str">
        <f aca="false">IFERROR(__xludf.dummyfunction("""COMPUTED_VALUE"""),"G6 РЛ")</f>
        <v>G6 РЛ</v>
      </c>
      <c r="D52" s="11" t="n">
        <f aca="false">IFERROR(__xludf.dummyfunction("""COMPUTED_VALUE"""),708338)</f>
        <v>708338</v>
      </c>
      <c r="E52" s="10" t="str">
        <f aca="false">IFERROR(__xludf.dummyfunction("""COMPUTED_VALUE"""),"Физ. лицо")</f>
        <v>Физ. лицо</v>
      </c>
      <c r="F52" s="12" t="n">
        <f aca="false">IFERROR(__xludf.dummyfunction("""COMPUTED_VALUE"""),45106.642411331)</f>
        <v>45106.642411331</v>
      </c>
      <c r="G52" s="13" t="n">
        <f aca="false">IFERROR(__xludf.dummyfunction("""COMPUTED_VALUE"""),46932)</f>
        <v>46932</v>
      </c>
      <c r="H52" s="14" t="str">
        <f aca="false">IFERROR(__xludf.dummyfunction("""COMPUTED_VALUE"""),"562.М.Т2.784.000 Д1")</f>
        <v>562.М.Т2.784.000 Д1</v>
      </c>
      <c r="I52" s="10" t="str">
        <f aca="false">IFERROR(__xludf.dummyfunction("""COMPUTED_VALUE"""),"Периодическая")</f>
        <v>Периодическая</v>
      </c>
      <c r="J52" s="10" t="str">
        <f aca="false">IFERROR(__xludf.dummyfunction("""COMPUTED_VALUE"""),"Пригоден")</f>
        <v>Пригоден</v>
      </c>
      <c r="K52" s="10" t="str">
        <f aca="false">IFERROR(__xludf.dummyfunction("""COMPUTED_VALUE"""),"")</f>
        <v/>
      </c>
      <c r="L52" s="10" t="str">
        <f aca="false">IFERROR(__xludf.dummyfunction("""COMPUTED_VALUE"""),"Соловьев Р.Ю.")</f>
        <v>Соловьев Р.Ю.</v>
      </c>
      <c r="M52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52" s="10"/>
      <c r="O52" s="10"/>
      <c r="P52" s="10"/>
      <c r="Q52" s="10"/>
      <c r="R52" s="10"/>
      <c r="S52" s="10"/>
      <c r="T52" s="10"/>
      <c r="U52" s="10" t="n">
        <f aca="false">IFERROR(__xludf.dummyfunction("""COMPUTED_VALUE"""),93)</f>
        <v>93</v>
      </c>
      <c r="V52" s="10" t="n">
        <f aca="false">IFERROR(__xludf.dummyfunction("""COMPUTED_VALUE"""),40)</f>
        <v>40</v>
      </c>
      <c r="W52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52" s="10" t="n">
        <f aca="false">IFERROR(__xludf.dummyfunction("""COMPUTED_VALUE"""),313741)</f>
        <v>313741</v>
      </c>
      <c r="Y52" s="10" t="str">
        <f aca="false">IFERROR(__xludf.dummyfunction("""COMPUTED_VALUE"""),"poverka@udmucs.ru")</f>
        <v>poverka@udmucs.ru</v>
      </c>
      <c r="Z52" s="10" t="str">
        <f aca="false">IFERROR(__xludf.dummyfunction("""COMPUTED_VALUE"""),"16996-06")</f>
        <v>16996-06</v>
      </c>
      <c r="AA52" s="12" t="n">
        <f aca="false">IFERROR(__xludf.dummyfunction("""COMPUTED_VALUE"""),45106.642411331)</f>
        <v>45106.642411331</v>
      </c>
      <c r="AB52" s="13" t="n">
        <f aca="false">IFERROR(__xludf.dummyfunction("""COMPUTED_VALUE"""),46932)</f>
        <v>46932</v>
      </c>
      <c r="AC52" s="10" t="str">
        <f aca="false">IFERROR(__xludf.dummyfunction("""COMPUTED_VALUE"""),"G6 РЛ")</f>
        <v>G6 РЛ</v>
      </c>
      <c r="AD52" s="10" t="str">
        <f aca="false">IFERROR(__xludf.dummyfunction("""COMPUTED_VALUE"""),"Годен")</f>
        <v>Годен</v>
      </c>
      <c r="AE52" s="10" t="str">
        <f aca="false">IFERROR(__xludf.dummyfunction("""COMPUTED_VALUE"""),"Соловьев")</f>
        <v>Соловьев</v>
      </c>
      <c r="AF52" s="10" t="str">
        <f aca="false">IFERROR(__xludf.dummyfunction("""COMPUTED_VALUE"""),"Роман")</f>
        <v>Роман</v>
      </c>
      <c r="AG52" s="10" t="str">
        <f aca="false">IFERROR(__xludf.dummyfunction("""COMPUTED_VALUE"""),"Юрьевич ")</f>
        <v>Юрьевич </v>
      </c>
      <c r="AH52" s="4"/>
      <c r="AI52" s="4"/>
      <c r="AJ52" s="4"/>
      <c r="AK52" s="4"/>
    </row>
    <row r="53" customFormat="false" ht="15.75" hidden="false" customHeight="false" outlineLevel="0" collapsed="false">
      <c r="A53" s="10" t="str">
        <f aca="false">IFERROR(__xludf.dummyfunction("""COMPUTED_VALUE"""),"2023-ГАЗ-52")</f>
        <v>2023-ГАЗ-52</v>
      </c>
      <c r="B53" s="10" t="str">
        <f aca="false">IFERROR(__xludf.dummyfunction("""COMPUTED_VALUE"""),"20272-00")</f>
        <v>20272-00</v>
      </c>
      <c r="C53" s="10" t="str">
        <f aca="false">IFERROR(__xludf.dummyfunction("""COMPUTED_VALUE"""),"Вк-G4")</f>
        <v>Вк-G4</v>
      </c>
      <c r="D53" s="11" t="str">
        <f aca="false">IFERROR(__xludf.dummyfunction("""COMPUTED_VALUE"""),"03385480")</f>
        <v>03385480</v>
      </c>
      <c r="E53" s="10" t="str">
        <f aca="false">IFERROR(__xludf.dummyfunction("""COMPUTED_VALUE"""),"Физ. лицо")</f>
        <v>Физ. лицо</v>
      </c>
      <c r="F53" s="12" t="n">
        <f aca="false">IFERROR(__xludf.dummyfunction("""COMPUTED_VALUE"""),45107.3795804513)</f>
        <v>45107.3795804513</v>
      </c>
      <c r="G53" s="13" t="n">
        <f aca="false">IFERROR(__xludf.dummyfunction("""COMPUTED_VALUE"""),48759)</f>
        <v>48759</v>
      </c>
      <c r="H53" s="10" t="str">
        <f aca="false">IFERROR(__xludf.dummyfunction("""COMPUTED_VALUE"""),"ГОСТ 8.324-2002")</f>
        <v>ГОСТ 8.324-2002</v>
      </c>
      <c r="I53" s="10" t="str">
        <f aca="false">IFERROR(__xludf.dummyfunction("""COMPUTED_VALUE"""),"Периодическая")</f>
        <v>Периодическая</v>
      </c>
      <c r="J53" s="10" t="str">
        <f aca="false">IFERROR(__xludf.dummyfunction("""COMPUTED_VALUE"""),"Пригоден")</f>
        <v>Пригоден</v>
      </c>
      <c r="K53" s="10" t="str">
        <f aca="false">IFERROR(__xludf.dummyfunction("""COMPUTED_VALUE"""),"")</f>
        <v/>
      </c>
      <c r="L53" s="10" t="str">
        <f aca="false">IFERROR(__xludf.dummyfunction("""COMPUTED_VALUE"""),"Соловьев Р.Ю.")</f>
        <v>Соловьев Р.Ю.</v>
      </c>
      <c r="M53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53" s="10"/>
      <c r="O53" s="10"/>
      <c r="P53" s="10"/>
      <c r="Q53" s="10"/>
      <c r="R53" s="10"/>
      <c r="S53" s="10"/>
      <c r="T53" s="10"/>
      <c r="U53" s="10" t="n">
        <f aca="false">IFERROR(__xludf.dummyfunction("""COMPUTED_VALUE"""),93)</f>
        <v>93</v>
      </c>
      <c r="V53" s="10" t="n">
        <f aca="false">IFERROR(__xludf.dummyfunction("""COMPUTED_VALUE"""),47)</f>
        <v>47</v>
      </c>
      <c r="W53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53" s="10" t="n">
        <f aca="false">IFERROR(__xludf.dummyfunction("""COMPUTED_VALUE"""),313741)</f>
        <v>313741</v>
      </c>
      <c r="Y53" s="10" t="str">
        <f aca="false">IFERROR(__xludf.dummyfunction("""COMPUTED_VALUE"""),"poverka@udmucs.ru")</f>
        <v>poverka@udmucs.ru</v>
      </c>
      <c r="Z53" s="10" t="str">
        <f aca="false">IFERROR(__xludf.dummyfunction("""COMPUTED_VALUE"""),"20272-00")</f>
        <v>20272-00</v>
      </c>
      <c r="AA53" s="12" t="n">
        <f aca="false">IFERROR(__xludf.dummyfunction("""COMPUTED_VALUE"""),45107.3795804513)</f>
        <v>45107.3795804513</v>
      </c>
      <c r="AB53" s="13" t="n">
        <f aca="false">IFERROR(__xludf.dummyfunction("""COMPUTED_VALUE"""),48759)</f>
        <v>48759</v>
      </c>
      <c r="AC53" s="10" t="str">
        <f aca="false">IFERROR(__xludf.dummyfunction("""COMPUTED_VALUE"""),"Вк-G4")</f>
        <v>Вк-G4</v>
      </c>
      <c r="AD53" s="10" t="str">
        <f aca="false">IFERROR(__xludf.dummyfunction("""COMPUTED_VALUE"""),"Годен")</f>
        <v>Годен</v>
      </c>
      <c r="AE53" s="10" t="str">
        <f aca="false">IFERROR(__xludf.dummyfunction("""COMPUTED_VALUE"""),"Соловьев")</f>
        <v>Соловьев</v>
      </c>
      <c r="AF53" s="10" t="str">
        <f aca="false">IFERROR(__xludf.dummyfunction("""COMPUTED_VALUE"""),"Роман")</f>
        <v>Роман</v>
      </c>
      <c r="AG53" s="10" t="str">
        <f aca="false">IFERROR(__xludf.dummyfunction("""COMPUTED_VALUE"""),"Юрьевич ")</f>
        <v>Юрьевич </v>
      </c>
      <c r="AH53" s="4"/>
      <c r="AI53" s="4"/>
      <c r="AJ53" s="4"/>
      <c r="AK53" s="4"/>
    </row>
    <row r="54" customFormat="false" ht="15.75" hidden="false" customHeight="false" outlineLevel="0" collapsed="false">
      <c r="A54" s="10" t="str">
        <f aca="false">IFERROR(__xludf.dummyfunction("""COMPUTED_VALUE"""),"2023-ГАЗ-53")</f>
        <v>2023-ГАЗ-53</v>
      </c>
      <c r="B54" s="10" t="str">
        <f aca="false">IFERROR(__xludf.dummyfunction("""COMPUTED_VALUE"""),"16996-06")</f>
        <v>16996-06</v>
      </c>
      <c r="C54" s="10" t="str">
        <f aca="false">IFERROR(__xludf.dummyfunction("""COMPUTED_VALUE"""),"G6 РЛ")</f>
        <v>G6 РЛ</v>
      </c>
      <c r="D54" s="11" t="n">
        <f aca="false">IFERROR(__xludf.dummyfunction("""COMPUTED_VALUE"""),581177)</f>
        <v>581177</v>
      </c>
      <c r="E54" s="10" t="str">
        <f aca="false">IFERROR(__xludf.dummyfunction("""COMPUTED_VALUE"""),"Физ. лицо")</f>
        <v>Физ. лицо</v>
      </c>
      <c r="F54" s="12" t="n">
        <f aca="false">IFERROR(__xludf.dummyfunction("""COMPUTED_VALUE"""),45107.4186290625)</f>
        <v>45107.4186290625</v>
      </c>
      <c r="G54" s="13" t="n">
        <f aca="false">IFERROR(__xludf.dummyfunction("""COMPUTED_VALUE"""),46933)</f>
        <v>46933</v>
      </c>
      <c r="H54" s="14" t="str">
        <f aca="false">IFERROR(__xludf.dummyfunction("""COMPUTED_VALUE"""),"562.М.Т2.784.000 Д1")</f>
        <v>562.М.Т2.784.000 Д1</v>
      </c>
      <c r="I54" s="10" t="str">
        <f aca="false">IFERROR(__xludf.dummyfunction("""COMPUTED_VALUE"""),"Периодическая")</f>
        <v>Периодическая</v>
      </c>
      <c r="J54" s="10" t="str">
        <f aca="false">IFERROR(__xludf.dummyfunction("""COMPUTED_VALUE"""),"Пригоден")</f>
        <v>Пригоден</v>
      </c>
      <c r="K54" s="10" t="str">
        <f aca="false">IFERROR(__xludf.dummyfunction("""COMPUTED_VALUE"""),"")</f>
        <v/>
      </c>
      <c r="L54" s="10" t="str">
        <f aca="false">IFERROR(__xludf.dummyfunction("""COMPUTED_VALUE"""),"Соловьев Р.Ю.")</f>
        <v>Соловьев Р.Ю.</v>
      </c>
      <c r="M54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54" s="10"/>
      <c r="O54" s="10"/>
      <c r="P54" s="10"/>
      <c r="Q54" s="10"/>
      <c r="R54" s="10"/>
      <c r="S54" s="10"/>
      <c r="T54" s="10"/>
      <c r="U54" s="10" t="n">
        <f aca="false">IFERROR(__xludf.dummyfunction("""COMPUTED_VALUE"""),93)</f>
        <v>93</v>
      </c>
      <c r="V54" s="10" t="n">
        <f aca="false">IFERROR(__xludf.dummyfunction("""COMPUTED_VALUE"""),43)</f>
        <v>43</v>
      </c>
      <c r="W54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54" s="10" t="n">
        <f aca="false">IFERROR(__xludf.dummyfunction("""COMPUTED_VALUE"""),313741)</f>
        <v>313741</v>
      </c>
      <c r="Y54" s="10" t="str">
        <f aca="false">IFERROR(__xludf.dummyfunction("""COMPUTED_VALUE"""),"poverka@udmucs.ru")</f>
        <v>poverka@udmucs.ru</v>
      </c>
      <c r="Z54" s="10" t="str">
        <f aca="false">IFERROR(__xludf.dummyfunction("""COMPUTED_VALUE"""),"16996-06")</f>
        <v>16996-06</v>
      </c>
      <c r="AA54" s="12" t="n">
        <f aca="false">IFERROR(__xludf.dummyfunction("""COMPUTED_VALUE"""),45107.4186290625)</f>
        <v>45107.4186290625</v>
      </c>
      <c r="AB54" s="13" t="n">
        <f aca="false">IFERROR(__xludf.dummyfunction("""COMPUTED_VALUE"""),46933)</f>
        <v>46933</v>
      </c>
      <c r="AC54" s="10" t="str">
        <f aca="false">IFERROR(__xludf.dummyfunction("""COMPUTED_VALUE"""),"G6 РЛ")</f>
        <v>G6 РЛ</v>
      </c>
      <c r="AD54" s="10" t="str">
        <f aca="false">IFERROR(__xludf.dummyfunction("""COMPUTED_VALUE"""),"Годен")</f>
        <v>Годен</v>
      </c>
      <c r="AE54" s="10" t="str">
        <f aca="false">IFERROR(__xludf.dummyfunction("""COMPUTED_VALUE"""),"Соловьев")</f>
        <v>Соловьев</v>
      </c>
      <c r="AF54" s="10" t="str">
        <f aca="false">IFERROR(__xludf.dummyfunction("""COMPUTED_VALUE"""),"Роман")</f>
        <v>Роман</v>
      </c>
      <c r="AG54" s="10" t="str">
        <f aca="false">IFERROR(__xludf.dummyfunction("""COMPUTED_VALUE"""),"Юрьевич ")</f>
        <v>Юрьевич </v>
      </c>
      <c r="AH54" s="4"/>
      <c r="AI54" s="4"/>
      <c r="AJ54" s="4"/>
      <c r="AK54" s="4"/>
    </row>
    <row r="55" customFormat="false" ht="15.75" hidden="false" customHeight="false" outlineLevel="0" collapsed="false">
      <c r="A55" s="10" t="str">
        <f aca="false">IFERROR(__xludf.dummyfunction("""COMPUTED_VALUE"""),"2023-ГАЗ-54")</f>
        <v>2023-ГАЗ-54</v>
      </c>
      <c r="B55" s="10" t="str">
        <f aca="false">IFERROR(__xludf.dummyfunction("""COMPUTED_VALUE"""),"20969-06")</f>
        <v>20969-06</v>
      </c>
      <c r="C55" s="10" t="str">
        <f aca="false">IFERROR(__xludf.dummyfunction("""COMPUTED_VALUE"""),"NPM-G4")</f>
        <v>NPM-G4</v>
      </c>
      <c r="D55" s="11" t="n">
        <f aca="false">IFERROR(__xludf.dummyfunction("""COMPUTED_VALUE"""),5132163)</f>
        <v>5132163</v>
      </c>
      <c r="E55" s="10" t="str">
        <f aca="false">IFERROR(__xludf.dummyfunction("""COMPUTED_VALUE"""),"Физ. лицо")</f>
        <v>Физ. лицо</v>
      </c>
      <c r="F55" s="12" t="n">
        <f aca="false">IFERROR(__xludf.dummyfunction("""COMPUTED_VALUE"""),45107.4395673842)</f>
        <v>45107.4395673842</v>
      </c>
      <c r="G55" s="13" t="n">
        <f aca="false">IFERROR(__xludf.dummyfunction("""COMPUTED_VALUE"""),48759)</f>
        <v>48759</v>
      </c>
      <c r="H55" s="10" t="str">
        <f aca="false">IFERROR(__xludf.dummyfunction("""COMPUTED_VALUE"""),"ГЮНК.407260.004МП")</f>
        <v>ГЮНК.407260.004МП</v>
      </c>
      <c r="I55" s="10" t="str">
        <f aca="false">IFERROR(__xludf.dummyfunction("""COMPUTED_VALUE"""),"Периодическая")</f>
        <v>Периодическая</v>
      </c>
      <c r="J55" s="10" t="str">
        <f aca="false">IFERROR(__xludf.dummyfunction("""COMPUTED_VALUE"""),"Пригоден")</f>
        <v>Пригоден</v>
      </c>
      <c r="K55" s="10" t="str">
        <f aca="false">IFERROR(__xludf.dummyfunction("""COMPUTED_VALUE"""),"")</f>
        <v/>
      </c>
      <c r="L55" s="10" t="str">
        <f aca="false">IFERROR(__xludf.dummyfunction("""COMPUTED_VALUE"""),"Соловьев Р.Ю.")</f>
        <v>Соловьев Р.Ю.</v>
      </c>
      <c r="M55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55" s="10"/>
      <c r="O55" s="10"/>
      <c r="P55" s="10"/>
      <c r="Q55" s="10"/>
      <c r="R55" s="10"/>
      <c r="S55" s="10"/>
      <c r="T55" s="10"/>
      <c r="U55" s="10" t="n">
        <f aca="false">IFERROR(__xludf.dummyfunction("""COMPUTED_VALUE"""),92)</f>
        <v>92</v>
      </c>
      <c r="V55" s="10" t="n">
        <f aca="false">IFERROR(__xludf.dummyfunction("""COMPUTED_VALUE"""),44)</f>
        <v>44</v>
      </c>
      <c r="W55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55" s="10" t="n">
        <f aca="false">IFERROR(__xludf.dummyfunction("""COMPUTED_VALUE"""),313741)</f>
        <v>313741</v>
      </c>
      <c r="Y55" s="10" t="str">
        <f aca="false">IFERROR(__xludf.dummyfunction("""COMPUTED_VALUE"""),"poverka@udmucs.ru")</f>
        <v>poverka@udmucs.ru</v>
      </c>
      <c r="Z55" s="10" t="str">
        <f aca="false">IFERROR(__xludf.dummyfunction("""COMPUTED_VALUE"""),"20969-06")</f>
        <v>20969-06</v>
      </c>
      <c r="AA55" s="12" t="n">
        <f aca="false">IFERROR(__xludf.dummyfunction("""COMPUTED_VALUE"""),45107.4395673842)</f>
        <v>45107.4395673842</v>
      </c>
      <c r="AB55" s="13" t="n">
        <f aca="false">IFERROR(__xludf.dummyfunction("""COMPUTED_VALUE"""),48759)</f>
        <v>48759</v>
      </c>
      <c r="AC55" s="10" t="str">
        <f aca="false">IFERROR(__xludf.dummyfunction("""COMPUTED_VALUE"""),"NPM-G4")</f>
        <v>NPM-G4</v>
      </c>
      <c r="AD55" s="10" t="str">
        <f aca="false">IFERROR(__xludf.dummyfunction("""COMPUTED_VALUE"""),"Годен")</f>
        <v>Годен</v>
      </c>
      <c r="AE55" s="10" t="str">
        <f aca="false">IFERROR(__xludf.dummyfunction("""COMPUTED_VALUE"""),"Соловьев")</f>
        <v>Соловьев</v>
      </c>
      <c r="AF55" s="10" t="str">
        <f aca="false">IFERROR(__xludf.dummyfunction("""COMPUTED_VALUE"""),"Роман")</f>
        <v>Роман</v>
      </c>
      <c r="AG55" s="10" t="str">
        <f aca="false">IFERROR(__xludf.dummyfunction("""COMPUTED_VALUE"""),"Юрьевич ")</f>
        <v>Юрьевич </v>
      </c>
      <c r="AH55" s="4"/>
      <c r="AI55" s="4"/>
      <c r="AJ55" s="4"/>
      <c r="AK55" s="4"/>
    </row>
    <row r="56" customFormat="false" ht="15.75" hidden="false" customHeight="false" outlineLevel="0" collapsed="false">
      <c r="A56" s="10" t="str">
        <f aca="false">IFERROR(__xludf.dummyfunction("""COMPUTED_VALUE"""),"2023-ГАЗ-55")</f>
        <v>2023-ГАЗ-55</v>
      </c>
      <c r="B56" s="10" t="str">
        <f aca="false">IFERROR(__xludf.dummyfunction("""COMPUTED_VALUE"""),"16996-02")</f>
        <v>16996-02</v>
      </c>
      <c r="C56" s="10" t="str">
        <f aca="false">IFERROR(__xludf.dummyfunction("""COMPUTED_VALUE"""),"G6 РЛ")</f>
        <v>G6 РЛ</v>
      </c>
      <c r="D56" s="11" t="n">
        <f aca="false">IFERROR(__xludf.dummyfunction("""COMPUTED_VALUE"""),321562)</f>
        <v>321562</v>
      </c>
      <c r="E56" s="10" t="str">
        <f aca="false">IFERROR(__xludf.dummyfunction("""COMPUTED_VALUE"""),"Физ. лицо")</f>
        <v>Физ. лицо</v>
      </c>
      <c r="F56" s="12" t="n">
        <f aca="false">IFERROR(__xludf.dummyfunction("""COMPUTED_VALUE"""),45107.4612747106)</f>
        <v>45107.4612747106</v>
      </c>
      <c r="G56" s="13" t="n">
        <f aca="false">IFERROR(__xludf.dummyfunction("""COMPUTED_VALUE"""),46933)</f>
        <v>46933</v>
      </c>
      <c r="H56" s="10" t="str">
        <f aca="false">IFERROR(__xludf.dummyfunction("""COMPUTED_VALUE"""),"562.М.Т2.784.000 Д1")</f>
        <v>562.М.Т2.784.000 Д1</v>
      </c>
      <c r="I56" s="10" t="str">
        <f aca="false">IFERROR(__xludf.dummyfunction("""COMPUTED_VALUE"""),"Периодическая")</f>
        <v>Периодическая</v>
      </c>
      <c r="J56" s="10" t="str">
        <f aca="false">IFERROR(__xludf.dummyfunction("""COMPUTED_VALUE"""),"Пригоден")</f>
        <v>Пригоден</v>
      </c>
      <c r="K56" s="10" t="str">
        <f aca="false">IFERROR(__xludf.dummyfunction("""COMPUTED_VALUE"""),"")</f>
        <v/>
      </c>
      <c r="L56" s="10" t="str">
        <f aca="false">IFERROR(__xludf.dummyfunction("""COMPUTED_VALUE"""),"Соловьев Р.Ю.")</f>
        <v>Соловьев Р.Ю.</v>
      </c>
      <c r="M56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56" s="10"/>
      <c r="O56" s="10"/>
      <c r="P56" s="10"/>
      <c r="Q56" s="10"/>
      <c r="R56" s="10"/>
      <c r="S56" s="10"/>
      <c r="T56" s="10"/>
      <c r="U56" s="10" t="n">
        <f aca="false">IFERROR(__xludf.dummyfunction("""COMPUTED_VALUE"""),91)</f>
        <v>91</v>
      </c>
      <c r="V56" s="10" t="n">
        <f aca="false">IFERROR(__xludf.dummyfunction("""COMPUTED_VALUE"""),41)</f>
        <v>41</v>
      </c>
      <c r="W56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56" s="10" t="n">
        <f aca="false">IFERROR(__xludf.dummyfunction("""COMPUTED_VALUE"""),313741)</f>
        <v>313741</v>
      </c>
      <c r="Y56" s="10" t="str">
        <f aca="false">IFERROR(__xludf.dummyfunction("""COMPUTED_VALUE"""),"poverka@udmucs.ru")</f>
        <v>poverka@udmucs.ru</v>
      </c>
      <c r="Z56" s="10" t="str">
        <f aca="false">IFERROR(__xludf.dummyfunction("""COMPUTED_VALUE"""),"16996-02")</f>
        <v>16996-02</v>
      </c>
      <c r="AA56" s="12" t="n">
        <f aca="false">IFERROR(__xludf.dummyfunction("""COMPUTED_VALUE"""),45107.4612747106)</f>
        <v>45107.4612747106</v>
      </c>
      <c r="AB56" s="13" t="n">
        <f aca="false">IFERROR(__xludf.dummyfunction("""COMPUTED_VALUE"""),46933)</f>
        <v>46933</v>
      </c>
      <c r="AC56" s="10" t="str">
        <f aca="false">IFERROR(__xludf.dummyfunction("""COMPUTED_VALUE"""),"G6 РЛ")</f>
        <v>G6 РЛ</v>
      </c>
      <c r="AD56" s="10" t="str">
        <f aca="false">IFERROR(__xludf.dummyfunction("""COMPUTED_VALUE"""),"Годен")</f>
        <v>Годен</v>
      </c>
      <c r="AE56" s="10" t="str">
        <f aca="false">IFERROR(__xludf.dummyfunction("""COMPUTED_VALUE"""),"Соловьев")</f>
        <v>Соловьев</v>
      </c>
      <c r="AF56" s="10" t="str">
        <f aca="false">IFERROR(__xludf.dummyfunction("""COMPUTED_VALUE"""),"Роман")</f>
        <v>Роман</v>
      </c>
      <c r="AG56" s="10" t="str">
        <f aca="false">IFERROR(__xludf.dummyfunction("""COMPUTED_VALUE"""),"Юрьевич ")</f>
        <v>Юрьевич </v>
      </c>
      <c r="AH56" s="4"/>
      <c r="AI56" s="4"/>
      <c r="AJ56" s="4"/>
      <c r="AK56" s="4"/>
    </row>
    <row r="57" customFormat="false" ht="15.75" hidden="false" customHeight="false" outlineLevel="0" collapsed="false">
      <c r="A57" s="10" t="str">
        <f aca="false">IFERROR(__xludf.dummyfunction("""COMPUTED_VALUE"""),"2023-ГАЗ-56")</f>
        <v>2023-ГАЗ-56</v>
      </c>
      <c r="B57" s="10" t="str">
        <f aca="false">IFERROR(__xludf.dummyfunction("""COMPUTED_VALUE"""),"20272-00")</f>
        <v>20272-00</v>
      </c>
      <c r="C57" s="10" t="str">
        <f aca="false">IFERROR(__xludf.dummyfunction("""COMPUTED_VALUE"""),"BK-G4")</f>
        <v>BK-G4</v>
      </c>
      <c r="D57" s="11" t="str">
        <f aca="false">IFERROR(__xludf.dummyfunction("""COMPUTED_VALUE"""),"03299350")</f>
        <v>03299350</v>
      </c>
      <c r="E57" s="10" t="str">
        <f aca="false">IFERROR(__xludf.dummyfunction("""COMPUTED_VALUE"""),"Физ. лицо")</f>
        <v>Физ. лицо</v>
      </c>
      <c r="F57" s="12" t="n">
        <f aca="false">IFERROR(__xludf.dummyfunction("""COMPUTED_VALUE"""),45107.5204241203)</f>
        <v>45107.5204241203</v>
      </c>
      <c r="G57" s="13" t="n">
        <f aca="false">IFERROR(__xludf.dummyfunction("""COMPUTED_VALUE"""),48759)</f>
        <v>48759</v>
      </c>
      <c r="H57" s="10" t="str">
        <f aca="false">IFERROR(__xludf.dummyfunction("""COMPUTED_VALUE"""),"ГОСТ 8.324-2002")</f>
        <v>ГОСТ 8.324-2002</v>
      </c>
      <c r="I57" s="10" t="str">
        <f aca="false">IFERROR(__xludf.dummyfunction("""COMPUTED_VALUE"""),"Периодическая")</f>
        <v>Периодическая</v>
      </c>
      <c r="J57" s="10" t="str">
        <f aca="false">IFERROR(__xludf.dummyfunction("""COMPUTED_VALUE"""),"Пригоден")</f>
        <v>Пригоден</v>
      </c>
      <c r="K57" s="10" t="str">
        <f aca="false">IFERROR(__xludf.dummyfunction("""COMPUTED_VALUE"""),"")</f>
        <v/>
      </c>
      <c r="L57" s="10" t="str">
        <f aca="false">IFERROR(__xludf.dummyfunction("""COMPUTED_VALUE"""),"Соловьев Р.Ю.")</f>
        <v>Соловьев Р.Ю.</v>
      </c>
      <c r="M57" s="10" t="str">
        <f aca="false">IFERROR(__xludf.dummyfunction("""COMPUTED_VALUE"""),"47370.11.1Р.00718320 47370-11 Установки поверочные Эталон 1-го разряда")</f>
        <v>47370.11.1Р.00718320 47370-11 Установки поверочные Эталон 1-го разряда</v>
      </c>
      <c r="N57" s="10"/>
      <c r="O57" s="10"/>
      <c r="P57" s="10"/>
      <c r="Q57" s="10"/>
      <c r="R57" s="10"/>
      <c r="S57" s="10"/>
      <c r="T57" s="10"/>
      <c r="U57" s="10" t="n">
        <f aca="false">IFERROR(__xludf.dummyfunction("""COMPUTED_VALUE"""),89)</f>
        <v>89</v>
      </c>
      <c r="V57" s="10" t="n">
        <f aca="false">IFERROR(__xludf.dummyfunction("""COMPUTED_VALUE"""),44)</f>
        <v>44</v>
      </c>
      <c r="W57" s="10" t="str">
        <f aca="false">IFERROR(__xludf.dummyfunction("""COMPUTED_VALUE"""),"Лица, аккредитованные на поверку средств измерений")</f>
        <v>Лица, аккредитованные на поверку средств измерений</v>
      </c>
      <c r="X57" s="10" t="n">
        <f aca="false">IFERROR(__xludf.dummyfunction("""COMPUTED_VALUE"""),313741)</f>
        <v>313741</v>
      </c>
      <c r="Y57" s="10" t="str">
        <f aca="false">IFERROR(__xludf.dummyfunction("""COMPUTED_VALUE"""),"poverka@udmucs.ru")</f>
        <v>poverka@udmucs.ru</v>
      </c>
      <c r="Z57" s="10" t="str">
        <f aca="false">IFERROR(__xludf.dummyfunction("""COMPUTED_VALUE"""),"20272-00")</f>
        <v>20272-00</v>
      </c>
      <c r="AA57" s="12" t="n">
        <f aca="false">IFERROR(__xludf.dummyfunction("""COMPUTED_VALUE"""),45107.5204241203)</f>
        <v>45107.5204241203</v>
      </c>
      <c r="AB57" s="13" t="n">
        <f aca="false">IFERROR(__xludf.dummyfunction("""COMPUTED_VALUE"""),48759)</f>
        <v>48759</v>
      </c>
      <c r="AC57" s="10" t="str">
        <f aca="false">IFERROR(__xludf.dummyfunction("""COMPUTED_VALUE"""),"BK-G4")</f>
        <v>BK-G4</v>
      </c>
      <c r="AD57" s="10" t="str">
        <f aca="false">IFERROR(__xludf.dummyfunction("""COMPUTED_VALUE"""),"Годен")</f>
        <v>Годен</v>
      </c>
      <c r="AE57" s="10" t="str">
        <f aca="false">IFERROR(__xludf.dummyfunction("""COMPUTED_VALUE"""),"Соловьев")</f>
        <v>Соловьев</v>
      </c>
      <c r="AF57" s="10" t="str">
        <f aca="false">IFERROR(__xludf.dummyfunction("""COMPUTED_VALUE"""),"Роман")</f>
        <v>Роман</v>
      </c>
      <c r="AG57" s="10" t="str">
        <f aca="false">IFERROR(__xludf.dummyfunction("""COMPUTED_VALUE"""),"Юрьевич ")</f>
        <v>Юрьевич </v>
      </c>
      <c r="AH57" s="4"/>
      <c r="AI57" s="4"/>
      <c r="AJ57" s="4"/>
      <c r="AK57" s="4"/>
    </row>
    <row r="58" customFormat="false" ht="15.75" hidden="false" customHeight="false" outlineLevel="0" collapsed="false">
      <c r="A58" s="4"/>
      <c r="B58" s="4"/>
      <c r="C58" s="4"/>
      <c r="D58" s="15"/>
      <c r="E58" s="4"/>
      <c r="F58" s="16"/>
      <c r="G58" s="16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customFormat="false" ht="15.75" hidden="false" customHeight="false" outlineLevel="0" collapsed="false">
      <c r="A59" s="4"/>
      <c r="B59" s="4"/>
      <c r="C59" s="4"/>
      <c r="D59" s="15"/>
      <c r="E59" s="4"/>
      <c r="F59" s="16"/>
      <c r="G59" s="16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customFormat="false" ht="15.75" hidden="false" customHeight="false" outlineLevel="0" collapsed="false">
      <c r="A60" s="4"/>
      <c r="B60" s="4"/>
      <c r="C60" s="4"/>
      <c r="D60" s="15"/>
      <c r="E60" s="4"/>
      <c r="F60" s="16"/>
      <c r="G60" s="16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customFormat="false" ht="15.75" hidden="false" customHeight="false" outlineLevel="0" collapsed="false">
      <c r="A61" s="4"/>
      <c r="B61" s="4"/>
      <c r="C61" s="4"/>
      <c r="D61" s="15"/>
      <c r="E61" s="4"/>
      <c r="F61" s="16"/>
      <c r="G61" s="16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customFormat="false" ht="15.75" hidden="false" customHeight="false" outlineLevel="0" collapsed="false">
      <c r="A62" s="4"/>
      <c r="B62" s="4"/>
      <c r="C62" s="4"/>
      <c r="D62" s="15"/>
      <c r="E62" s="4"/>
      <c r="F62" s="16"/>
      <c r="G62" s="16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customFormat="false" ht="15.75" hidden="false" customHeight="false" outlineLevel="0" collapsed="false">
      <c r="A63" s="4"/>
      <c r="B63" s="4"/>
      <c r="C63" s="4"/>
      <c r="D63" s="15"/>
      <c r="E63" s="4"/>
      <c r="F63" s="16"/>
      <c r="G63" s="16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customFormat="false" ht="15.75" hidden="false" customHeight="false" outlineLevel="0" collapsed="false">
      <c r="A64" s="4"/>
      <c r="B64" s="4"/>
      <c r="C64" s="4"/>
      <c r="D64" s="15"/>
      <c r="E64" s="4"/>
      <c r="F64" s="16"/>
      <c r="G64" s="16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customFormat="false" ht="15.75" hidden="false" customHeight="false" outlineLevel="0" collapsed="false">
      <c r="A65" s="4"/>
      <c r="B65" s="4"/>
      <c r="C65" s="4"/>
      <c r="D65" s="15"/>
      <c r="E65" s="4"/>
      <c r="F65" s="16"/>
      <c r="G65" s="16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customFormat="false" ht="15.75" hidden="false" customHeight="false" outlineLevel="0" collapsed="false">
      <c r="A66" s="4"/>
      <c r="B66" s="4"/>
      <c r="C66" s="4"/>
      <c r="D66" s="15"/>
      <c r="E66" s="4"/>
      <c r="F66" s="16"/>
      <c r="G66" s="16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customFormat="false" ht="15.75" hidden="false" customHeight="false" outlineLevel="0" collapsed="false">
      <c r="A67" s="4"/>
      <c r="B67" s="4"/>
      <c r="C67" s="4"/>
      <c r="D67" s="15"/>
      <c r="E67" s="4"/>
      <c r="F67" s="16"/>
      <c r="G67" s="16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customFormat="false" ht="15.75" hidden="false" customHeight="false" outlineLevel="0" collapsed="false">
      <c r="A68" s="4"/>
      <c r="B68" s="4"/>
      <c r="C68" s="4"/>
      <c r="D68" s="15"/>
      <c r="E68" s="4"/>
      <c r="F68" s="16"/>
      <c r="G68" s="16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customFormat="false" ht="15.75" hidden="false" customHeight="false" outlineLevel="0" collapsed="false">
      <c r="A69" s="4"/>
      <c r="B69" s="4"/>
      <c r="C69" s="4"/>
      <c r="D69" s="15"/>
      <c r="E69" s="4"/>
      <c r="F69" s="16"/>
      <c r="G69" s="16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customFormat="false" ht="15.75" hidden="false" customHeight="false" outlineLevel="0" collapsed="false">
      <c r="A70" s="4"/>
      <c r="B70" s="4"/>
      <c r="C70" s="4"/>
      <c r="D70" s="15"/>
      <c r="E70" s="4"/>
      <c r="F70" s="16"/>
      <c r="G70" s="16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customFormat="false" ht="15.75" hidden="false" customHeight="false" outlineLevel="0" collapsed="false">
      <c r="A71" s="4"/>
      <c r="B71" s="4"/>
      <c r="C71" s="4"/>
      <c r="D71" s="15"/>
      <c r="E71" s="4"/>
      <c r="F71" s="16"/>
      <c r="G71" s="16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customFormat="false" ht="15.75" hidden="false" customHeight="false" outlineLevel="0" collapsed="false">
      <c r="A72" s="4"/>
      <c r="B72" s="4"/>
      <c r="C72" s="4"/>
      <c r="D72" s="15"/>
      <c r="E72" s="4"/>
      <c r="F72" s="16"/>
      <c r="G72" s="16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customFormat="false" ht="15.75" hidden="false" customHeight="false" outlineLevel="0" collapsed="false">
      <c r="A73" s="4"/>
      <c r="B73" s="4"/>
      <c r="C73" s="4"/>
      <c r="D73" s="15"/>
      <c r="E73" s="4"/>
      <c r="F73" s="16"/>
      <c r="G73" s="16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customFormat="false" ht="15.75" hidden="false" customHeight="false" outlineLevel="0" collapsed="false">
      <c r="A74" s="4"/>
      <c r="B74" s="4"/>
      <c r="C74" s="4"/>
      <c r="D74" s="15"/>
      <c r="E74" s="4"/>
      <c r="F74" s="16"/>
      <c r="G74" s="16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customFormat="false" ht="15.75" hidden="false" customHeight="false" outlineLevel="0" collapsed="false">
      <c r="A75" s="4"/>
      <c r="B75" s="4"/>
      <c r="C75" s="4"/>
      <c r="D75" s="15"/>
      <c r="E75" s="4"/>
      <c r="F75" s="16"/>
      <c r="G75" s="16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customFormat="false" ht="15.75" hidden="false" customHeight="false" outlineLevel="0" collapsed="false">
      <c r="A76" s="4"/>
      <c r="B76" s="4"/>
      <c r="C76" s="4"/>
      <c r="D76" s="15"/>
      <c r="E76" s="4"/>
      <c r="F76" s="16"/>
      <c r="G76" s="16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 customFormat="false" ht="15.75" hidden="false" customHeight="false" outlineLevel="0" collapsed="false">
      <c r="A77" s="4"/>
      <c r="B77" s="4"/>
      <c r="C77" s="4"/>
      <c r="D77" s="15"/>
      <c r="E77" s="4"/>
      <c r="F77" s="16"/>
      <c r="G77" s="16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customFormat="false" ht="15.75" hidden="false" customHeight="false" outlineLevel="0" collapsed="false">
      <c r="A78" s="4"/>
      <c r="B78" s="4"/>
      <c r="C78" s="4"/>
      <c r="D78" s="15"/>
      <c r="E78" s="4"/>
      <c r="F78" s="16"/>
      <c r="G78" s="16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customFormat="false" ht="15.75" hidden="false" customHeight="false" outlineLevel="0" collapsed="false">
      <c r="A79" s="4"/>
      <c r="B79" s="4"/>
      <c r="C79" s="4"/>
      <c r="D79" s="15"/>
      <c r="E79" s="4"/>
      <c r="F79" s="16"/>
      <c r="G79" s="16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customFormat="false" ht="15.75" hidden="false" customHeight="false" outlineLevel="0" collapsed="false">
      <c r="A80" s="4"/>
      <c r="B80" s="4"/>
      <c r="C80" s="4"/>
      <c r="D80" s="15"/>
      <c r="E80" s="4"/>
      <c r="F80" s="16"/>
      <c r="G80" s="16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customFormat="false" ht="15.75" hidden="false" customHeight="false" outlineLevel="0" collapsed="false">
      <c r="A81" s="4"/>
      <c r="B81" s="4"/>
      <c r="C81" s="4"/>
      <c r="D81" s="15"/>
      <c r="E81" s="4"/>
      <c r="F81" s="16"/>
      <c r="G81" s="16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customFormat="false" ht="15.75" hidden="false" customHeight="false" outlineLevel="0" collapsed="false">
      <c r="A82" s="4"/>
      <c r="B82" s="4"/>
      <c r="C82" s="4"/>
      <c r="D82" s="15"/>
      <c r="E82" s="4"/>
      <c r="F82" s="16"/>
      <c r="G82" s="16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customFormat="false" ht="15.75" hidden="false" customHeight="false" outlineLevel="0" collapsed="false">
      <c r="A83" s="4"/>
      <c r="B83" s="4"/>
      <c r="C83" s="4"/>
      <c r="D83" s="15"/>
      <c r="E83" s="4"/>
      <c r="F83" s="16"/>
      <c r="G83" s="16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customFormat="false" ht="15.75" hidden="false" customHeight="false" outlineLevel="0" collapsed="false">
      <c r="A84" s="4"/>
      <c r="B84" s="4"/>
      <c r="C84" s="4"/>
      <c r="D84" s="15"/>
      <c r="E84" s="4"/>
      <c r="F84" s="16"/>
      <c r="G84" s="16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customFormat="false" ht="15.75" hidden="false" customHeight="false" outlineLevel="0" collapsed="false">
      <c r="A85" s="4"/>
      <c r="B85" s="4"/>
      <c r="C85" s="4"/>
      <c r="D85" s="15"/>
      <c r="E85" s="4"/>
      <c r="F85" s="16"/>
      <c r="G85" s="16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customFormat="false" ht="15.75" hidden="false" customHeight="false" outlineLevel="0" collapsed="false">
      <c r="A86" s="4"/>
      <c r="B86" s="4"/>
      <c r="C86" s="4"/>
      <c r="D86" s="15"/>
      <c r="E86" s="4"/>
      <c r="F86" s="16"/>
      <c r="G86" s="16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customFormat="false" ht="15.75" hidden="false" customHeight="false" outlineLevel="0" collapsed="false">
      <c r="A87" s="4"/>
      <c r="B87" s="4"/>
      <c r="C87" s="4"/>
      <c r="D87" s="15"/>
      <c r="E87" s="4"/>
      <c r="F87" s="16"/>
      <c r="G87" s="16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customFormat="false" ht="15.75" hidden="false" customHeight="false" outlineLevel="0" collapsed="false">
      <c r="A88" s="4"/>
      <c r="B88" s="4"/>
      <c r="C88" s="4"/>
      <c r="D88" s="15"/>
      <c r="E88" s="4"/>
      <c r="F88" s="16"/>
      <c r="G88" s="16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customFormat="false" ht="15.75" hidden="false" customHeight="false" outlineLevel="0" collapsed="false">
      <c r="A89" s="4"/>
      <c r="B89" s="4"/>
      <c r="C89" s="4"/>
      <c r="D89" s="15"/>
      <c r="E89" s="4"/>
      <c r="F89" s="16"/>
      <c r="G89" s="16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customFormat="false" ht="15.75" hidden="false" customHeight="false" outlineLevel="0" collapsed="false">
      <c r="A90" s="4"/>
      <c r="B90" s="4"/>
      <c r="C90" s="4"/>
      <c r="D90" s="15"/>
      <c r="E90" s="4"/>
      <c r="F90" s="16"/>
      <c r="G90" s="16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customFormat="false" ht="15.75" hidden="false" customHeight="false" outlineLevel="0" collapsed="false">
      <c r="A91" s="4"/>
      <c r="B91" s="4"/>
      <c r="C91" s="4"/>
      <c r="D91" s="15"/>
      <c r="E91" s="4"/>
      <c r="F91" s="16"/>
      <c r="G91" s="16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customFormat="false" ht="15.75" hidden="false" customHeight="false" outlineLevel="0" collapsed="false">
      <c r="A92" s="4"/>
      <c r="B92" s="4"/>
      <c r="C92" s="4"/>
      <c r="D92" s="15"/>
      <c r="E92" s="4"/>
      <c r="F92" s="16"/>
      <c r="G92" s="16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customFormat="false" ht="15.75" hidden="false" customHeight="false" outlineLevel="0" collapsed="false">
      <c r="A93" s="4"/>
      <c r="B93" s="4"/>
      <c r="C93" s="4"/>
      <c r="D93" s="15"/>
      <c r="E93" s="4"/>
      <c r="F93" s="16"/>
      <c r="G93" s="16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customFormat="false" ht="15.75" hidden="false" customHeight="false" outlineLevel="0" collapsed="false">
      <c r="A94" s="4"/>
      <c r="B94" s="4"/>
      <c r="C94" s="4"/>
      <c r="D94" s="15"/>
      <c r="E94" s="4"/>
      <c r="F94" s="16"/>
      <c r="G94" s="16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customFormat="false" ht="15.75" hidden="false" customHeight="false" outlineLevel="0" collapsed="false">
      <c r="A95" s="4"/>
      <c r="B95" s="4"/>
      <c r="C95" s="4"/>
      <c r="D95" s="15"/>
      <c r="E95" s="4"/>
      <c r="F95" s="16"/>
      <c r="G95" s="16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customFormat="false" ht="15.75" hidden="false" customHeight="false" outlineLevel="0" collapsed="false">
      <c r="A96" s="4"/>
      <c r="B96" s="4"/>
      <c r="C96" s="4"/>
      <c r="D96" s="15"/>
      <c r="E96" s="4"/>
      <c r="F96" s="16"/>
      <c r="G96" s="16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customFormat="false" ht="15.75" hidden="false" customHeight="false" outlineLevel="0" collapsed="false">
      <c r="A97" s="4"/>
      <c r="B97" s="4"/>
      <c r="C97" s="4"/>
      <c r="D97" s="15"/>
      <c r="E97" s="4"/>
      <c r="F97" s="16"/>
      <c r="G97" s="16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customFormat="false" ht="15.75" hidden="false" customHeight="false" outlineLevel="0" collapsed="false">
      <c r="A98" s="4"/>
      <c r="B98" s="4"/>
      <c r="C98" s="4"/>
      <c r="D98" s="15"/>
      <c r="E98" s="4"/>
      <c r="F98" s="16"/>
      <c r="G98" s="16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customFormat="false" ht="15.75" hidden="false" customHeight="false" outlineLevel="0" collapsed="false">
      <c r="A99" s="4"/>
      <c r="B99" s="4"/>
      <c r="C99" s="4"/>
      <c r="D99" s="15"/>
      <c r="E99" s="4"/>
      <c r="F99" s="16"/>
      <c r="G99" s="16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customFormat="false" ht="15.75" hidden="false" customHeight="false" outlineLevel="0" collapsed="false">
      <c r="A100" s="4"/>
      <c r="B100" s="4"/>
      <c r="C100" s="4"/>
      <c r="D100" s="15"/>
      <c r="E100" s="4"/>
      <c r="F100" s="16"/>
      <c r="G100" s="16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customFormat="false" ht="15.75" hidden="false" customHeight="false" outlineLevel="0" collapsed="false">
      <c r="A101" s="4"/>
      <c r="B101" s="4"/>
      <c r="C101" s="4"/>
      <c r="D101" s="15"/>
      <c r="E101" s="4"/>
      <c r="F101" s="16"/>
      <c r="G101" s="16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customFormat="false" ht="15.75" hidden="false" customHeight="false" outlineLevel="0" collapsed="false">
      <c r="A102" s="4"/>
      <c r="B102" s="4"/>
      <c r="C102" s="4"/>
      <c r="D102" s="15"/>
      <c r="E102" s="4"/>
      <c r="F102" s="16"/>
      <c r="G102" s="16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customFormat="false" ht="15.75" hidden="false" customHeight="false" outlineLevel="0" collapsed="false">
      <c r="A103" s="4"/>
      <c r="B103" s="4"/>
      <c r="C103" s="4"/>
      <c r="D103" s="15"/>
      <c r="E103" s="4"/>
      <c r="F103" s="16"/>
      <c r="G103" s="16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customFormat="false" ht="15.75" hidden="false" customHeight="false" outlineLevel="0" collapsed="false">
      <c r="A104" s="4"/>
      <c r="B104" s="4"/>
      <c r="C104" s="4"/>
      <c r="D104" s="15"/>
      <c r="E104" s="4"/>
      <c r="F104" s="16"/>
      <c r="G104" s="16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customFormat="false" ht="15.75" hidden="false" customHeight="false" outlineLevel="0" collapsed="false">
      <c r="A105" s="4"/>
      <c r="B105" s="4"/>
      <c r="C105" s="4"/>
      <c r="D105" s="15"/>
      <c r="E105" s="4"/>
      <c r="F105" s="16"/>
      <c r="G105" s="16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customFormat="false" ht="15.75" hidden="false" customHeight="false" outlineLevel="0" collapsed="false">
      <c r="A106" s="4"/>
      <c r="B106" s="4"/>
      <c r="C106" s="4"/>
      <c r="D106" s="15"/>
      <c r="E106" s="4"/>
      <c r="F106" s="16"/>
      <c r="G106" s="16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customFormat="false" ht="15.75" hidden="false" customHeight="false" outlineLevel="0" collapsed="false">
      <c r="A107" s="4"/>
      <c r="B107" s="4"/>
      <c r="C107" s="4"/>
      <c r="D107" s="15"/>
      <c r="E107" s="4"/>
      <c r="F107" s="16"/>
      <c r="G107" s="16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customFormat="false" ht="15.75" hidden="false" customHeight="false" outlineLevel="0" collapsed="false">
      <c r="A108" s="4"/>
      <c r="B108" s="4"/>
      <c r="C108" s="4"/>
      <c r="D108" s="15"/>
      <c r="E108" s="4"/>
      <c r="F108" s="16"/>
      <c r="G108" s="16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customFormat="false" ht="15.75" hidden="false" customHeight="false" outlineLevel="0" collapsed="false">
      <c r="A109" s="4"/>
      <c r="B109" s="4"/>
      <c r="C109" s="4"/>
      <c r="D109" s="15"/>
      <c r="E109" s="4"/>
      <c r="F109" s="16"/>
      <c r="G109" s="16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customFormat="false" ht="15.75" hidden="false" customHeight="false" outlineLevel="0" collapsed="false">
      <c r="A110" s="4"/>
      <c r="B110" s="4"/>
      <c r="C110" s="4"/>
      <c r="D110" s="15"/>
      <c r="E110" s="4"/>
      <c r="F110" s="16"/>
      <c r="G110" s="16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customFormat="false" ht="15.75" hidden="false" customHeight="false" outlineLevel="0" collapsed="false">
      <c r="A111" s="4"/>
      <c r="B111" s="4"/>
      <c r="C111" s="4"/>
      <c r="D111" s="15"/>
      <c r="E111" s="4"/>
      <c r="F111" s="16"/>
      <c r="G111" s="16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customFormat="false" ht="15.75" hidden="false" customHeight="false" outlineLevel="0" collapsed="false">
      <c r="A112" s="4"/>
      <c r="B112" s="4"/>
      <c r="C112" s="4"/>
      <c r="D112" s="15"/>
      <c r="E112" s="4"/>
      <c r="F112" s="16"/>
      <c r="G112" s="16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customFormat="false" ht="15.75" hidden="false" customHeight="false" outlineLevel="0" collapsed="false">
      <c r="A113" s="4"/>
      <c r="B113" s="4"/>
      <c r="C113" s="4"/>
      <c r="D113" s="15"/>
      <c r="E113" s="4"/>
      <c r="F113" s="16"/>
      <c r="G113" s="16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customFormat="false" ht="15.75" hidden="false" customHeight="false" outlineLevel="0" collapsed="false">
      <c r="A114" s="4"/>
      <c r="B114" s="4"/>
      <c r="C114" s="4"/>
      <c r="D114" s="15"/>
      <c r="E114" s="4"/>
      <c r="F114" s="16"/>
      <c r="G114" s="16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customFormat="false" ht="15.75" hidden="false" customHeight="false" outlineLevel="0" collapsed="false">
      <c r="A115" s="4"/>
      <c r="B115" s="4"/>
      <c r="C115" s="4"/>
      <c r="D115" s="15"/>
      <c r="E115" s="4"/>
      <c r="F115" s="16"/>
      <c r="G115" s="16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customFormat="false" ht="15.75" hidden="false" customHeight="false" outlineLevel="0" collapsed="false">
      <c r="A116" s="4"/>
      <c r="B116" s="4"/>
      <c r="C116" s="4"/>
      <c r="D116" s="15"/>
      <c r="E116" s="4"/>
      <c r="F116" s="16"/>
      <c r="G116" s="16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customFormat="false" ht="15.75" hidden="false" customHeight="false" outlineLevel="0" collapsed="false">
      <c r="A117" s="4"/>
      <c r="B117" s="4"/>
      <c r="C117" s="4"/>
      <c r="D117" s="15"/>
      <c r="E117" s="4"/>
      <c r="F117" s="16"/>
      <c r="G117" s="16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customFormat="false" ht="15.75" hidden="false" customHeight="false" outlineLevel="0" collapsed="false">
      <c r="A118" s="4"/>
      <c r="B118" s="4"/>
      <c r="C118" s="4"/>
      <c r="D118" s="15"/>
      <c r="E118" s="4"/>
      <c r="F118" s="16"/>
      <c r="G118" s="16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customFormat="false" ht="15.75" hidden="false" customHeight="false" outlineLevel="0" collapsed="false">
      <c r="A119" s="4"/>
      <c r="B119" s="4"/>
      <c r="C119" s="4"/>
      <c r="D119" s="15"/>
      <c r="E119" s="4"/>
      <c r="F119" s="16"/>
      <c r="G119" s="16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customFormat="false" ht="15.75" hidden="false" customHeight="false" outlineLevel="0" collapsed="false">
      <c r="A120" s="4"/>
      <c r="B120" s="4"/>
      <c r="C120" s="4"/>
      <c r="D120" s="15"/>
      <c r="E120" s="4"/>
      <c r="F120" s="16"/>
      <c r="G120" s="16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customFormat="false" ht="15.75" hidden="false" customHeight="false" outlineLevel="0" collapsed="false">
      <c r="A121" s="4"/>
      <c r="B121" s="4"/>
      <c r="C121" s="4"/>
      <c r="D121" s="15"/>
      <c r="E121" s="4"/>
      <c r="F121" s="16"/>
      <c r="G121" s="16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customFormat="false" ht="15.75" hidden="false" customHeight="false" outlineLevel="0" collapsed="false">
      <c r="A122" s="4"/>
      <c r="B122" s="4"/>
      <c r="C122" s="4"/>
      <c r="D122" s="15"/>
      <c r="E122" s="4"/>
      <c r="F122" s="16"/>
      <c r="G122" s="16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customFormat="false" ht="15.75" hidden="false" customHeight="false" outlineLevel="0" collapsed="false">
      <c r="A123" s="4"/>
      <c r="B123" s="4"/>
      <c r="C123" s="4"/>
      <c r="D123" s="15"/>
      <c r="E123" s="4"/>
      <c r="F123" s="16"/>
      <c r="G123" s="16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customFormat="false" ht="15.75" hidden="false" customHeight="false" outlineLevel="0" collapsed="false">
      <c r="A124" s="4"/>
      <c r="B124" s="4"/>
      <c r="C124" s="4"/>
      <c r="D124" s="15"/>
      <c r="E124" s="4"/>
      <c r="F124" s="16"/>
      <c r="G124" s="16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customFormat="false" ht="15.75" hidden="false" customHeight="false" outlineLevel="0" collapsed="false">
      <c r="A125" s="4"/>
      <c r="B125" s="4"/>
      <c r="C125" s="4"/>
      <c r="D125" s="15"/>
      <c r="E125" s="4"/>
      <c r="F125" s="16"/>
      <c r="G125" s="16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customFormat="false" ht="15.75" hidden="false" customHeight="false" outlineLevel="0" collapsed="false">
      <c r="A126" s="4"/>
      <c r="B126" s="4"/>
      <c r="C126" s="4"/>
      <c r="D126" s="15"/>
      <c r="E126" s="4"/>
      <c r="F126" s="16"/>
      <c r="G126" s="16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customFormat="false" ht="15.75" hidden="false" customHeight="false" outlineLevel="0" collapsed="false">
      <c r="A127" s="4"/>
      <c r="B127" s="4"/>
      <c r="C127" s="4"/>
      <c r="D127" s="15"/>
      <c r="E127" s="4"/>
      <c r="F127" s="16"/>
      <c r="G127" s="16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customFormat="false" ht="15.75" hidden="false" customHeight="false" outlineLevel="0" collapsed="false">
      <c r="A128" s="4"/>
      <c r="B128" s="4"/>
      <c r="C128" s="4"/>
      <c r="D128" s="15"/>
      <c r="E128" s="4"/>
      <c r="F128" s="16"/>
      <c r="G128" s="16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customFormat="false" ht="15.75" hidden="false" customHeight="false" outlineLevel="0" collapsed="false">
      <c r="A129" s="4"/>
      <c r="B129" s="4"/>
      <c r="C129" s="4"/>
      <c r="D129" s="15"/>
      <c r="E129" s="4"/>
      <c r="F129" s="16"/>
      <c r="G129" s="16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customFormat="false" ht="15.75" hidden="false" customHeight="false" outlineLevel="0" collapsed="false">
      <c r="A130" s="4"/>
      <c r="B130" s="4"/>
      <c r="C130" s="4"/>
      <c r="D130" s="15"/>
      <c r="E130" s="4"/>
      <c r="F130" s="16"/>
      <c r="G130" s="16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customFormat="false" ht="15.75" hidden="false" customHeight="false" outlineLevel="0" collapsed="false">
      <c r="A131" s="4"/>
      <c r="B131" s="4"/>
      <c r="C131" s="4"/>
      <c r="D131" s="15"/>
      <c r="E131" s="4"/>
      <c r="F131" s="16"/>
      <c r="G131" s="16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customFormat="false" ht="15.75" hidden="false" customHeight="false" outlineLevel="0" collapsed="false">
      <c r="A132" s="4"/>
      <c r="B132" s="4"/>
      <c r="C132" s="4"/>
      <c r="D132" s="15"/>
      <c r="E132" s="4"/>
      <c r="F132" s="16"/>
      <c r="G132" s="16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customFormat="false" ht="15.75" hidden="false" customHeight="false" outlineLevel="0" collapsed="false">
      <c r="A133" s="4"/>
      <c r="B133" s="4"/>
      <c r="C133" s="4"/>
      <c r="D133" s="15"/>
      <c r="E133" s="4"/>
      <c r="F133" s="16"/>
      <c r="G133" s="16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customFormat="false" ht="15.75" hidden="false" customHeight="false" outlineLevel="0" collapsed="false">
      <c r="A134" s="4"/>
      <c r="B134" s="4"/>
      <c r="C134" s="4"/>
      <c r="D134" s="15"/>
      <c r="E134" s="4"/>
      <c r="F134" s="16"/>
      <c r="G134" s="16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customFormat="false" ht="15.75" hidden="false" customHeight="false" outlineLevel="0" collapsed="false">
      <c r="A135" s="4"/>
      <c r="B135" s="4"/>
      <c r="C135" s="4"/>
      <c r="D135" s="15"/>
      <c r="E135" s="4"/>
      <c r="F135" s="16"/>
      <c r="G135" s="1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customFormat="false" ht="15.75" hidden="false" customHeight="false" outlineLevel="0" collapsed="false">
      <c r="A136" s="4"/>
      <c r="B136" s="4"/>
      <c r="C136" s="4"/>
      <c r="D136" s="15"/>
      <c r="E136" s="4"/>
      <c r="F136" s="16"/>
      <c r="G136" s="1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customFormat="false" ht="15.75" hidden="false" customHeight="false" outlineLevel="0" collapsed="false">
      <c r="A137" s="4"/>
      <c r="B137" s="4"/>
      <c r="C137" s="4"/>
      <c r="D137" s="15"/>
      <c r="E137" s="4"/>
      <c r="F137" s="16"/>
      <c r="G137" s="16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customFormat="false" ht="15.75" hidden="false" customHeight="false" outlineLevel="0" collapsed="false">
      <c r="A138" s="4"/>
      <c r="B138" s="4"/>
      <c r="C138" s="4"/>
      <c r="D138" s="15"/>
      <c r="E138" s="4"/>
      <c r="F138" s="16"/>
      <c r="G138" s="16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customFormat="false" ht="15.75" hidden="false" customHeight="false" outlineLevel="0" collapsed="false">
      <c r="A139" s="4"/>
      <c r="B139" s="4"/>
      <c r="C139" s="4"/>
      <c r="D139" s="15"/>
      <c r="E139" s="4"/>
      <c r="F139" s="16"/>
      <c r="G139" s="16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customFormat="false" ht="15.75" hidden="false" customHeight="false" outlineLevel="0" collapsed="false">
      <c r="A140" s="4"/>
      <c r="B140" s="4"/>
      <c r="C140" s="4"/>
      <c r="D140" s="15"/>
      <c r="E140" s="4"/>
      <c r="F140" s="16"/>
      <c r="G140" s="16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customFormat="false" ht="15.75" hidden="false" customHeight="false" outlineLevel="0" collapsed="false">
      <c r="A141" s="4"/>
      <c r="B141" s="4"/>
      <c r="C141" s="4"/>
      <c r="D141" s="15"/>
      <c r="E141" s="4"/>
      <c r="F141" s="16"/>
      <c r="G141" s="16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customFormat="false" ht="15.75" hidden="false" customHeight="false" outlineLevel="0" collapsed="false">
      <c r="A142" s="4"/>
      <c r="B142" s="4"/>
      <c r="C142" s="4"/>
      <c r="D142" s="15"/>
      <c r="E142" s="4"/>
      <c r="F142" s="16"/>
      <c r="G142" s="16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customFormat="false" ht="15.75" hidden="false" customHeight="false" outlineLevel="0" collapsed="false">
      <c r="A143" s="4"/>
      <c r="B143" s="4"/>
      <c r="C143" s="4"/>
      <c r="D143" s="15"/>
      <c r="E143" s="4"/>
      <c r="F143" s="16"/>
      <c r="G143" s="16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customFormat="false" ht="15.75" hidden="false" customHeight="false" outlineLevel="0" collapsed="false">
      <c r="A144" s="4"/>
      <c r="B144" s="4"/>
      <c r="C144" s="4"/>
      <c r="D144" s="15"/>
      <c r="E144" s="4"/>
      <c r="F144" s="16"/>
      <c r="G144" s="16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customFormat="false" ht="15.75" hidden="false" customHeight="false" outlineLevel="0" collapsed="false">
      <c r="A145" s="4"/>
      <c r="B145" s="4"/>
      <c r="C145" s="4"/>
      <c r="D145" s="15"/>
      <c r="E145" s="4"/>
      <c r="F145" s="16"/>
      <c r="G145" s="1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customFormat="false" ht="15.75" hidden="false" customHeight="false" outlineLevel="0" collapsed="false">
      <c r="A146" s="4"/>
      <c r="B146" s="4"/>
      <c r="C146" s="4"/>
      <c r="D146" s="15"/>
      <c r="E146" s="4"/>
      <c r="F146" s="16"/>
      <c r="G146" s="1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customFormat="false" ht="15.75" hidden="false" customHeight="false" outlineLevel="0" collapsed="false">
      <c r="A147" s="4"/>
      <c r="B147" s="4"/>
      <c r="C147" s="4"/>
      <c r="D147" s="15"/>
      <c r="E147" s="4"/>
      <c r="F147" s="16"/>
      <c r="G147" s="16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customFormat="false" ht="15.75" hidden="false" customHeight="false" outlineLevel="0" collapsed="false">
      <c r="A148" s="4"/>
      <c r="B148" s="4"/>
      <c r="C148" s="4"/>
      <c r="D148" s="15"/>
      <c r="E148" s="4"/>
      <c r="F148" s="16"/>
      <c r="G148" s="1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customFormat="false" ht="15.75" hidden="false" customHeight="false" outlineLevel="0" collapsed="false">
      <c r="A149" s="4"/>
      <c r="B149" s="4"/>
      <c r="C149" s="4"/>
      <c r="D149" s="15"/>
      <c r="E149" s="4"/>
      <c r="F149" s="16"/>
      <c r="G149" s="1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customFormat="false" ht="15.75" hidden="false" customHeight="false" outlineLevel="0" collapsed="false">
      <c r="A150" s="4"/>
      <c r="B150" s="4"/>
      <c r="C150" s="4"/>
      <c r="D150" s="15"/>
      <c r="E150" s="4"/>
      <c r="F150" s="16"/>
      <c r="G150" s="16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 customFormat="false" ht="15.75" hidden="false" customHeight="false" outlineLevel="0" collapsed="false">
      <c r="A151" s="4"/>
      <c r="B151" s="4"/>
      <c r="C151" s="4"/>
      <c r="D151" s="15"/>
      <c r="E151" s="4"/>
      <c r="F151" s="16"/>
      <c r="G151" s="16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customFormat="false" ht="15.75" hidden="false" customHeight="false" outlineLevel="0" collapsed="false">
      <c r="A152" s="4"/>
      <c r="B152" s="4"/>
      <c r="C152" s="4"/>
      <c r="D152" s="15"/>
      <c r="E152" s="4"/>
      <c r="F152" s="16"/>
      <c r="G152" s="16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customFormat="false" ht="15.75" hidden="false" customHeight="false" outlineLevel="0" collapsed="false">
      <c r="A153" s="4"/>
      <c r="B153" s="4"/>
      <c r="C153" s="4"/>
      <c r="D153" s="15"/>
      <c r="E153" s="4"/>
      <c r="F153" s="16"/>
      <c r="G153" s="16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customFormat="false" ht="15.75" hidden="false" customHeight="false" outlineLevel="0" collapsed="false">
      <c r="A154" s="4"/>
      <c r="B154" s="4"/>
      <c r="C154" s="4"/>
      <c r="D154" s="15"/>
      <c r="E154" s="4"/>
      <c r="F154" s="16"/>
      <c r="G154" s="16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 customFormat="false" ht="15.75" hidden="false" customHeight="false" outlineLevel="0" collapsed="false">
      <c r="A155" s="4"/>
      <c r="B155" s="4"/>
      <c r="C155" s="4"/>
      <c r="D155" s="15"/>
      <c r="E155" s="4"/>
      <c r="F155" s="16"/>
      <c r="G155" s="16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customFormat="false" ht="15.75" hidden="false" customHeight="false" outlineLevel="0" collapsed="false">
      <c r="A156" s="4"/>
      <c r="B156" s="4"/>
      <c r="C156" s="4"/>
      <c r="D156" s="15"/>
      <c r="E156" s="4"/>
      <c r="F156" s="16"/>
      <c r="G156" s="16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customFormat="false" ht="15.75" hidden="false" customHeight="false" outlineLevel="0" collapsed="false">
      <c r="A157" s="4"/>
      <c r="B157" s="4"/>
      <c r="C157" s="4"/>
      <c r="D157" s="15"/>
      <c r="E157" s="4"/>
      <c r="F157" s="16"/>
      <c r="G157" s="16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customFormat="false" ht="15.75" hidden="false" customHeight="false" outlineLevel="0" collapsed="false">
      <c r="A158" s="4"/>
      <c r="B158" s="4"/>
      <c r="C158" s="4"/>
      <c r="D158" s="15"/>
      <c r="E158" s="4"/>
      <c r="F158" s="16"/>
      <c r="G158" s="16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customFormat="false" ht="15.75" hidden="false" customHeight="false" outlineLevel="0" collapsed="false">
      <c r="A159" s="4"/>
      <c r="B159" s="4"/>
      <c r="C159" s="4"/>
      <c r="D159" s="15"/>
      <c r="E159" s="4"/>
      <c r="F159" s="16"/>
      <c r="G159" s="16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customFormat="false" ht="15.75" hidden="false" customHeight="false" outlineLevel="0" collapsed="false">
      <c r="A160" s="4"/>
      <c r="B160" s="4"/>
      <c r="C160" s="4"/>
      <c r="D160" s="15"/>
      <c r="E160" s="4"/>
      <c r="F160" s="16"/>
      <c r="G160" s="16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 customFormat="false" ht="15.75" hidden="false" customHeight="false" outlineLevel="0" collapsed="false">
      <c r="A161" s="4"/>
      <c r="B161" s="4"/>
      <c r="C161" s="4"/>
      <c r="D161" s="15"/>
      <c r="E161" s="4"/>
      <c r="F161" s="16"/>
      <c r="G161" s="16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customFormat="false" ht="15.75" hidden="false" customHeight="false" outlineLevel="0" collapsed="false">
      <c r="A162" s="4"/>
      <c r="B162" s="4"/>
      <c r="C162" s="4"/>
      <c r="D162" s="15"/>
      <c r="E162" s="4"/>
      <c r="F162" s="16"/>
      <c r="G162" s="16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customFormat="false" ht="15.75" hidden="false" customHeight="false" outlineLevel="0" collapsed="false">
      <c r="A163" s="4"/>
      <c r="B163" s="4"/>
      <c r="C163" s="4"/>
      <c r="D163" s="15"/>
      <c r="E163" s="4"/>
      <c r="F163" s="16"/>
      <c r="G163" s="1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 customFormat="false" ht="15.75" hidden="false" customHeight="false" outlineLevel="0" collapsed="false">
      <c r="A164" s="4"/>
      <c r="B164" s="4"/>
      <c r="C164" s="4"/>
      <c r="D164" s="15"/>
      <c r="E164" s="4"/>
      <c r="F164" s="16"/>
      <c r="G164" s="16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customFormat="false" ht="15.75" hidden="false" customHeight="false" outlineLevel="0" collapsed="false">
      <c r="A165" s="4"/>
      <c r="B165" s="4"/>
      <c r="C165" s="4"/>
      <c r="D165" s="15"/>
      <c r="E165" s="4"/>
      <c r="F165" s="16"/>
      <c r="G165" s="16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customFormat="false" ht="15.75" hidden="false" customHeight="false" outlineLevel="0" collapsed="false">
      <c r="A166" s="4"/>
      <c r="B166" s="4"/>
      <c r="C166" s="4"/>
      <c r="D166" s="15"/>
      <c r="E166" s="4"/>
      <c r="F166" s="16"/>
      <c r="G166" s="16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 customFormat="false" ht="15.75" hidden="false" customHeight="false" outlineLevel="0" collapsed="false">
      <c r="A167" s="4"/>
      <c r="B167" s="4"/>
      <c r="C167" s="4"/>
      <c r="D167" s="15"/>
      <c r="E167" s="4"/>
      <c r="F167" s="16"/>
      <c r="G167" s="16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customFormat="false" ht="15.75" hidden="false" customHeight="false" outlineLevel="0" collapsed="false">
      <c r="A168" s="4"/>
      <c r="B168" s="4"/>
      <c r="C168" s="4"/>
      <c r="D168" s="15"/>
      <c r="E168" s="4"/>
      <c r="F168" s="16"/>
      <c r="G168" s="16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customFormat="false" ht="15.75" hidden="false" customHeight="false" outlineLevel="0" collapsed="false">
      <c r="A169" s="4"/>
      <c r="B169" s="4"/>
      <c r="C169" s="4"/>
      <c r="D169" s="15"/>
      <c r="E169" s="4"/>
      <c r="F169" s="16"/>
      <c r="G169" s="16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customFormat="false" ht="15.75" hidden="false" customHeight="false" outlineLevel="0" collapsed="false">
      <c r="A170" s="4"/>
      <c r="B170" s="4"/>
      <c r="C170" s="4"/>
      <c r="D170" s="15"/>
      <c r="E170" s="4"/>
      <c r="F170" s="16"/>
      <c r="G170" s="16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customFormat="false" ht="15.75" hidden="false" customHeight="false" outlineLevel="0" collapsed="false">
      <c r="A171" s="4"/>
      <c r="B171" s="4"/>
      <c r="C171" s="4"/>
      <c r="D171" s="15"/>
      <c r="E171" s="4"/>
      <c r="F171" s="16"/>
      <c r="G171" s="16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customFormat="false" ht="15.75" hidden="false" customHeight="false" outlineLevel="0" collapsed="false">
      <c r="A172" s="4"/>
      <c r="B172" s="4"/>
      <c r="C172" s="4"/>
      <c r="D172" s="15"/>
      <c r="E172" s="4"/>
      <c r="F172" s="16"/>
      <c r="G172" s="16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 customFormat="false" ht="15.75" hidden="false" customHeight="false" outlineLevel="0" collapsed="false">
      <c r="A173" s="4"/>
      <c r="B173" s="4"/>
      <c r="C173" s="4"/>
      <c r="D173" s="15"/>
      <c r="E173" s="4"/>
      <c r="F173" s="16"/>
      <c r="G173" s="16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customFormat="false" ht="15.75" hidden="false" customHeight="false" outlineLevel="0" collapsed="false">
      <c r="A174" s="4"/>
      <c r="B174" s="4"/>
      <c r="C174" s="4"/>
      <c r="D174" s="15"/>
      <c r="E174" s="4"/>
      <c r="F174" s="16"/>
      <c r="G174" s="16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customFormat="false" ht="15.75" hidden="false" customHeight="false" outlineLevel="0" collapsed="false">
      <c r="A175" s="4"/>
      <c r="B175" s="4"/>
      <c r="C175" s="4"/>
      <c r="D175" s="15"/>
      <c r="E175" s="4"/>
      <c r="F175" s="16"/>
      <c r="G175" s="16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customFormat="false" ht="15.75" hidden="false" customHeight="false" outlineLevel="0" collapsed="false">
      <c r="A176" s="4"/>
      <c r="B176" s="4"/>
      <c r="C176" s="4"/>
      <c r="D176" s="15"/>
      <c r="E176" s="4"/>
      <c r="F176" s="16"/>
      <c r="G176" s="16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customFormat="false" ht="15.75" hidden="false" customHeight="false" outlineLevel="0" collapsed="false">
      <c r="A177" s="4"/>
      <c r="B177" s="4"/>
      <c r="C177" s="4"/>
      <c r="D177" s="15"/>
      <c r="E177" s="4"/>
      <c r="F177" s="16"/>
      <c r="G177" s="16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customFormat="false" ht="15.75" hidden="false" customHeight="false" outlineLevel="0" collapsed="false">
      <c r="A178" s="4"/>
      <c r="B178" s="4"/>
      <c r="C178" s="4"/>
      <c r="D178" s="15"/>
      <c r="E178" s="4"/>
      <c r="F178" s="16"/>
      <c r="G178" s="16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customFormat="false" ht="15.75" hidden="false" customHeight="false" outlineLevel="0" collapsed="false">
      <c r="A179" s="4"/>
      <c r="B179" s="4"/>
      <c r="C179" s="4"/>
      <c r="D179" s="15"/>
      <c r="E179" s="4"/>
      <c r="F179" s="16"/>
      <c r="G179" s="16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customFormat="false" ht="15.75" hidden="false" customHeight="false" outlineLevel="0" collapsed="false">
      <c r="A180" s="4"/>
      <c r="B180" s="4"/>
      <c r="C180" s="4"/>
      <c r="D180" s="15"/>
      <c r="E180" s="4"/>
      <c r="F180" s="16"/>
      <c r="G180" s="16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customFormat="false" ht="15.75" hidden="false" customHeight="false" outlineLevel="0" collapsed="false">
      <c r="A181" s="4"/>
      <c r="B181" s="4"/>
      <c r="C181" s="4"/>
      <c r="D181" s="15"/>
      <c r="E181" s="4"/>
      <c r="F181" s="16"/>
      <c r="G181" s="16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 customFormat="false" ht="15.75" hidden="false" customHeight="false" outlineLevel="0" collapsed="false">
      <c r="A182" s="4"/>
      <c r="B182" s="4"/>
      <c r="C182" s="4"/>
      <c r="D182" s="15"/>
      <c r="E182" s="4"/>
      <c r="F182" s="16"/>
      <c r="G182" s="16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customFormat="false" ht="15.75" hidden="false" customHeight="false" outlineLevel="0" collapsed="false">
      <c r="A183" s="4"/>
      <c r="B183" s="4"/>
      <c r="C183" s="4"/>
      <c r="D183" s="15"/>
      <c r="E183" s="4"/>
      <c r="F183" s="16"/>
      <c r="G183" s="16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customFormat="false" ht="15.75" hidden="false" customHeight="false" outlineLevel="0" collapsed="false">
      <c r="A184" s="4"/>
      <c r="B184" s="4"/>
      <c r="C184" s="4"/>
      <c r="D184" s="15"/>
      <c r="E184" s="4"/>
      <c r="F184" s="16"/>
      <c r="G184" s="16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 customFormat="false" ht="15.75" hidden="false" customHeight="false" outlineLevel="0" collapsed="false">
      <c r="A185" s="4"/>
      <c r="B185" s="4"/>
      <c r="C185" s="4"/>
      <c r="D185" s="15"/>
      <c r="E185" s="4"/>
      <c r="F185" s="16"/>
      <c r="G185" s="16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customFormat="false" ht="15.75" hidden="false" customHeight="false" outlineLevel="0" collapsed="false">
      <c r="A186" s="4"/>
      <c r="B186" s="4"/>
      <c r="C186" s="4"/>
      <c r="D186" s="15"/>
      <c r="E186" s="4"/>
      <c r="F186" s="16"/>
      <c r="G186" s="16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 customFormat="false" ht="15.75" hidden="false" customHeight="false" outlineLevel="0" collapsed="false">
      <c r="A187" s="4"/>
      <c r="B187" s="4"/>
      <c r="C187" s="4"/>
      <c r="D187" s="15"/>
      <c r="E187" s="4"/>
      <c r="F187" s="16"/>
      <c r="G187" s="16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 customFormat="false" ht="15.75" hidden="false" customHeight="false" outlineLevel="0" collapsed="false">
      <c r="A188" s="4"/>
      <c r="B188" s="4"/>
      <c r="C188" s="4"/>
      <c r="D188" s="15"/>
      <c r="E188" s="4"/>
      <c r="F188" s="16"/>
      <c r="G188" s="16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customFormat="false" ht="15.75" hidden="false" customHeight="false" outlineLevel="0" collapsed="false">
      <c r="A189" s="4"/>
      <c r="B189" s="4"/>
      <c r="C189" s="4"/>
      <c r="D189" s="15"/>
      <c r="E189" s="4"/>
      <c r="F189" s="16"/>
      <c r="G189" s="16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customFormat="false" ht="15.75" hidden="false" customHeight="false" outlineLevel="0" collapsed="false">
      <c r="A190" s="4"/>
      <c r="B190" s="4"/>
      <c r="C190" s="4"/>
      <c r="D190" s="15"/>
      <c r="E190" s="4"/>
      <c r="F190" s="16"/>
      <c r="G190" s="16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customFormat="false" ht="15.75" hidden="false" customHeight="false" outlineLevel="0" collapsed="false">
      <c r="A191" s="4"/>
      <c r="B191" s="4"/>
      <c r="C191" s="4"/>
      <c r="D191" s="15"/>
      <c r="E191" s="4"/>
      <c r="F191" s="16"/>
      <c r="G191" s="16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customFormat="false" ht="15.75" hidden="false" customHeight="false" outlineLevel="0" collapsed="false">
      <c r="A192" s="4"/>
      <c r="B192" s="4"/>
      <c r="C192" s="4"/>
      <c r="D192" s="15"/>
      <c r="E192" s="4"/>
      <c r="F192" s="16"/>
      <c r="G192" s="16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customFormat="false" ht="15.75" hidden="false" customHeight="false" outlineLevel="0" collapsed="false">
      <c r="A193" s="4"/>
      <c r="B193" s="4"/>
      <c r="C193" s="4"/>
      <c r="D193" s="15"/>
      <c r="E193" s="4"/>
      <c r="F193" s="16"/>
      <c r="G193" s="16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customFormat="false" ht="15.75" hidden="false" customHeight="false" outlineLevel="0" collapsed="false">
      <c r="A194" s="4"/>
      <c r="B194" s="4"/>
      <c r="C194" s="4"/>
      <c r="D194" s="15"/>
      <c r="E194" s="4"/>
      <c r="F194" s="16"/>
      <c r="G194" s="16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customFormat="false" ht="15.75" hidden="false" customHeight="false" outlineLevel="0" collapsed="false">
      <c r="A195" s="4"/>
      <c r="B195" s="4"/>
      <c r="C195" s="4"/>
      <c r="D195" s="15"/>
      <c r="E195" s="4"/>
      <c r="F195" s="16"/>
      <c r="G195" s="16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customFormat="false" ht="15.75" hidden="false" customHeight="false" outlineLevel="0" collapsed="false">
      <c r="A196" s="4"/>
      <c r="B196" s="4"/>
      <c r="C196" s="4"/>
      <c r="D196" s="15"/>
      <c r="E196" s="4"/>
      <c r="F196" s="16"/>
      <c r="G196" s="16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customFormat="false" ht="15.75" hidden="false" customHeight="false" outlineLevel="0" collapsed="false">
      <c r="A197" s="4"/>
      <c r="B197" s="4"/>
      <c r="C197" s="4"/>
      <c r="D197" s="15"/>
      <c r="E197" s="4"/>
      <c r="F197" s="16"/>
      <c r="G197" s="16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customFormat="false" ht="15.75" hidden="false" customHeight="false" outlineLevel="0" collapsed="false">
      <c r="A198" s="4"/>
      <c r="B198" s="4"/>
      <c r="C198" s="4"/>
      <c r="D198" s="15"/>
      <c r="E198" s="4"/>
      <c r="F198" s="16"/>
      <c r="G198" s="16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customFormat="false" ht="15.75" hidden="false" customHeight="false" outlineLevel="0" collapsed="false">
      <c r="A199" s="4"/>
      <c r="B199" s="4"/>
      <c r="C199" s="4"/>
      <c r="D199" s="15"/>
      <c r="E199" s="4"/>
      <c r="F199" s="16"/>
      <c r="G199" s="16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customFormat="false" ht="15.75" hidden="false" customHeight="false" outlineLevel="0" collapsed="false">
      <c r="A200" s="4"/>
      <c r="B200" s="4"/>
      <c r="C200" s="4"/>
      <c r="D200" s="15"/>
      <c r="E200" s="4"/>
      <c r="F200" s="16"/>
      <c r="G200" s="16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customFormat="false" ht="15.75" hidden="false" customHeight="false" outlineLevel="0" collapsed="false">
      <c r="A201" s="4"/>
      <c r="B201" s="4"/>
      <c r="C201" s="4"/>
      <c r="D201" s="15"/>
      <c r="E201" s="4"/>
      <c r="F201" s="16"/>
      <c r="G201" s="16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customFormat="false" ht="15.75" hidden="false" customHeight="false" outlineLevel="0" collapsed="false">
      <c r="A202" s="4"/>
      <c r="B202" s="4"/>
      <c r="C202" s="4"/>
      <c r="D202" s="15"/>
      <c r="E202" s="4"/>
      <c r="F202" s="16"/>
      <c r="G202" s="16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customFormat="false" ht="15.75" hidden="false" customHeight="false" outlineLevel="0" collapsed="false">
      <c r="A203" s="4"/>
      <c r="B203" s="4"/>
      <c r="C203" s="4"/>
      <c r="D203" s="15"/>
      <c r="E203" s="4"/>
      <c r="F203" s="16"/>
      <c r="G203" s="16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customFormat="false" ht="15.75" hidden="false" customHeight="false" outlineLevel="0" collapsed="false">
      <c r="A204" s="4"/>
      <c r="B204" s="4"/>
      <c r="C204" s="4"/>
      <c r="D204" s="15"/>
      <c r="E204" s="4"/>
      <c r="F204" s="16"/>
      <c r="G204" s="16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customFormat="false" ht="15.75" hidden="false" customHeight="false" outlineLevel="0" collapsed="false">
      <c r="A205" s="4"/>
      <c r="B205" s="4"/>
      <c r="C205" s="4"/>
      <c r="D205" s="15"/>
      <c r="E205" s="4"/>
      <c r="F205" s="16"/>
      <c r="G205" s="16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customFormat="false" ht="15.75" hidden="false" customHeight="false" outlineLevel="0" collapsed="false">
      <c r="A206" s="4"/>
      <c r="B206" s="4"/>
      <c r="C206" s="4"/>
      <c r="D206" s="15"/>
      <c r="E206" s="4"/>
      <c r="F206" s="16"/>
      <c r="G206" s="16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 customFormat="false" ht="15.75" hidden="false" customHeight="false" outlineLevel="0" collapsed="false">
      <c r="A207" s="4"/>
      <c r="B207" s="4"/>
      <c r="C207" s="4"/>
      <c r="D207" s="15"/>
      <c r="E207" s="4"/>
      <c r="F207" s="16"/>
      <c r="G207" s="16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customFormat="false" ht="15.75" hidden="false" customHeight="false" outlineLevel="0" collapsed="false">
      <c r="A208" s="4"/>
      <c r="B208" s="4"/>
      <c r="C208" s="4"/>
      <c r="D208" s="15"/>
      <c r="E208" s="4"/>
      <c r="F208" s="16"/>
      <c r="G208" s="16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customFormat="false" ht="15.75" hidden="false" customHeight="false" outlineLevel="0" collapsed="false">
      <c r="A209" s="4"/>
      <c r="B209" s="4"/>
      <c r="C209" s="4"/>
      <c r="D209" s="15"/>
      <c r="E209" s="4"/>
      <c r="F209" s="16"/>
      <c r="G209" s="16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 customFormat="false" ht="15.75" hidden="false" customHeight="false" outlineLevel="0" collapsed="false">
      <c r="A210" s="4"/>
      <c r="B210" s="4"/>
      <c r="C210" s="4"/>
      <c r="D210" s="15"/>
      <c r="E210" s="4"/>
      <c r="F210" s="16"/>
      <c r="G210" s="16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customFormat="false" ht="15.75" hidden="false" customHeight="false" outlineLevel="0" collapsed="false">
      <c r="A211" s="4"/>
      <c r="B211" s="4"/>
      <c r="C211" s="4"/>
      <c r="D211" s="15"/>
      <c r="E211" s="4"/>
      <c r="F211" s="16"/>
      <c r="G211" s="16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customFormat="false" ht="15.75" hidden="false" customHeight="false" outlineLevel="0" collapsed="false">
      <c r="A212" s="4"/>
      <c r="B212" s="4"/>
      <c r="C212" s="4"/>
      <c r="D212" s="15"/>
      <c r="E212" s="4"/>
      <c r="F212" s="16"/>
      <c r="G212" s="16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customFormat="false" ht="15.75" hidden="false" customHeight="false" outlineLevel="0" collapsed="false">
      <c r="A213" s="4"/>
      <c r="B213" s="4"/>
      <c r="C213" s="4"/>
      <c r="D213" s="15"/>
      <c r="E213" s="4"/>
      <c r="F213" s="16"/>
      <c r="G213" s="16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customFormat="false" ht="15.75" hidden="false" customHeight="false" outlineLevel="0" collapsed="false">
      <c r="A214" s="4"/>
      <c r="B214" s="4"/>
      <c r="C214" s="4"/>
      <c r="D214" s="15"/>
      <c r="E214" s="4"/>
      <c r="F214" s="16"/>
      <c r="G214" s="16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customFormat="false" ht="15.75" hidden="false" customHeight="false" outlineLevel="0" collapsed="false">
      <c r="A215" s="4"/>
      <c r="B215" s="4"/>
      <c r="C215" s="4"/>
      <c r="D215" s="15"/>
      <c r="E215" s="4"/>
      <c r="F215" s="16"/>
      <c r="G215" s="16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customFormat="false" ht="15.75" hidden="false" customHeight="false" outlineLevel="0" collapsed="false">
      <c r="A216" s="4"/>
      <c r="B216" s="4"/>
      <c r="C216" s="4"/>
      <c r="D216" s="15"/>
      <c r="E216" s="4"/>
      <c r="F216" s="16"/>
      <c r="G216" s="16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customFormat="false" ht="15.75" hidden="false" customHeight="false" outlineLevel="0" collapsed="false">
      <c r="A217" s="4"/>
      <c r="B217" s="4"/>
      <c r="C217" s="4"/>
      <c r="D217" s="15"/>
      <c r="E217" s="4"/>
      <c r="F217" s="16"/>
      <c r="G217" s="16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customFormat="false" ht="15.75" hidden="false" customHeight="false" outlineLevel="0" collapsed="false">
      <c r="A218" s="4"/>
      <c r="B218" s="4"/>
      <c r="C218" s="4"/>
      <c r="D218" s="15"/>
      <c r="E218" s="4"/>
      <c r="F218" s="16"/>
      <c r="G218" s="16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 customFormat="false" ht="15.75" hidden="false" customHeight="false" outlineLevel="0" collapsed="false">
      <c r="A219" s="4"/>
      <c r="B219" s="4"/>
      <c r="C219" s="4"/>
      <c r="D219" s="15"/>
      <c r="E219" s="4"/>
      <c r="F219" s="16"/>
      <c r="G219" s="16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customFormat="false" ht="15.75" hidden="false" customHeight="false" outlineLevel="0" collapsed="false">
      <c r="A220" s="4"/>
      <c r="B220" s="4"/>
      <c r="C220" s="4"/>
      <c r="D220" s="15"/>
      <c r="E220" s="4"/>
      <c r="F220" s="16"/>
      <c r="G220" s="16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customFormat="false" ht="15.75" hidden="false" customHeight="false" outlineLevel="0" collapsed="false">
      <c r="A221" s="4"/>
      <c r="B221" s="4"/>
      <c r="C221" s="4"/>
      <c r="D221" s="15"/>
      <c r="E221" s="4"/>
      <c r="F221" s="16"/>
      <c r="G221" s="16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 customFormat="false" ht="15.75" hidden="false" customHeight="false" outlineLevel="0" collapsed="false">
      <c r="A222" s="4"/>
      <c r="B222" s="4"/>
      <c r="C222" s="4"/>
      <c r="D222" s="15"/>
      <c r="E222" s="4"/>
      <c r="F222" s="16"/>
      <c r="G222" s="16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customFormat="false" ht="15.75" hidden="false" customHeight="false" outlineLevel="0" collapsed="false">
      <c r="A223" s="4"/>
      <c r="B223" s="4"/>
      <c r="C223" s="4"/>
      <c r="D223" s="15"/>
      <c r="E223" s="4"/>
      <c r="F223" s="16"/>
      <c r="G223" s="16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 customFormat="false" ht="15.75" hidden="false" customHeight="false" outlineLevel="0" collapsed="false">
      <c r="A224" s="4"/>
      <c r="B224" s="4"/>
      <c r="C224" s="4"/>
      <c r="D224" s="15"/>
      <c r="E224" s="4"/>
      <c r="F224" s="16"/>
      <c r="G224" s="16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 customFormat="false" ht="15.75" hidden="false" customHeight="false" outlineLevel="0" collapsed="false">
      <c r="A225" s="4"/>
      <c r="B225" s="4"/>
      <c r="C225" s="4"/>
      <c r="D225" s="15"/>
      <c r="E225" s="4"/>
      <c r="F225" s="16"/>
      <c r="G225" s="16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customFormat="false" ht="15.75" hidden="false" customHeight="false" outlineLevel="0" collapsed="false">
      <c r="A226" s="4"/>
      <c r="B226" s="4"/>
      <c r="C226" s="4"/>
      <c r="D226" s="15"/>
      <c r="E226" s="4"/>
      <c r="F226" s="16"/>
      <c r="G226" s="16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customFormat="false" ht="15.75" hidden="false" customHeight="false" outlineLevel="0" collapsed="false">
      <c r="A227" s="4"/>
      <c r="B227" s="4"/>
      <c r="C227" s="4"/>
      <c r="D227" s="15"/>
      <c r="E227" s="4"/>
      <c r="F227" s="16"/>
      <c r="G227" s="16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customFormat="false" ht="15.75" hidden="false" customHeight="false" outlineLevel="0" collapsed="false">
      <c r="A228" s="4"/>
      <c r="B228" s="4"/>
      <c r="C228" s="4"/>
      <c r="D228" s="15"/>
      <c r="E228" s="4"/>
      <c r="F228" s="16"/>
      <c r="G228" s="16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customFormat="false" ht="15.75" hidden="false" customHeight="false" outlineLevel="0" collapsed="false">
      <c r="A229" s="4"/>
      <c r="B229" s="4"/>
      <c r="C229" s="4"/>
      <c r="D229" s="15"/>
      <c r="E229" s="4"/>
      <c r="F229" s="16"/>
      <c r="G229" s="16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customFormat="false" ht="15.75" hidden="false" customHeight="false" outlineLevel="0" collapsed="false">
      <c r="A230" s="4"/>
      <c r="B230" s="4"/>
      <c r="C230" s="4"/>
      <c r="D230" s="15"/>
      <c r="E230" s="4"/>
      <c r="F230" s="16"/>
      <c r="G230" s="16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customFormat="false" ht="15.75" hidden="false" customHeight="false" outlineLevel="0" collapsed="false">
      <c r="A231" s="4"/>
      <c r="B231" s="4"/>
      <c r="C231" s="4"/>
      <c r="D231" s="15"/>
      <c r="E231" s="4"/>
      <c r="F231" s="16"/>
      <c r="G231" s="16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customFormat="false" ht="15.75" hidden="false" customHeight="false" outlineLevel="0" collapsed="false">
      <c r="A232" s="4"/>
      <c r="B232" s="4"/>
      <c r="C232" s="4"/>
      <c r="D232" s="15"/>
      <c r="E232" s="4"/>
      <c r="F232" s="16"/>
      <c r="G232" s="16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customFormat="false" ht="15.75" hidden="false" customHeight="false" outlineLevel="0" collapsed="false">
      <c r="A233" s="4"/>
      <c r="B233" s="4"/>
      <c r="C233" s="4"/>
      <c r="D233" s="15"/>
      <c r="E233" s="4"/>
      <c r="F233" s="16"/>
      <c r="G233" s="16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customFormat="false" ht="15.75" hidden="false" customHeight="false" outlineLevel="0" collapsed="false">
      <c r="A234" s="4"/>
      <c r="B234" s="4"/>
      <c r="C234" s="4"/>
      <c r="D234" s="15"/>
      <c r="E234" s="4"/>
      <c r="F234" s="16"/>
      <c r="G234" s="16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customFormat="false" ht="15.75" hidden="false" customHeight="false" outlineLevel="0" collapsed="false">
      <c r="A235" s="4"/>
      <c r="B235" s="4"/>
      <c r="C235" s="4"/>
      <c r="D235" s="15"/>
      <c r="E235" s="4"/>
      <c r="F235" s="16"/>
      <c r="G235" s="16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customFormat="false" ht="15.75" hidden="false" customHeight="false" outlineLevel="0" collapsed="false">
      <c r="A236" s="4"/>
      <c r="B236" s="4"/>
      <c r="C236" s="4"/>
      <c r="D236" s="15"/>
      <c r="E236" s="4"/>
      <c r="F236" s="16"/>
      <c r="G236" s="16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customFormat="false" ht="15.75" hidden="false" customHeight="false" outlineLevel="0" collapsed="false">
      <c r="A237" s="4"/>
      <c r="B237" s="4"/>
      <c r="C237" s="4"/>
      <c r="D237" s="15"/>
      <c r="E237" s="4"/>
      <c r="F237" s="16"/>
      <c r="G237" s="16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customFormat="false" ht="15.75" hidden="false" customHeight="false" outlineLevel="0" collapsed="false">
      <c r="A238" s="4"/>
      <c r="B238" s="4"/>
      <c r="C238" s="4"/>
      <c r="D238" s="15"/>
      <c r="E238" s="4"/>
      <c r="F238" s="16"/>
      <c r="G238" s="16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customFormat="false" ht="15.75" hidden="false" customHeight="false" outlineLevel="0" collapsed="false">
      <c r="A239" s="4"/>
      <c r="B239" s="4"/>
      <c r="C239" s="4"/>
      <c r="D239" s="15"/>
      <c r="E239" s="4"/>
      <c r="F239" s="16"/>
      <c r="G239" s="16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customFormat="false" ht="15.75" hidden="false" customHeight="false" outlineLevel="0" collapsed="false">
      <c r="A240" s="4"/>
      <c r="B240" s="4"/>
      <c r="C240" s="4"/>
      <c r="D240" s="15"/>
      <c r="E240" s="4"/>
      <c r="F240" s="16"/>
      <c r="G240" s="16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customFormat="false" ht="15.75" hidden="false" customHeight="false" outlineLevel="0" collapsed="false">
      <c r="A241" s="4"/>
      <c r="B241" s="4"/>
      <c r="C241" s="4"/>
      <c r="D241" s="15"/>
      <c r="E241" s="4"/>
      <c r="F241" s="16"/>
      <c r="G241" s="16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 customFormat="false" ht="15.75" hidden="false" customHeight="false" outlineLevel="0" collapsed="false">
      <c r="A242" s="4"/>
      <c r="B242" s="4"/>
      <c r="C242" s="4"/>
      <c r="D242" s="15"/>
      <c r="E242" s="4"/>
      <c r="F242" s="16"/>
      <c r="G242" s="16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 customFormat="false" ht="15.75" hidden="false" customHeight="false" outlineLevel="0" collapsed="false">
      <c r="A243" s="4"/>
      <c r="B243" s="4"/>
      <c r="C243" s="4"/>
      <c r="D243" s="15"/>
      <c r="E243" s="4"/>
      <c r="F243" s="16"/>
      <c r="G243" s="16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 customFormat="false" ht="15.75" hidden="false" customHeight="false" outlineLevel="0" collapsed="false">
      <c r="A244" s="4"/>
      <c r="B244" s="4"/>
      <c r="C244" s="4"/>
      <c r="D244" s="15"/>
      <c r="E244" s="4"/>
      <c r="F244" s="16"/>
      <c r="G244" s="16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 customFormat="false" ht="15.75" hidden="false" customHeight="false" outlineLevel="0" collapsed="false">
      <c r="A245" s="4"/>
      <c r="B245" s="4"/>
      <c r="C245" s="4"/>
      <c r="D245" s="15"/>
      <c r="E245" s="4"/>
      <c r="F245" s="16"/>
      <c r="G245" s="16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 customFormat="false" ht="15.75" hidden="false" customHeight="false" outlineLevel="0" collapsed="false">
      <c r="A246" s="4"/>
      <c r="B246" s="4"/>
      <c r="C246" s="4"/>
      <c r="D246" s="15"/>
      <c r="E246" s="4"/>
      <c r="F246" s="16"/>
      <c r="G246" s="16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 customFormat="false" ht="15.75" hidden="false" customHeight="false" outlineLevel="0" collapsed="false">
      <c r="A247" s="4"/>
      <c r="B247" s="4"/>
      <c r="C247" s="4"/>
      <c r="D247" s="15"/>
      <c r="E247" s="4"/>
      <c r="F247" s="16"/>
      <c r="G247" s="16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customFormat="false" ht="15.75" hidden="false" customHeight="false" outlineLevel="0" collapsed="false">
      <c r="A248" s="4"/>
      <c r="B248" s="4"/>
      <c r="C248" s="4"/>
      <c r="D248" s="15"/>
      <c r="E248" s="4"/>
      <c r="F248" s="16"/>
      <c r="G248" s="16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customFormat="false" ht="15.75" hidden="false" customHeight="false" outlineLevel="0" collapsed="false">
      <c r="A249" s="4"/>
      <c r="B249" s="4"/>
      <c r="C249" s="4"/>
      <c r="D249" s="15"/>
      <c r="E249" s="4"/>
      <c r="F249" s="16"/>
      <c r="G249" s="16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customFormat="false" ht="15.75" hidden="false" customHeight="false" outlineLevel="0" collapsed="false">
      <c r="A250" s="4"/>
      <c r="B250" s="4"/>
      <c r="C250" s="4"/>
      <c r="D250" s="15"/>
      <c r="E250" s="4"/>
      <c r="F250" s="16"/>
      <c r="G250" s="16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 customFormat="false" ht="15.75" hidden="false" customHeight="false" outlineLevel="0" collapsed="false">
      <c r="A251" s="4"/>
      <c r="B251" s="4"/>
      <c r="C251" s="4"/>
      <c r="D251" s="15"/>
      <c r="E251" s="4"/>
      <c r="F251" s="16"/>
      <c r="G251" s="16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 customFormat="false" ht="15.75" hidden="false" customHeight="false" outlineLevel="0" collapsed="false">
      <c r="A252" s="4"/>
      <c r="B252" s="4"/>
      <c r="C252" s="4"/>
      <c r="D252" s="15"/>
      <c r="E252" s="4"/>
      <c r="F252" s="16"/>
      <c r="G252" s="16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 customFormat="false" ht="15.75" hidden="false" customHeight="false" outlineLevel="0" collapsed="false">
      <c r="A253" s="4"/>
      <c r="B253" s="4"/>
      <c r="C253" s="4"/>
      <c r="D253" s="15"/>
      <c r="E253" s="4"/>
      <c r="F253" s="16"/>
      <c r="G253" s="16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 customFormat="false" ht="15.75" hidden="false" customHeight="false" outlineLevel="0" collapsed="false">
      <c r="A254" s="4"/>
      <c r="B254" s="4"/>
      <c r="C254" s="4"/>
      <c r="D254" s="15"/>
      <c r="E254" s="4"/>
      <c r="F254" s="16"/>
      <c r="G254" s="16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 customFormat="false" ht="15.75" hidden="false" customHeight="false" outlineLevel="0" collapsed="false">
      <c r="A255" s="4"/>
      <c r="B255" s="4"/>
      <c r="C255" s="4"/>
      <c r="D255" s="15"/>
      <c r="E255" s="4"/>
      <c r="F255" s="16"/>
      <c r="G255" s="16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 customFormat="false" ht="15.75" hidden="false" customHeight="false" outlineLevel="0" collapsed="false">
      <c r="A256" s="4"/>
      <c r="B256" s="4"/>
      <c r="C256" s="4"/>
      <c r="D256" s="15"/>
      <c r="E256" s="4"/>
      <c r="F256" s="16"/>
      <c r="G256" s="16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 customFormat="false" ht="15.75" hidden="false" customHeight="false" outlineLevel="0" collapsed="false">
      <c r="A257" s="4"/>
      <c r="B257" s="4"/>
      <c r="C257" s="4"/>
      <c r="D257" s="15"/>
      <c r="E257" s="4"/>
      <c r="F257" s="16"/>
      <c r="G257" s="16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customFormat="false" ht="15.75" hidden="false" customHeight="false" outlineLevel="0" collapsed="false">
      <c r="A258" s="4"/>
      <c r="B258" s="4"/>
      <c r="C258" s="4"/>
      <c r="D258" s="15"/>
      <c r="E258" s="4"/>
      <c r="F258" s="16"/>
      <c r="G258" s="16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 customFormat="false" ht="15.75" hidden="false" customHeight="false" outlineLevel="0" collapsed="false">
      <c r="A259" s="4"/>
      <c r="B259" s="4"/>
      <c r="C259" s="4"/>
      <c r="D259" s="15"/>
      <c r="E259" s="4"/>
      <c r="F259" s="16"/>
      <c r="G259" s="16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customFormat="false" ht="15.75" hidden="false" customHeight="false" outlineLevel="0" collapsed="false">
      <c r="A260" s="4"/>
      <c r="B260" s="4"/>
      <c r="C260" s="4"/>
      <c r="D260" s="15"/>
      <c r="E260" s="4"/>
      <c r="F260" s="16"/>
      <c r="G260" s="16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 customFormat="false" ht="15.75" hidden="false" customHeight="false" outlineLevel="0" collapsed="false">
      <c r="A261" s="4"/>
      <c r="B261" s="4"/>
      <c r="C261" s="4"/>
      <c r="D261" s="15"/>
      <c r="E261" s="4"/>
      <c r="F261" s="16"/>
      <c r="G261" s="16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 customFormat="false" ht="15.75" hidden="false" customHeight="false" outlineLevel="0" collapsed="false">
      <c r="A262" s="4"/>
      <c r="B262" s="4"/>
      <c r="C262" s="4"/>
      <c r="D262" s="15"/>
      <c r="E262" s="4"/>
      <c r="F262" s="16"/>
      <c r="G262" s="16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 customFormat="false" ht="15.75" hidden="false" customHeight="false" outlineLevel="0" collapsed="false">
      <c r="A263" s="4"/>
      <c r="B263" s="4"/>
      <c r="C263" s="4"/>
      <c r="D263" s="15"/>
      <c r="E263" s="4"/>
      <c r="F263" s="16"/>
      <c r="G263" s="16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 customFormat="false" ht="15.75" hidden="false" customHeight="false" outlineLevel="0" collapsed="false">
      <c r="A264" s="4"/>
      <c r="B264" s="4"/>
      <c r="C264" s="4"/>
      <c r="D264" s="15"/>
      <c r="E264" s="4"/>
      <c r="F264" s="16"/>
      <c r="G264" s="16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customFormat="false" ht="15.75" hidden="false" customHeight="false" outlineLevel="0" collapsed="false">
      <c r="A265" s="4"/>
      <c r="B265" s="4"/>
      <c r="C265" s="4"/>
      <c r="D265" s="15"/>
      <c r="E265" s="4"/>
      <c r="F265" s="16"/>
      <c r="G265" s="16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customFormat="false" ht="15.75" hidden="false" customHeight="false" outlineLevel="0" collapsed="false">
      <c r="A266" s="4"/>
      <c r="B266" s="4"/>
      <c r="C266" s="4"/>
      <c r="D266" s="15"/>
      <c r="E266" s="4"/>
      <c r="F266" s="16"/>
      <c r="G266" s="16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customFormat="false" ht="15.75" hidden="false" customHeight="false" outlineLevel="0" collapsed="false">
      <c r="A267" s="4"/>
      <c r="B267" s="4"/>
      <c r="C267" s="4"/>
      <c r="D267" s="15"/>
      <c r="E267" s="4"/>
      <c r="F267" s="16"/>
      <c r="G267" s="16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customFormat="false" ht="15.75" hidden="false" customHeight="false" outlineLevel="0" collapsed="false">
      <c r="A268" s="4"/>
      <c r="B268" s="4"/>
      <c r="C268" s="4"/>
      <c r="D268" s="15"/>
      <c r="E268" s="4"/>
      <c r="F268" s="16"/>
      <c r="G268" s="16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customFormat="false" ht="15.75" hidden="false" customHeight="false" outlineLevel="0" collapsed="false">
      <c r="A269" s="4"/>
      <c r="B269" s="4"/>
      <c r="C269" s="4"/>
      <c r="D269" s="15"/>
      <c r="E269" s="4"/>
      <c r="F269" s="16"/>
      <c r="G269" s="16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customFormat="false" ht="15.75" hidden="false" customHeight="false" outlineLevel="0" collapsed="false">
      <c r="A270" s="4"/>
      <c r="B270" s="4"/>
      <c r="C270" s="4"/>
      <c r="D270" s="15"/>
      <c r="E270" s="4"/>
      <c r="F270" s="16"/>
      <c r="G270" s="16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customFormat="false" ht="15.75" hidden="false" customHeight="false" outlineLevel="0" collapsed="false">
      <c r="A271" s="4"/>
      <c r="B271" s="4"/>
      <c r="C271" s="4"/>
      <c r="D271" s="15"/>
      <c r="E271" s="4"/>
      <c r="F271" s="16"/>
      <c r="G271" s="16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 customFormat="false" ht="15.75" hidden="false" customHeight="false" outlineLevel="0" collapsed="false">
      <c r="A272" s="4"/>
      <c r="B272" s="4"/>
      <c r="C272" s="4"/>
      <c r="D272" s="15"/>
      <c r="E272" s="4"/>
      <c r="F272" s="16"/>
      <c r="G272" s="16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 customFormat="false" ht="15.75" hidden="false" customHeight="false" outlineLevel="0" collapsed="false">
      <c r="A273" s="4"/>
      <c r="B273" s="4"/>
      <c r="C273" s="4"/>
      <c r="D273" s="15"/>
      <c r="E273" s="4"/>
      <c r="F273" s="16"/>
      <c r="G273" s="16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 customFormat="false" ht="15.75" hidden="false" customHeight="false" outlineLevel="0" collapsed="false">
      <c r="A274" s="4"/>
      <c r="B274" s="4"/>
      <c r="C274" s="4"/>
      <c r="D274" s="15"/>
      <c r="E274" s="4"/>
      <c r="F274" s="16"/>
      <c r="G274" s="16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 customFormat="false" ht="15.75" hidden="false" customHeight="false" outlineLevel="0" collapsed="false">
      <c r="A275" s="4"/>
      <c r="B275" s="4"/>
      <c r="C275" s="4"/>
      <c r="D275" s="15"/>
      <c r="E275" s="4"/>
      <c r="F275" s="16"/>
      <c r="G275" s="16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 customFormat="false" ht="15.75" hidden="false" customHeight="false" outlineLevel="0" collapsed="false">
      <c r="A276" s="4"/>
      <c r="B276" s="4"/>
      <c r="C276" s="4"/>
      <c r="D276" s="15"/>
      <c r="E276" s="4"/>
      <c r="F276" s="16"/>
      <c r="G276" s="16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customFormat="false" ht="15.75" hidden="false" customHeight="false" outlineLevel="0" collapsed="false">
      <c r="A277" s="4"/>
      <c r="B277" s="4"/>
      <c r="C277" s="4"/>
      <c r="D277" s="15"/>
      <c r="E277" s="4"/>
      <c r="F277" s="16"/>
      <c r="G277" s="16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customFormat="false" ht="15.75" hidden="false" customHeight="false" outlineLevel="0" collapsed="false">
      <c r="A278" s="4"/>
      <c r="B278" s="4"/>
      <c r="C278" s="4"/>
      <c r="D278" s="15"/>
      <c r="E278" s="4"/>
      <c r="F278" s="16"/>
      <c r="G278" s="1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customFormat="false" ht="15.75" hidden="false" customHeight="false" outlineLevel="0" collapsed="false">
      <c r="A279" s="4"/>
      <c r="B279" s="4"/>
      <c r="C279" s="4"/>
      <c r="D279" s="15"/>
      <c r="E279" s="4"/>
      <c r="F279" s="16"/>
      <c r="G279" s="1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customFormat="false" ht="15.75" hidden="false" customHeight="false" outlineLevel="0" collapsed="false">
      <c r="A280" s="4"/>
      <c r="B280" s="4"/>
      <c r="C280" s="4"/>
      <c r="D280" s="15"/>
      <c r="E280" s="4"/>
      <c r="F280" s="16"/>
      <c r="G280" s="16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 customFormat="false" ht="15.75" hidden="false" customHeight="false" outlineLevel="0" collapsed="false">
      <c r="A281" s="4"/>
      <c r="B281" s="4"/>
      <c r="C281" s="4"/>
      <c r="D281" s="15"/>
      <c r="E281" s="4"/>
      <c r="F281" s="16"/>
      <c r="G281" s="16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customFormat="false" ht="15.75" hidden="false" customHeight="false" outlineLevel="0" collapsed="false">
      <c r="A282" s="4"/>
      <c r="B282" s="4"/>
      <c r="C282" s="4"/>
      <c r="D282" s="15"/>
      <c r="E282" s="4"/>
      <c r="F282" s="16"/>
      <c r="G282" s="16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customFormat="false" ht="15.75" hidden="false" customHeight="false" outlineLevel="0" collapsed="false">
      <c r="A283" s="4"/>
      <c r="B283" s="4"/>
      <c r="C283" s="4"/>
      <c r="D283" s="15"/>
      <c r="E283" s="4"/>
      <c r="F283" s="16"/>
      <c r="G283" s="16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 customFormat="false" ht="15.75" hidden="false" customHeight="false" outlineLevel="0" collapsed="false">
      <c r="A284" s="4"/>
      <c r="B284" s="4"/>
      <c r="C284" s="4"/>
      <c r="D284" s="15"/>
      <c r="E284" s="4"/>
      <c r="F284" s="16"/>
      <c r="G284" s="16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customFormat="false" ht="15.75" hidden="false" customHeight="false" outlineLevel="0" collapsed="false">
      <c r="A285" s="4"/>
      <c r="B285" s="4"/>
      <c r="C285" s="4"/>
      <c r="D285" s="15"/>
      <c r="E285" s="4"/>
      <c r="F285" s="16"/>
      <c r="G285" s="16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 customFormat="false" ht="15.75" hidden="false" customHeight="false" outlineLevel="0" collapsed="false">
      <c r="A286" s="4"/>
      <c r="B286" s="4"/>
      <c r="C286" s="4"/>
      <c r="D286" s="15"/>
      <c r="E286" s="4"/>
      <c r="F286" s="16"/>
      <c r="G286" s="16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 customFormat="false" ht="15.75" hidden="false" customHeight="false" outlineLevel="0" collapsed="false">
      <c r="A287" s="4"/>
      <c r="B287" s="4"/>
      <c r="C287" s="4"/>
      <c r="D287" s="15"/>
      <c r="E287" s="4"/>
      <c r="F287" s="16"/>
      <c r="G287" s="16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 customFormat="false" ht="15.75" hidden="false" customHeight="false" outlineLevel="0" collapsed="false">
      <c r="A288" s="4"/>
      <c r="B288" s="4"/>
      <c r="C288" s="4"/>
      <c r="D288" s="15"/>
      <c r="E288" s="4"/>
      <c r="F288" s="16"/>
      <c r="G288" s="16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customFormat="false" ht="15.75" hidden="false" customHeight="false" outlineLevel="0" collapsed="false">
      <c r="A289" s="4"/>
      <c r="B289" s="4"/>
      <c r="C289" s="4"/>
      <c r="D289" s="15"/>
      <c r="E289" s="4"/>
      <c r="F289" s="16"/>
      <c r="G289" s="16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customFormat="false" ht="15.75" hidden="false" customHeight="false" outlineLevel="0" collapsed="false">
      <c r="A290" s="4"/>
      <c r="B290" s="4"/>
      <c r="C290" s="4"/>
      <c r="D290" s="15"/>
      <c r="E290" s="4"/>
      <c r="F290" s="16"/>
      <c r="G290" s="16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customFormat="false" ht="15.75" hidden="false" customHeight="false" outlineLevel="0" collapsed="false">
      <c r="A291" s="4"/>
      <c r="B291" s="4"/>
      <c r="C291" s="4"/>
      <c r="D291" s="15"/>
      <c r="E291" s="4"/>
      <c r="F291" s="16"/>
      <c r="G291" s="16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customFormat="false" ht="15.75" hidden="false" customHeight="false" outlineLevel="0" collapsed="false">
      <c r="A292" s="4"/>
      <c r="B292" s="4"/>
      <c r="C292" s="4"/>
      <c r="D292" s="15"/>
      <c r="E292" s="4"/>
      <c r="F292" s="16"/>
      <c r="G292" s="16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 customFormat="false" ht="15.75" hidden="false" customHeight="false" outlineLevel="0" collapsed="false">
      <c r="A293" s="4"/>
      <c r="B293" s="4"/>
      <c r="C293" s="4"/>
      <c r="D293" s="15"/>
      <c r="E293" s="4"/>
      <c r="F293" s="16"/>
      <c r="G293" s="16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customFormat="false" ht="15.75" hidden="false" customHeight="false" outlineLevel="0" collapsed="false">
      <c r="A294" s="4"/>
      <c r="B294" s="4"/>
      <c r="C294" s="4"/>
      <c r="D294" s="15"/>
      <c r="E294" s="4"/>
      <c r="F294" s="16"/>
      <c r="G294" s="16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customFormat="false" ht="15.75" hidden="false" customHeight="false" outlineLevel="0" collapsed="false">
      <c r="A295" s="4"/>
      <c r="B295" s="4"/>
      <c r="C295" s="4"/>
      <c r="D295" s="15"/>
      <c r="E295" s="4"/>
      <c r="F295" s="16"/>
      <c r="G295" s="16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 customFormat="false" ht="15.75" hidden="false" customHeight="false" outlineLevel="0" collapsed="false">
      <c r="A296" s="4"/>
      <c r="B296" s="4"/>
      <c r="C296" s="4"/>
      <c r="D296" s="15"/>
      <c r="E296" s="4"/>
      <c r="F296" s="16"/>
      <c r="G296" s="16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customFormat="false" ht="15.75" hidden="false" customHeight="false" outlineLevel="0" collapsed="false">
      <c r="A297" s="4"/>
      <c r="B297" s="4"/>
      <c r="C297" s="4"/>
      <c r="D297" s="15"/>
      <c r="E297" s="4"/>
      <c r="F297" s="16"/>
      <c r="G297" s="16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 customFormat="false" ht="15.75" hidden="false" customHeight="false" outlineLevel="0" collapsed="false">
      <c r="A298" s="4"/>
      <c r="B298" s="4"/>
      <c r="C298" s="4"/>
      <c r="D298" s="15"/>
      <c r="E298" s="4"/>
      <c r="F298" s="16"/>
      <c r="G298" s="16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 customFormat="false" ht="15.75" hidden="false" customHeight="false" outlineLevel="0" collapsed="false">
      <c r="A299" s="4"/>
      <c r="B299" s="4"/>
      <c r="C299" s="4"/>
      <c r="D299" s="15"/>
      <c r="E299" s="4"/>
      <c r="F299" s="16"/>
      <c r="G299" s="16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customFormat="false" ht="15.75" hidden="false" customHeight="false" outlineLevel="0" collapsed="false">
      <c r="A300" s="4"/>
      <c r="B300" s="4"/>
      <c r="C300" s="4"/>
      <c r="D300" s="15"/>
      <c r="E300" s="4"/>
      <c r="F300" s="16"/>
      <c r="G300" s="16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customFormat="false" ht="15.75" hidden="false" customHeight="false" outlineLevel="0" collapsed="false">
      <c r="A301" s="4"/>
      <c r="B301" s="4"/>
      <c r="C301" s="4"/>
      <c r="D301" s="15"/>
      <c r="E301" s="4"/>
      <c r="F301" s="16"/>
      <c r="G301" s="16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 customFormat="false" ht="15.75" hidden="false" customHeight="false" outlineLevel="0" collapsed="false">
      <c r="A302" s="4"/>
      <c r="B302" s="4"/>
      <c r="C302" s="4"/>
      <c r="D302" s="15"/>
      <c r="E302" s="4"/>
      <c r="F302" s="16"/>
      <c r="G302" s="16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 customFormat="false" ht="15.75" hidden="false" customHeight="false" outlineLevel="0" collapsed="false">
      <c r="A303" s="4"/>
      <c r="B303" s="4"/>
      <c r="C303" s="4"/>
      <c r="D303" s="15"/>
      <c r="E303" s="4"/>
      <c r="F303" s="16"/>
      <c r="G303" s="16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 customFormat="false" ht="15.75" hidden="false" customHeight="false" outlineLevel="0" collapsed="false">
      <c r="A304" s="4"/>
      <c r="B304" s="4"/>
      <c r="C304" s="4"/>
      <c r="D304" s="15"/>
      <c r="E304" s="4"/>
      <c r="F304" s="16"/>
      <c r="G304" s="16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 customFormat="false" ht="15.75" hidden="false" customHeight="false" outlineLevel="0" collapsed="false">
      <c r="A305" s="4"/>
      <c r="B305" s="4"/>
      <c r="C305" s="4"/>
      <c r="D305" s="15"/>
      <c r="E305" s="4"/>
      <c r="F305" s="16"/>
      <c r="G305" s="16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 customFormat="false" ht="15.75" hidden="false" customHeight="false" outlineLevel="0" collapsed="false">
      <c r="A306" s="4"/>
      <c r="B306" s="4"/>
      <c r="C306" s="4"/>
      <c r="D306" s="15"/>
      <c r="E306" s="4"/>
      <c r="F306" s="16"/>
      <c r="G306" s="1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customFormat="false" ht="15.75" hidden="false" customHeight="false" outlineLevel="0" collapsed="false">
      <c r="A307" s="4"/>
      <c r="B307" s="4"/>
      <c r="C307" s="4"/>
      <c r="D307" s="15"/>
      <c r="E307" s="4"/>
      <c r="F307" s="16"/>
      <c r="G307" s="16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customFormat="false" ht="15.75" hidden="false" customHeight="false" outlineLevel="0" collapsed="false">
      <c r="A308" s="4"/>
      <c r="B308" s="4"/>
      <c r="C308" s="4"/>
      <c r="D308" s="15"/>
      <c r="E308" s="4"/>
      <c r="F308" s="16"/>
      <c r="G308" s="16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 customFormat="false" ht="15.75" hidden="false" customHeight="false" outlineLevel="0" collapsed="false">
      <c r="A309" s="4"/>
      <c r="B309" s="4"/>
      <c r="C309" s="4"/>
      <c r="D309" s="15"/>
      <c r="E309" s="4"/>
      <c r="F309" s="16"/>
      <c r="G309" s="16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</sheetData>
  <conditionalFormatting sqref="D1:D309">
    <cfRule type="expression" priority="2" aboveAverage="0" equalAverage="0" bottom="0" percent="0" rank="0" text="" dxfId="0">
      <formula>LEN(TRIM(D1))&gt;0</formula>
    </cfRule>
  </conditionalFormatting>
  <hyperlinks>
    <hyperlink ref="H4" r:id="rId1" display="https://fgis.gost.ru/fundmetrology/api/downloadfile/1e884cd1-1d5a-4434-9668-3a23b0d54e65"/>
    <hyperlink ref="H5" r:id="rId2" display="https://fgis.gost.ru/fundmetrology/api/downloadfile/1e884cd1-1d5a-4434-9668-3a23b0d54e65"/>
    <hyperlink ref="H9" r:id="rId3" display="https://fgis.gost.ru/fundmetrology/api/downloadfile/1e884cd1-1d5a-4434-9668-3a23b0d54e65"/>
    <hyperlink ref="H12" r:id="rId4" display="https://fgis.gost.ru/fundmetrology/api/downloadfile/1e884cd1-1d5a-4434-9668-3a23b0d54e65"/>
    <hyperlink ref="H39" r:id="rId5" display="https://fgis.gost.ru/fundmetrology/api/downloadfile/1e884cd1-1d5a-4434-9668-3a23b0d54e65"/>
    <hyperlink ref="H41" r:id="rId6" display="https://fgis.gost.ru/fundmetrology/api/downloadfile/38b3b39e-3673-4437-996d-ed58c7c632cb"/>
    <hyperlink ref="H48" r:id="rId7" display="https://fgis.gost.ru/fundmetrology/api/downloadfile/1e884cd1-1d5a-4434-9668-3a23b0d54e65"/>
    <hyperlink ref="H49" r:id="rId8" display="https://fgis.gost.ru/fundmetrology/api/downloadfile/1e884cd1-1d5a-4434-9668-3a23b0d54e65"/>
    <hyperlink ref="H52" r:id="rId9" display="https://fgis.gost.ru/fundmetrology/api/downloadfile/1e884cd1-1d5a-4434-9668-3a23b0d54e65"/>
    <hyperlink ref="H54" r:id="rId10" display="https://fgis.gost.ru/fundmetrology/api/downloadfile/1e884cd1-1d5a-4434-9668-3a23b0d54e65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2023-07-04T13:50:21Z</dcterms:created>
  <dc:creator>Promo</dc:creator>
  <dc:description/>
  <dc:language>ru-RU</dc:language>
  <cp:lastModifiedBy/>
  <dcterms:modified xsi:type="dcterms:W3CDTF">2023-08-06T22:40:03Z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