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Statistics\results\"/>
    </mc:Choice>
  </mc:AlternateContent>
  <bookViews>
    <workbookView xWindow="0" yWindow="0" windowWidth="22500" windowHeight="9360"/>
  </bookViews>
  <sheets>
    <sheet name="Tabel_Statistica" sheetId="1" r:id="rId1"/>
  </sheets>
  <definedNames>
    <definedName name="_xlnm._FilterDatabase" localSheetId="0" hidden="1">Tabel_Statistica!$A$1:$L$89</definedName>
  </definedNames>
  <calcPr calcId="171027"/>
</workbook>
</file>

<file path=xl/calcChain.xml><?xml version="1.0" encoding="utf-8"?>
<calcChain xmlns="http://schemas.openxmlformats.org/spreadsheetml/2006/main">
  <c r="G22" i="1" l="1"/>
  <c r="E22" i="1"/>
  <c r="H22" i="1"/>
  <c r="F22" i="1"/>
  <c r="D22" i="1"/>
  <c r="C22" i="1"/>
  <c r="C23" i="1"/>
  <c r="D23" i="1"/>
  <c r="E23" i="1"/>
  <c r="F23" i="1"/>
  <c r="G23" i="1"/>
  <c r="O22" i="1" l="1"/>
  <c r="L22" i="1"/>
  <c r="N22" i="1"/>
  <c r="L23" i="1"/>
  <c r="O23" i="1"/>
  <c r="N23" i="1"/>
  <c r="G83" i="1"/>
  <c r="F83" i="1"/>
  <c r="E83" i="1"/>
  <c r="D83" i="1"/>
  <c r="C83" i="1"/>
  <c r="L83" i="1" l="1"/>
  <c r="F82" i="1"/>
  <c r="F74" i="1"/>
  <c r="E59" i="1"/>
  <c r="C35" i="1"/>
  <c r="F45" i="1"/>
  <c r="G41" i="1"/>
  <c r="F41" i="1"/>
  <c r="G39" i="1"/>
  <c r="F39" i="1"/>
  <c r="C39" i="1"/>
  <c r="F34" i="1"/>
  <c r="D36" i="1"/>
  <c r="G37" i="1"/>
  <c r="F37" i="1"/>
  <c r="G33" i="1"/>
  <c r="F33" i="1"/>
  <c r="C33" i="1"/>
  <c r="F32" i="1"/>
  <c r="E32" i="1"/>
  <c r="D32" i="1"/>
  <c r="G29" i="1"/>
  <c r="G25" i="1"/>
  <c r="D25" i="1"/>
  <c r="E25" i="1"/>
  <c r="F25" i="1"/>
  <c r="C25" i="1"/>
  <c r="H19" i="1"/>
  <c r="G19" i="1"/>
  <c r="G21" i="1"/>
  <c r="E21" i="1"/>
  <c r="C20" i="1"/>
  <c r="F20" i="1"/>
  <c r="G15" i="1"/>
  <c r="F13" i="1"/>
  <c r="D12" i="1"/>
  <c r="L88" i="1"/>
  <c r="N88" i="1"/>
  <c r="G10" i="1"/>
  <c r="D10" i="1"/>
  <c r="C10" i="1"/>
  <c r="G9" i="1"/>
  <c r="G7" i="1"/>
  <c r="H7" i="1"/>
  <c r="G6" i="1"/>
  <c r="G5" i="1"/>
  <c r="H3" i="1"/>
  <c r="G3" i="1"/>
  <c r="G89" i="1"/>
  <c r="F89" i="1"/>
  <c r="E89" i="1"/>
  <c r="D89" i="1"/>
  <c r="C89" i="1"/>
  <c r="H11" i="1"/>
  <c r="G11" i="1"/>
  <c r="F11" i="1"/>
  <c r="E11" i="1"/>
  <c r="D11" i="1"/>
  <c r="C11" i="1"/>
  <c r="G17" i="1"/>
  <c r="H4" i="1"/>
  <c r="H5" i="1"/>
  <c r="H6" i="1"/>
  <c r="H8" i="1"/>
  <c r="H9" i="1"/>
  <c r="H10" i="1"/>
  <c r="H12" i="1"/>
  <c r="H13" i="1"/>
  <c r="H14" i="1"/>
  <c r="H15" i="1"/>
  <c r="H16" i="1"/>
  <c r="H17" i="1"/>
  <c r="H18" i="1"/>
  <c r="H20" i="1"/>
  <c r="H21" i="1"/>
  <c r="H2" i="1"/>
  <c r="G2" i="1"/>
  <c r="F2" i="1"/>
  <c r="G81" i="1"/>
  <c r="F81" i="1"/>
  <c r="E84" i="1"/>
  <c r="F84" i="1"/>
  <c r="G84" i="1"/>
  <c r="E70" i="1"/>
  <c r="F68" i="1"/>
  <c r="G68" i="1"/>
  <c r="D68" i="1"/>
  <c r="C68" i="1"/>
  <c r="G62" i="1"/>
  <c r="F62" i="1"/>
  <c r="E62" i="1"/>
  <c r="D62" i="1"/>
  <c r="C62" i="1"/>
  <c r="D56" i="1"/>
  <c r="E56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5" i="1"/>
  <c r="G86" i="1"/>
  <c r="G87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5" i="1"/>
  <c r="F86" i="1"/>
  <c r="F87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C63" i="1"/>
  <c r="C64" i="1"/>
  <c r="C65" i="1"/>
  <c r="C66" i="1"/>
  <c r="C67" i="1"/>
  <c r="C69" i="1"/>
  <c r="C70" i="1"/>
  <c r="C71" i="1"/>
  <c r="C72" i="1"/>
  <c r="C73" i="1"/>
  <c r="C61" i="1"/>
  <c r="C60" i="1"/>
  <c r="C56" i="1"/>
  <c r="C47" i="1"/>
  <c r="C44" i="1"/>
  <c r="C45" i="1"/>
  <c r="C46" i="1"/>
  <c r="D46" i="1"/>
  <c r="D45" i="1"/>
  <c r="E39" i="1"/>
  <c r="G56" i="1"/>
  <c r="G61" i="1"/>
  <c r="F61" i="1"/>
  <c r="E61" i="1"/>
  <c r="O11" i="1" l="1"/>
  <c r="L89" i="1"/>
  <c r="L11" i="1"/>
  <c r="O64" i="1"/>
  <c r="O73" i="1"/>
  <c r="O70" i="1"/>
  <c r="L67" i="1"/>
  <c r="L63" i="1"/>
  <c r="O71" i="1"/>
  <c r="O65" i="1"/>
  <c r="N73" i="1"/>
  <c r="O69" i="1"/>
  <c r="N89" i="1"/>
  <c r="N70" i="1"/>
  <c r="L64" i="1"/>
  <c r="O62" i="1"/>
  <c r="N25" i="1"/>
  <c r="O25" i="1"/>
  <c r="L25" i="1"/>
  <c r="L73" i="1"/>
  <c r="L70" i="1"/>
  <c r="O67" i="1"/>
  <c r="O63" i="1"/>
  <c r="O68" i="1"/>
  <c r="N64" i="1"/>
  <c r="O72" i="1"/>
  <c r="N72" i="1"/>
  <c r="L72" i="1"/>
  <c r="O66" i="1"/>
  <c r="N66" i="1"/>
  <c r="L66" i="1"/>
  <c r="N67" i="1"/>
  <c r="N63" i="1"/>
  <c r="L71" i="1"/>
  <c r="L69" i="1"/>
  <c r="L62" i="1"/>
  <c r="N71" i="1"/>
  <c r="N69" i="1"/>
  <c r="N62" i="1"/>
  <c r="L68" i="1"/>
  <c r="L65" i="1"/>
  <c r="N11" i="1"/>
  <c r="N68" i="1"/>
  <c r="N65" i="1"/>
  <c r="F56" i="1"/>
  <c r="O56" i="1" s="1"/>
  <c r="L56" i="1" l="1"/>
  <c r="N56" i="1"/>
  <c r="F55" i="1"/>
  <c r="C55" i="1"/>
  <c r="D47" i="1"/>
  <c r="G47" i="1"/>
  <c r="F47" i="1"/>
  <c r="F10" i="1" l="1"/>
  <c r="F9" i="1"/>
  <c r="F6" i="1"/>
  <c r="F7" i="1"/>
  <c r="F36" i="1"/>
  <c r="F44" i="1"/>
  <c r="F38" i="1"/>
  <c r="F30" i="1"/>
  <c r="F5" i="1"/>
  <c r="F3" i="1"/>
  <c r="F17" i="1"/>
  <c r="F19" i="1"/>
  <c r="E8" i="1"/>
  <c r="E9" i="1"/>
  <c r="E6" i="1"/>
  <c r="E7" i="1"/>
  <c r="E2" i="1"/>
  <c r="E19" i="1"/>
  <c r="E47" i="1"/>
  <c r="L47" i="1" s="1"/>
  <c r="E81" i="1"/>
  <c r="E45" i="1"/>
  <c r="E10" i="1"/>
  <c r="D6" i="1"/>
  <c r="D3" i="1"/>
  <c r="D9" i="1"/>
  <c r="D8" i="1"/>
  <c r="D7" i="1"/>
  <c r="D52" i="1"/>
  <c r="D84" i="1"/>
  <c r="D61" i="1"/>
  <c r="D81" i="1"/>
  <c r="D38" i="1"/>
  <c r="D30" i="1"/>
  <c r="D19" i="1"/>
  <c r="D2" i="1"/>
  <c r="O47" i="1" l="1"/>
  <c r="N61" i="1"/>
  <c r="O61" i="1"/>
  <c r="L61" i="1"/>
  <c r="N47" i="1"/>
  <c r="L10" i="1"/>
  <c r="N10" i="1"/>
  <c r="O10" i="1"/>
  <c r="C36" i="1"/>
  <c r="C30" i="1"/>
  <c r="C32" i="1"/>
  <c r="C38" i="1"/>
  <c r="C85" i="1"/>
  <c r="C84" i="1"/>
  <c r="C86" i="1"/>
  <c r="C87" i="1"/>
  <c r="C82" i="1"/>
  <c r="D82" i="1"/>
  <c r="E82" i="1"/>
  <c r="D85" i="1"/>
  <c r="E85" i="1"/>
  <c r="D86" i="1"/>
  <c r="E86" i="1"/>
  <c r="D87" i="1"/>
  <c r="E87" i="1"/>
  <c r="C80" i="1"/>
  <c r="C79" i="1"/>
  <c r="C77" i="1"/>
  <c r="C78" i="1"/>
  <c r="C81" i="1"/>
  <c r="C74" i="1"/>
  <c r="O77" i="1" l="1"/>
  <c r="L77" i="1"/>
  <c r="N77" i="1"/>
  <c r="N74" i="1"/>
  <c r="O74" i="1"/>
  <c r="L74" i="1"/>
  <c r="O87" i="1"/>
  <c r="L87" i="1"/>
  <c r="N87" i="1"/>
  <c r="L86" i="1"/>
  <c r="N86" i="1"/>
  <c r="O86" i="1"/>
  <c r="L80" i="1"/>
  <c r="N80" i="1"/>
  <c r="O80" i="1"/>
  <c r="N85" i="1"/>
  <c r="L85" i="1"/>
  <c r="O85" i="1"/>
  <c r="O81" i="1"/>
  <c r="L81" i="1"/>
  <c r="N81" i="1"/>
  <c r="O78" i="1"/>
  <c r="L78" i="1"/>
  <c r="N78" i="1"/>
  <c r="O79" i="1"/>
  <c r="L79" i="1"/>
  <c r="N79" i="1"/>
  <c r="N82" i="1"/>
  <c r="L82" i="1"/>
  <c r="O82" i="1"/>
  <c r="O84" i="1"/>
  <c r="L84" i="1"/>
  <c r="N84" i="1"/>
  <c r="C8" i="1"/>
  <c r="C6" i="1"/>
  <c r="C9" i="1"/>
  <c r="C3" i="1"/>
  <c r="C7" i="1"/>
  <c r="C19" i="1"/>
  <c r="N7" i="1" l="1"/>
  <c r="O7" i="1"/>
  <c r="L7" i="1"/>
  <c r="O9" i="1"/>
  <c r="L9" i="1"/>
  <c r="N9" i="1"/>
  <c r="L19" i="1"/>
  <c r="O19" i="1"/>
  <c r="N19" i="1"/>
  <c r="O6" i="1"/>
  <c r="L6" i="1"/>
  <c r="N6" i="1"/>
  <c r="C2" i="1"/>
  <c r="G4" i="1"/>
  <c r="G8" i="1"/>
  <c r="G12" i="1"/>
  <c r="G13" i="1"/>
  <c r="G14" i="1"/>
  <c r="G16" i="1"/>
  <c r="G18" i="1"/>
  <c r="G20" i="1"/>
  <c r="G24" i="1"/>
  <c r="G26" i="1"/>
  <c r="G27" i="1"/>
  <c r="G28" i="1"/>
  <c r="G30" i="1"/>
  <c r="G31" i="1"/>
  <c r="G32" i="1"/>
  <c r="G34" i="1"/>
  <c r="G35" i="1"/>
  <c r="G36" i="1"/>
  <c r="G38" i="1"/>
  <c r="G40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7" i="1"/>
  <c r="G58" i="1"/>
  <c r="G59" i="1"/>
  <c r="G60" i="1"/>
  <c r="F4" i="1"/>
  <c r="F8" i="1"/>
  <c r="F12" i="1"/>
  <c r="F14" i="1"/>
  <c r="F15" i="1"/>
  <c r="F16" i="1"/>
  <c r="F18" i="1"/>
  <c r="F21" i="1"/>
  <c r="F24" i="1"/>
  <c r="F26" i="1"/>
  <c r="F27" i="1"/>
  <c r="F28" i="1"/>
  <c r="F29" i="1"/>
  <c r="F31" i="1"/>
  <c r="F35" i="1"/>
  <c r="F40" i="1"/>
  <c r="F42" i="1"/>
  <c r="F43" i="1"/>
  <c r="F46" i="1"/>
  <c r="F48" i="1"/>
  <c r="F49" i="1"/>
  <c r="F50" i="1"/>
  <c r="F51" i="1"/>
  <c r="F52" i="1"/>
  <c r="F53" i="1"/>
  <c r="F54" i="1"/>
  <c r="F57" i="1"/>
  <c r="F58" i="1"/>
  <c r="F59" i="1"/>
  <c r="F60" i="1"/>
  <c r="E3" i="1"/>
  <c r="L3" i="1" s="1"/>
  <c r="E4" i="1"/>
  <c r="E5" i="1"/>
  <c r="E12" i="1"/>
  <c r="E13" i="1"/>
  <c r="E14" i="1"/>
  <c r="E15" i="1"/>
  <c r="E16" i="1"/>
  <c r="E17" i="1"/>
  <c r="E18" i="1"/>
  <c r="E20" i="1"/>
  <c r="E24" i="1"/>
  <c r="E26" i="1"/>
  <c r="E27" i="1"/>
  <c r="E28" i="1"/>
  <c r="E29" i="1"/>
  <c r="E30" i="1"/>
  <c r="E31" i="1"/>
  <c r="E33" i="1"/>
  <c r="E34" i="1"/>
  <c r="E35" i="1"/>
  <c r="E36" i="1"/>
  <c r="E37" i="1"/>
  <c r="E38" i="1"/>
  <c r="E40" i="1"/>
  <c r="E41" i="1"/>
  <c r="E42" i="1"/>
  <c r="E43" i="1"/>
  <c r="E44" i="1"/>
  <c r="E46" i="1"/>
  <c r="E48" i="1"/>
  <c r="E49" i="1"/>
  <c r="E50" i="1"/>
  <c r="E51" i="1"/>
  <c r="E52" i="1"/>
  <c r="E53" i="1"/>
  <c r="E54" i="1"/>
  <c r="E55" i="1"/>
  <c r="E57" i="1"/>
  <c r="E58" i="1"/>
  <c r="E60" i="1"/>
  <c r="D4" i="1"/>
  <c r="D5" i="1"/>
  <c r="D13" i="1"/>
  <c r="D14" i="1"/>
  <c r="D15" i="1"/>
  <c r="D16" i="1"/>
  <c r="D17" i="1"/>
  <c r="D18" i="1"/>
  <c r="D20" i="1"/>
  <c r="D21" i="1"/>
  <c r="D24" i="1"/>
  <c r="D26" i="1"/>
  <c r="D27" i="1"/>
  <c r="D28" i="1"/>
  <c r="D29" i="1"/>
  <c r="D31" i="1"/>
  <c r="D33" i="1"/>
  <c r="D34" i="1"/>
  <c r="D35" i="1"/>
  <c r="D37" i="1"/>
  <c r="D39" i="1"/>
  <c r="D40" i="1"/>
  <c r="D41" i="1"/>
  <c r="D42" i="1"/>
  <c r="D43" i="1"/>
  <c r="D44" i="1"/>
  <c r="D48" i="1"/>
  <c r="D49" i="1"/>
  <c r="D50" i="1"/>
  <c r="D51" i="1"/>
  <c r="D53" i="1"/>
  <c r="D54" i="1"/>
  <c r="D55" i="1"/>
  <c r="D57" i="1"/>
  <c r="D58" i="1"/>
  <c r="D59" i="1"/>
  <c r="D60" i="1"/>
  <c r="C4" i="1"/>
  <c r="C5" i="1"/>
  <c r="C12" i="1"/>
  <c r="C13" i="1"/>
  <c r="C14" i="1"/>
  <c r="C15" i="1"/>
  <c r="C16" i="1"/>
  <c r="C17" i="1"/>
  <c r="C18" i="1"/>
  <c r="C21" i="1"/>
  <c r="C24" i="1"/>
  <c r="C26" i="1"/>
  <c r="C27" i="1"/>
  <c r="C28" i="1"/>
  <c r="C29" i="1"/>
  <c r="C31" i="1"/>
  <c r="C34" i="1"/>
  <c r="C37" i="1"/>
  <c r="C40" i="1"/>
  <c r="C41" i="1"/>
  <c r="C42" i="1"/>
  <c r="C43" i="1"/>
  <c r="C48" i="1"/>
  <c r="C49" i="1"/>
  <c r="C50" i="1"/>
  <c r="C51" i="1"/>
  <c r="C52" i="1"/>
  <c r="C53" i="1"/>
  <c r="C54" i="1"/>
  <c r="C57" i="1"/>
  <c r="C58" i="1"/>
  <c r="C59" i="1"/>
  <c r="C75" i="1"/>
  <c r="C76" i="1"/>
  <c r="O8" i="1" l="1"/>
  <c r="N8" i="1"/>
  <c r="O3" i="1"/>
  <c r="O40" i="1"/>
  <c r="N40" i="1"/>
  <c r="L40" i="1"/>
  <c r="L27" i="1"/>
  <c r="N27" i="1"/>
  <c r="O27" i="1"/>
  <c r="L15" i="1"/>
  <c r="O15" i="1"/>
  <c r="N15" i="1"/>
  <c r="O60" i="1"/>
  <c r="N60" i="1"/>
  <c r="L60" i="1"/>
  <c r="L35" i="1"/>
  <c r="N35" i="1"/>
  <c r="O35" i="1"/>
  <c r="N57" i="1"/>
  <c r="O57" i="1"/>
  <c r="L57" i="1"/>
  <c r="L50" i="1"/>
  <c r="N50" i="1"/>
  <c r="O50" i="1"/>
  <c r="N26" i="1"/>
  <c r="O26" i="1"/>
  <c r="L26" i="1"/>
  <c r="O14" i="1"/>
  <c r="L14" i="1"/>
  <c r="N14" i="1"/>
  <c r="N53" i="1"/>
  <c r="O53" i="1"/>
  <c r="L53" i="1"/>
  <c r="O42" i="1"/>
  <c r="N42" i="1"/>
  <c r="L42" i="1"/>
  <c r="O24" i="1"/>
  <c r="L24" i="1"/>
  <c r="N24" i="1"/>
  <c r="O13" i="1"/>
  <c r="L13" i="1"/>
  <c r="N13" i="1"/>
  <c r="O33" i="1"/>
  <c r="L33" i="1"/>
  <c r="N33" i="1"/>
  <c r="O36" i="1"/>
  <c r="L36" i="1"/>
  <c r="N36" i="1"/>
  <c r="N32" i="1"/>
  <c r="O32" i="1"/>
  <c r="L32" i="1"/>
  <c r="N3" i="1"/>
  <c r="L8" i="1"/>
  <c r="N58" i="1"/>
  <c r="O58" i="1"/>
  <c r="L58" i="1"/>
  <c r="O51" i="1"/>
  <c r="L51" i="1"/>
  <c r="N51" i="1"/>
  <c r="O48" i="1"/>
  <c r="L48" i="1"/>
  <c r="N48" i="1"/>
  <c r="O34" i="1"/>
  <c r="L34" i="1"/>
  <c r="N34" i="1"/>
  <c r="O55" i="1"/>
  <c r="L55" i="1"/>
  <c r="N55" i="1"/>
  <c r="L39" i="1"/>
  <c r="N39" i="1"/>
  <c r="O39" i="1"/>
  <c r="L38" i="1"/>
  <c r="N38" i="1"/>
  <c r="O38" i="1"/>
  <c r="O76" i="1"/>
  <c r="L76" i="1"/>
  <c r="N76" i="1"/>
  <c r="O43" i="1"/>
  <c r="N43" i="1"/>
  <c r="L43" i="1"/>
  <c r="L31" i="1"/>
  <c r="N31" i="1"/>
  <c r="O31" i="1"/>
  <c r="N18" i="1"/>
  <c r="O18" i="1"/>
  <c r="L18" i="1"/>
  <c r="O46" i="1"/>
  <c r="L46" i="1"/>
  <c r="N46" i="1"/>
  <c r="L2" i="1"/>
  <c r="O2" i="1"/>
  <c r="N2" i="1"/>
  <c r="O75" i="1"/>
  <c r="L75" i="1"/>
  <c r="N75" i="1"/>
  <c r="O29" i="1"/>
  <c r="L29" i="1"/>
  <c r="N29" i="1"/>
  <c r="O17" i="1"/>
  <c r="N17" i="1"/>
  <c r="L17" i="1"/>
  <c r="L5" i="1"/>
  <c r="N5" i="1"/>
  <c r="O5" i="1"/>
  <c r="N59" i="1"/>
  <c r="L59" i="1"/>
  <c r="O59" i="1"/>
  <c r="N54" i="1"/>
  <c r="O54" i="1"/>
  <c r="L54" i="1"/>
  <c r="N52" i="1"/>
  <c r="O52" i="1"/>
  <c r="L52" i="1"/>
  <c r="N49" i="1"/>
  <c r="O49" i="1"/>
  <c r="L49" i="1"/>
  <c r="L41" i="1"/>
  <c r="O41" i="1"/>
  <c r="N41" i="1"/>
  <c r="O37" i="1"/>
  <c r="L37" i="1"/>
  <c r="N37" i="1"/>
  <c r="O28" i="1"/>
  <c r="L28" i="1"/>
  <c r="N28" i="1"/>
  <c r="O21" i="1"/>
  <c r="L21" i="1"/>
  <c r="N21" i="1"/>
  <c r="O16" i="1"/>
  <c r="L16" i="1"/>
  <c r="N16" i="1"/>
  <c r="O12" i="1"/>
  <c r="L12" i="1"/>
  <c r="N12" i="1"/>
  <c r="N4" i="1"/>
  <c r="O4" i="1"/>
  <c r="L4" i="1"/>
  <c r="L44" i="1"/>
  <c r="N44" i="1"/>
  <c r="O44" i="1"/>
  <c r="O20" i="1"/>
  <c r="L20" i="1"/>
  <c r="N20" i="1"/>
  <c r="L30" i="1"/>
  <c r="N30" i="1"/>
  <c r="O30" i="1"/>
  <c r="O45" i="1"/>
  <c r="N45" i="1"/>
  <c r="L45" i="1"/>
</calcChain>
</file>

<file path=xl/sharedStrings.xml><?xml version="1.0" encoding="utf-8"?>
<sst xmlns="http://schemas.openxmlformats.org/spreadsheetml/2006/main" count="100" uniqueCount="100">
  <si>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</si>
  <si>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</si>
  <si>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</si>
  <si>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</si>
  <si>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</si>
  <si>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</si>
  <si>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</si>
  <si>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</si>
  <si>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</si>
  <si>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Examen</t>
  </si>
  <si>
    <t>Total</t>
  </si>
  <si>
    <t>ANGHEL C. CIPRIANA</t>
  </si>
  <si>
    <t>BUD V.V. VIOREL-ANDREI</t>
  </si>
  <si>
    <t>CALIN V. IONUT VOLUS</t>
  </si>
  <si>
    <t>CASTANE S. COSMIN-BOGDAN</t>
  </si>
  <si>
    <t>CIOBANESCU E. CRISTIAN</t>
  </si>
  <si>
    <t>CONSTANTINESCU V. VLAD-RAUL</t>
  </si>
  <si>
    <t>DRAGAN C. DANIELA</t>
  </si>
  <si>
    <t>GAFENCU C. MIHAI-COSTIN</t>
  </si>
  <si>
    <t>GHETU C. LORENA-ANDREEA</t>
  </si>
  <si>
    <t>HURJUI G. IONUT-ALEXANDRU</t>
  </si>
  <si>
    <t>ICHIM G. RUXANDRA-MIHAELA</t>
  </si>
  <si>
    <t>ILIESI I. SIMONA-RALUCA</t>
  </si>
  <si>
    <t>LACATUSU D. IULIA-DANIELA</t>
  </si>
  <si>
    <t>MARGALINA R. IOANA-RALUCA</t>
  </si>
  <si>
    <t>OLTEANU V. DUMITRU</t>
  </si>
  <si>
    <t>PASCU M.A. GHEORGHE-IOAN</t>
  </si>
  <si>
    <t>PURCARU F.B. MATEI-ADRIAN</t>
  </si>
  <si>
    <t>STAN G. GEORGE-RARES</t>
  </si>
  <si>
    <t>TEPURLUIV.ANAMARIA</t>
  </si>
  <si>
    <t>ZEGA A.M. RADU-PETRU</t>
  </si>
  <si>
    <t>ANDREI C.I. ANA</t>
  </si>
  <si>
    <t>ANTON C.MARINA-ALEXANDRA</t>
  </si>
  <si>
    <t>ANTONIE G. MADALINA-FLORINA</t>
  </si>
  <si>
    <t>BALUTA I. ION</t>
  </si>
  <si>
    <t>CATANA N. LUIGI-IONUT</t>
  </si>
  <si>
    <t>CIOBACA M. ALINA-ELENA</t>
  </si>
  <si>
    <t>COJOCARU C. CRISTIAN-MARIAN</t>
  </si>
  <si>
    <t>CONSTANTINESCUI.ALEXANDRU-_x000D__x000D_
GEORGIAN</t>
  </si>
  <si>
    <t>DEDIU M. ANDREI</t>
  </si>
  <si>
    <t>DICU M. MADALINA</t>
  </si>
  <si>
    <t>GHEORGHE N. GEORGIANA</t>
  </si>
  <si>
    <t>ILIE V. IOANA</t>
  </si>
  <si>
    <t>IORDACHE-GRIGORESCUR.DANUTA-_x000D__x000D_
OLGUTA</t>
  </si>
  <si>
    <t>LASCU I. IONUT-ALEXANDRU</t>
  </si>
  <si>
    <t>MANDRU I. ANDRA-GABRIELA</t>
  </si>
  <si>
    <t>MARCOSANU D. DIANA</t>
  </si>
  <si>
    <t>OLTEANU A. ALEXANDRU-MIRCEA</t>
  </si>
  <si>
    <t>OPREA A. ALEXANDRU-TIBERIU</t>
  </si>
  <si>
    <t>PAL V.C. GEORGE-ROBERT</t>
  </si>
  <si>
    <t>PANA I. CARMEN-ALINA-ELENA</t>
  </si>
  <si>
    <t>PANAITE S.P. ALEXANDRU-DANIEL</t>
  </si>
  <si>
    <t>PAVEL C. DANIEL-IONUT</t>
  </si>
  <si>
    <t>PAVEL M. MIHAI-COSMIN</t>
  </si>
  <si>
    <t>AGAPIE F. CATALIN-ALEXANDRU</t>
  </si>
  <si>
    <t>ALBU N. LAVINIA-ELENA</t>
  </si>
  <si>
    <t>ALEXANDRU I. GIORGIANA</t>
  </si>
  <si>
    <t>ANDRONE S. MIHAELA-MADALINA</t>
  </si>
  <si>
    <t>BARBU V. ANDRA-MARIA</t>
  </si>
  <si>
    <t>BOROS F.V. FLORINA VERONICA</t>
  </si>
  <si>
    <t>BUCATARU I. MIHAI</t>
  </si>
  <si>
    <t>CALU N. ANDRA-FLORENTINA</t>
  </si>
  <si>
    <t>COVRIG C. CONSTANTINA EVELINA</t>
  </si>
  <si>
    <t>DERASADURIAN S. IRENE-CRISTINE</t>
  </si>
  <si>
    <t>DINOIUG.LAURENTIU</t>
  </si>
  <si>
    <t>DINU S. CORNELIA IONELA</t>
  </si>
  <si>
    <t>DINU T.A. IONUT-ANDREI</t>
  </si>
  <si>
    <t>DOBRE D.F.GEORGE-VALENTIN</t>
  </si>
  <si>
    <t>DRAGOMIR C. DIANA-GEORGIANA</t>
  </si>
  <si>
    <t>DUMITRASCU C. MARIA-ANABELA</t>
  </si>
  <si>
    <t>DUMITRU C. ALEXANDRA-CATALINA</t>
  </si>
  <si>
    <t>FLOREA C. MARIUS-FLORIN</t>
  </si>
  <si>
    <t>GHEORGHE D. IOANA</t>
  </si>
  <si>
    <t>GUGUIAN L. LAURENTIU-MIHAIL</t>
  </si>
  <si>
    <t>IFTIMIE F. GEORGE-CRISTIAN</t>
  </si>
  <si>
    <t>MANTA G. GEORGE-FLORIAN</t>
  </si>
  <si>
    <t>MARIN N. RALUCA-MADALINA</t>
  </si>
  <si>
    <t>MILU R. MIHAI-ALEXANDRU</t>
  </si>
  <si>
    <t>MUNTEAN G. VLAD-CRISTIAN</t>
  </si>
  <si>
    <t>MUSCALU R. FLORINA</t>
  </si>
  <si>
    <t>OPREA C. ANA-MARIA</t>
  </si>
  <si>
    <t>PETRACHE I. MADALINA-STELUTA</t>
  </si>
  <si>
    <t>PIEPTEA M. LAVINIA-FLORENTINA</t>
  </si>
  <si>
    <t>SAVU IRINA</t>
  </si>
  <si>
    <t>POPESCU D. ALEXANDRA-MIHAELA</t>
  </si>
  <si>
    <t>PREDESCU C. DENISA-MARIANA</t>
  </si>
  <si>
    <t>PRISECARA D. GEORGIANA-MADALINA</t>
  </si>
  <si>
    <t>RADULESCU C.D. AURELIA-ADRIANA</t>
  </si>
  <si>
    <t>SERBAN V. MARIUS-VALENTIN</t>
  </si>
  <si>
    <t>STAN N. FLORENTINA-MADALINA</t>
  </si>
  <si>
    <t>STANCIU D. ANDRA-MADALINA</t>
  </si>
  <si>
    <t>STOICA A. LAURA-MADALINA</t>
  </si>
  <si>
    <t>TARBA Z. ROXANA-ALEXANDRA</t>
  </si>
  <si>
    <t>Tema_Speciala</t>
  </si>
  <si>
    <t>JOSE MARTINEZ JINEREZ</t>
  </si>
  <si>
    <t>ERASMUS</t>
  </si>
  <si>
    <t>ENACHE R.DANIELA-GELUTA</t>
  </si>
  <si>
    <t>OLTEANU I.CRISTINA</t>
  </si>
  <si>
    <t>SPATARU MARIUS CONSTANTIN</t>
  </si>
  <si>
    <t>AMARIE RADU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</si>
</sst>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9" fillId="0" borderId="10" xfId="42" applyFont="1" applyBorder="1" applyAlignment="1">
      <alignment horizontal="left" vertical="top"/>
    </xf>
    <xf numFmtId="0" fontId="19" fillId="0" borderId="10" xfId="42" applyFont="1" applyBorder="1" applyAlignment="1">
      <alignment horizontal="left" vertical="top"/>
    </xf>
    <xf numFmtId="0" fontId="19" fillId="0" borderId="0" xfId="42" applyFont="1" applyFill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rmal 2" xfId="42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9"/>
  <sheetViews>
    <sheetView tabSelected="1" zoomScaleNormal="100" workbookViewId="0">
      <pane ySplit="21" topLeftCell="A31" activePane="bottomLeft" state="frozen"/>
      <selection pane="bottomLeft" activeCell="A61" sqref="A61:XFD61"/>
    </sheetView>
  </sheetViews>
  <sheetFormatPr defaultRowHeight="14.25" x14ac:dyDescent="0.45"/>
  <cols>
    <col min="1" max="1" width="28.79687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8</v>
      </c>
      <c r="K1" t="s">
        <v>9</v>
      </c>
      <c r="L1" t="s">
        <v>10</v>
      </c>
    </row>
    <row r="2" spans="1:15" hidden="1" x14ac:dyDescent="0.45">
      <c r="A2" t="s">
        <v>11</v>
      </c>
      <c r="B2">
        <v>301</v>
      </c>
      <c r="C2">
        <f>MIN(ROUNDUP(39*1.15,0),40)</f>
        <v>40</v>
      </c>
      <c r="D2">
        <f>MIN(ROUNDUP(49*1.15,0),50)</f>
        <v>50</v>
      </c>
      <c r="E2">
        <f>MIN(ROUNDUP(28*1.15,0),30)</f>
        <v>30</v>
      </c>
      <c r="F2">
        <f>MIN(ROUNDUP(46*1.15,0),50)</f>
        <v>50</v>
      </c>
      <c r="G2">
        <f>MIN(ROUNDUP(28*1.1,0),30)</f>
        <v>30</v>
      </c>
      <c r="H2">
        <f>MIN(ROUNDUP(56*1.1,0),60)</f>
        <v>60</v>
      </c>
      <c r="I2">
        <v>0</v>
      </c>
      <c r="J2">
        <v>60</v>
      </c>
      <c r="K2">
        <v>36</v>
      </c>
      <c r="L2">
        <f>ROUND(MIN(MIN((C2/40+D2/50+E2/30+F2/50+G2/30+H2/60)/6*2.5+I2/190*2,3.5)+1+J2/60*2.5+K2/10,10),0)</f>
        <v>10</v>
      </c>
      <c r="N2">
        <f>(C2/40+D2/50+E2/30+F2/50+G2/30+H2/60)/6*2.5</f>
        <v>2.5</v>
      </c>
      <c r="O2">
        <f t="shared" ref="O2:O21" si="0">MIN(MIN((C2/40+D2/50+E2/30+F2/50+G2/30+H2/60)/6*2.5+I2/190*2,3.5)+1+J2/40*2+K2/10,10)</f>
        <v>10</v>
      </c>
    </row>
    <row r="3" spans="1:15" hidden="1" x14ac:dyDescent="0.45">
      <c r="A3" t="s">
        <v>12</v>
      </c>
      <c r="B3">
        <v>301</v>
      </c>
      <c r="C3">
        <f>MIN(ROUNDUP(40*1.15,0),40)</f>
        <v>40</v>
      </c>
      <c r="D3">
        <f>MIN(ROUNDUP(49*1.15,0),50)</f>
        <v>50</v>
      </c>
      <c r="E3">
        <f t="shared" ref="E3:E57" si="1">MIN(ROUNDUP(0*1.15,0),30)</f>
        <v>0</v>
      </c>
      <c r="F3">
        <f>MIN(ROUNDUP(50*1.15,0),50)</f>
        <v>50</v>
      </c>
      <c r="G3">
        <f>MIN(ROUNDUP(30*1.15,0),30)</f>
        <v>30</v>
      </c>
      <c r="H3">
        <f>MIN(ROUNDUP(54*1.1,0),60)</f>
        <v>60</v>
      </c>
      <c r="I3">
        <v>0</v>
      </c>
      <c r="J3">
        <v>60</v>
      </c>
      <c r="K3">
        <v>40</v>
      </c>
      <c r="L3">
        <f t="shared" ref="L3:L21" si="2">ROUND(MIN(MIN((C3/40+D3/50+E3/30+F3/50+G3/30+H3/60)/6*2.5+I3/190*2,3.5)+1+J3/60*2.5+K3/10,10),0)</f>
        <v>10</v>
      </c>
      <c r="N3">
        <f t="shared" ref="N3:N57" si="3">(C3/40+D3/50+E3/30+F3/50+G3/30+H3/60)/6*2.5</f>
        <v>2.0833333333333335</v>
      </c>
      <c r="O3">
        <f t="shared" si="0"/>
        <v>10</v>
      </c>
    </row>
    <row r="4" spans="1:15" hidden="1" x14ac:dyDescent="0.45">
      <c r="A4" t="s">
        <v>13</v>
      </c>
      <c r="B4">
        <v>301</v>
      </c>
      <c r="C4">
        <f t="shared" ref="C4:C57" si="4">MIN(ROUNDUP(0*1.15,0),40)</f>
        <v>0</v>
      </c>
      <c r="D4">
        <f t="shared" ref="D4:D57" si="5">MIN(ROUNDUP(0*1.15,0),50)</f>
        <v>0</v>
      </c>
      <c r="E4">
        <f t="shared" si="1"/>
        <v>0</v>
      </c>
      <c r="F4">
        <f t="shared" ref="F4:F57" si="6">MIN(ROUNDUP(0*1.15,0),50)</f>
        <v>0</v>
      </c>
      <c r="G4">
        <f t="shared" ref="G4:G57" si="7">MIN(ROUNDUP(0*1.15,0),30)</f>
        <v>0</v>
      </c>
      <c r="H4">
        <f t="shared" ref="H4:H22" si="8">MIN(ROUNDUP(0*1.1,0),60)</f>
        <v>0</v>
      </c>
      <c r="I4">
        <v>0</v>
      </c>
      <c r="J4">
        <v>0</v>
      </c>
      <c r="K4">
        <v>0</v>
      </c>
      <c r="L4">
        <f t="shared" si="2"/>
        <v>1</v>
      </c>
      <c r="N4">
        <f t="shared" si="3"/>
        <v>0</v>
      </c>
      <c r="O4">
        <f t="shared" si="0"/>
        <v>1</v>
      </c>
    </row>
    <row r="5" spans="1:15" hidden="1" x14ac:dyDescent="0.45">
      <c r="A5" t="s">
        <v>14</v>
      </c>
      <c r="B5">
        <v>301</v>
      </c>
      <c r="C5">
        <f t="shared" si="4"/>
        <v>0</v>
      </c>
      <c r="D5">
        <f t="shared" si="5"/>
        <v>0</v>
      </c>
      <c r="E5">
        <f t="shared" si="1"/>
        <v>0</v>
      </c>
      <c r="F5">
        <f>MIN(ROUNDUP(18*1.15,0),50)</f>
        <v>21</v>
      </c>
      <c r="G5">
        <f>MIN(ROUNDUP(19*1.1,0),30)</f>
        <v>21</v>
      </c>
      <c r="H5">
        <f t="shared" si="8"/>
        <v>0</v>
      </c>
      <c r="I5">
        <v>155</v>
      </c>
      <c r="J5">
        <v>0</v>
      </c>
      <c r="K5">
        <v>19</v>
      </c>
      <c r="L5">
        <f t="shared" si="2"/>
        <v>5</v>
      </c>
      <c r="N5">
        <f t="shared" si="3"/>
        <v>0.46666666666666662</v>
      </c>
      <c r="O5">
        <f t="shared" si="0"/>
        <v>4.9982456140350875</v>
      </c>
    </row>
    <row r="6" spans="1:15" hidden="1" x14ac:dyDescent="0.45">
      <c r="A6" t="s">
        <v>15</v>
      </c>
      <c r="B6">
        <v>301</v>
      </c>
      <c r="C6">
        <f>MIN(ROUNDUP(34*1.15,0),40)</f>
        <v>40</v>
      </c>
      <c r="D6">
        <f>MIN(ROUNDUP(44*1.1,0),50)</f>
        <v>49</v>
      </c>
      <c r="E6">
        <f>MIN(ROUNDUP(24*1.15,0),30)</f>
        <v>28</v>
      </c>
      <c r="F6">
        <f>MIN(ROUNDUP(39*1.1,0),50)</f>
        <v>43</v>
      </c>
      <c r="G6">
        <f>MIN(ROUNDUP(27*1.1,0),30)</f>
        <v>30</v>
      </c>
      <c r="H6">
        <f t="shared" si="8"/>
        <v>0</v>
      </c>
      <c r="I6">
        <v>166</v>
      </c>
      <c r="J6">
        <v>55</v>
      </c>
      <c r="K6">
        <v>25</v>
      </c>
      <c r="L6">
        <f t="shared" si="2"/>
        <v>9</v>
      </c>
      <c r="N6">
        <f t="shared" si="3"/>
        <v>1.9888888888888889</v>
      </c>
      <c r="O6">
        <f t="shared" si="0"/>
        <v>9.75</v>
      </c>
    </row>
    <row r="7" spans="1:15" hidden="1" x14ac:dyDescent="0.45">
      <c r="A7" t="s">
        <v>16</v>
      </c>
      <c r="B7">
        <v>301</v>
      </c>
      <c r="C7">
        <f>MIN(ROUNDUP(39*1.15,0),40)</f>
        <v>40</v>
      </c>
      <c r="D7">
        <f>MIN(ROUNDUP(48*1.1,0),50)</f>
        <v>50</v>
      </c>
      <c r="E7">
        <f>MIN(ROUNDUP(28*1.15,0),30)</f>
        <v>30</v>
      </c>
      <c r="F7">
        <f>MIN(ROUNDUP(50*1.15,0),50)</f>
        <v>50</v>
      </c>
      <c r="G7">
        <f>MIN(ROUNDUP(28*1.15,0),30)</f>
        <v>30</v>
      </c>
      <c r="H7">
        <f>MIN(ROUNDUP(55*1.1,0),60)</f>
        <v>60</v>
      </c>
      <c r="I7">
        <v>0</v>
      </c>
      <c r="J7">
        <v>60</v>
      </c>
      <c r="K7">
        <v>42</v>
      </c>
      <c r="L7">
        <f t="shared" si="2"/>
        <v>10</v>
      </c>
      <c r="N7">
        <f t="shared" si="3"/>
        <v>2.5</v>
      </c>
      <c r="O7">
        <f t="shared" si="0"/>
        <v>10</v>
      </c>
    </row>
    <row r="8" spans="1:15" hidden="1" x14ac:dyDescent="0.45">
      <c r="A8" t="s">
        <v>17</v>
      </c>
      <c r="B8">
        <v>301</v>
      </c>
      <c r="C8">
        <f>MIN(ROUNDUP(23*1.15,0),40)</f>
        <v>27</v>
      </c>
      <c r="D8">
        <f>MIN(ROUNDUP(18*1.15,0),50)</f>
        <v>21</v>
      </c>
      <c r="E8">
        <f>MIN(ROUNDUP(10*1.15,0),30)</f>
        <v>12</v>
      </c>
      <c r="F8">
        <f t="shared" si="6"/>
        <v>0</v>
      </c>
      <c r="G8">
        <f t="shared" si="7"/>
        <v>0</v>
      </c>
      <c r="H8">
        <f t="shared" si="8"/>
        <v>0</v>
      </c>
      <c r="I8">
        <v>104</v>
      </c>
      <c r="J8">
        <v>45</v>
      </c>
      <c r="K8">
        <v>3</v>
      </c>
      <c r="L8">
        <f t="shared" si="2"/>
        <v>5</v>
      </c>
      <c r="N8">
        <f t="shared" si="3"/>
        <v>0.62291666666666667</v>
      </c>
      <c r="O8">
        <f t="shared" si="0"/>
        <v>5.2676535087719296</v>
      </c>
    </row>
    <row r="9" spans="1:15" hidden="1" x14ac:dyDescent="0.45">
      <c r="A9" t="s">
        <v>18</v>
      </c>
      <c r="B9">
        <v>301</v>
      </c>
      <c r="C9">
        <f>MIN(ROUNDUP(18*1.15,0),40)</f>
        <v>21</v>
      </c>
      <c r="D9">
        <f>MIN(ROUNDUP(38*1.15,0),50)</f>
        <v>44</v>
      </c>
      <c r="E9">
        <f>MIN(ROUNDUP(23*1.15,0),30)</f>
        <v>27</v>
      </c>
      <c r="F9">
        <f>MIN(ROUNDUP(38*1.1,0),50)</f>
        <v>42</v>
      </c>
      <c r="G9">
        <f>MIN(ROUNDUP(28*1.1,0),30)</f>
        <v>30</v>
      </c>
      <c r="H9">
        <f t="shared" si="8"/>
        <v>0</v>
      </c>
      <c r="I9">
        <v>115</v>
      </c>
      <c r="J9">
        <v>55</v>
      </c>
      <c r="K9">
        <v>27</v>
      </c>
      <c r="L9">
        <f t="shared" si="2"/>
        <v>9</v>
      </c>
      <c r="N9">
        <f t="shared" si="3"/>
        <v>1.7270833333333333</v>
      </c>
      <c r="O9">
        <f t="shared" si="0"/>
        <v>9.3876096491228083</v>
      </c>
    </row>
    <row r="10" spans="1:15" hidden="1" x14ac:dyDescent="0.45">
      <c r="A10" t="s">
        <v>19</v>
      </c>
      <c r="B10">
        <v>301</v>
      </c>
      <c r="C10">
        <f>MIN(ROUNDUP(26*1.15,0),40)</f>
        <v>30</v>
      </c>
      <c r="D10">
        <f>MIN(ROUNDUP(10*1.1,0),50)</f>
        <v>11</v>
      </c>
      <c r="E10">
        <f>MIN(ROUNDUP(11*1.15,0),30)</f>
        <v>13</v>
      </c>
      <c r="F10">
        <f>MIN(ROUNDUP(44*1.1,0),50)</f>
        <v>49</v>
      </c>
      <c r="G10">
        <f>MIN(ROUNDUP(26*1.1,0),30)</f>
        <v>29</v>
      </c>
      <c r="H10">
        <f t="shared" si="8"/>
        <v>0</v>
      </c>
      <c r="I10">
        <v>172</v>
      </c>
      <c r="J10">
        <v>45</v>
      </c>
      <c r="K10">
        <v>10</v>
      </c>
      <c r="L10">
        <f t="shared" si="2"/>
        <v>7</v>
      </c>
      <c r="N10">
        <f t="shared" si="3"/>
        <v>1.3958333333333335</v>
      </c>
      <c r="O10">
        <f t="shared" si="0"/>
        <v>7.456359649122807</v>
      </c>
    </row>
    <row r="11" spans="1:15" hidden="1" x14ac:dyDescent="0.45">
      <c r="A11" t="s">
        <v>20</v>
      </c>
      <c r="B11">
        <v>301</v>
      </c>
      <c r="C11">
        <f>MIN(ROUNDUP(36*1.1,0),40)</f>
        <v>40</v>
      </c>
      <c r="D11">
        <f>MIN(ROUNDUP(44*1.1,0),50)</f>
        <v>49</v>
      </c>
      <c r="E11">
        <f>MIN(ROUNDUP(26*1.1,0),30)</f>
        <v>29</v>
      </c>
      <c r="F11">
        <f>MIN(ROUNDUP(41*1.1,0),50)</f>
        <v>46</v>
      </c>
      <c r="G11">
        <f>MIN(ROUNDUP(25*1.1,0),30)</f>
        <v>28</v>
      </c>
      <c r="H11">
        <f>MIN(ROUNDUP(0*1.1,0),60)</f>
        <v>0</v>
      </c>
      <c r="I11">
        <v>116</v>
      </c>
      <c r="J11">
        <v>53</v>
      </c>
      <c r="K11">
        <v>20</v>
      </c>
      <c r="L11">
        <f>ROUND(MIN(MIN((C11/40+D11/50+E11/30+F11/50+G11/30+H11/60)/6*2.5+I11/190*2,3.5)+1.5+J11/60*2.5+K11/10,10),0)</f>
        <v>9</v>
      </c>
      <c r="N11">
        <f t="shared" si="3"/>
        <v>1.9999999999999998</v>
      </c>
      <c r="O11">
        <f t="shared" si="0"/>
        <v>8.871052631578948</v>
      </c>
    </row>
    <row r="12" spans="1:15" hidden="1" x14ac:dyDescent="0.45">
      <c r="A12" t="s">
        <v>21</v>
      </c>
      <c r="B12">
        <v>301</v>
      </c>
      <c r="C12">
        <f t="shared" si="4"/>
        <v>0</v>
      </c>
      <c r="D12">
        <f>MIN(ROUNDUP(35*1.15,0),50)</f>
        <v>41</v>
      </c>
      <c r="E12">
        <f t="shared" si="1"/>
        <v>0</v>
      </c>
      <c r="F12">
        <f t="shared" si="6"/>
        <v>0</v>
      </c>
      <c r="G12">
        <f t="shared" si="7"/>
        <v>0</v>
      </c>
      <c r="H12">
        <f t="shared" si="8"/>
        <v>0</v>
      </c>
      <c r="I12">
        <v>115</v>
      </c>
      <c r="J12">
        <v>53</v>
      </c>
      <c r="K12">
        <v>28</v>
      </c>
      <c r="L12">
        <f t="shared" si="2"/>
        <v>8</v>
      </c>
      <c r="N12">
        <f t="shared" si="3"/>
        <v>0.34166666666666667</v>
      </c>
      <c r="O12">
        <f t="shared" si="0"/>
        <v>8.0021929824561404</v>
      </c>
    </row>
    <row r="13" spans="1:15" hidden="1" x14ac:dyDescent="0.45">
      <c r="A13" t="s">
        <v>22</v>
      </c>
      <c r="B13">
        <v>301</v>
      </c>
      <c r="C13">
        <f t="shared" si="4"/>
        <v>0</v>
      </c>
      <c r="D13">
        <f t="shared" si="5"/>
        <v>0</v>
      </c>
      <c r="E13">
        <f t="shared" si="1"/>
        <v>0</v>
      </c>
      <c r="F13">
        <f>MIN(ROUNDUP(10*1.15,0),50)</f>
        <v>12</v>
      </c>
      <c r="G13">
        <f t="shared" si="7"/>
        <v>0</v>
      </c>
      <c r="H13">
        <f t="shared" si="8"/>
        <v>0</v>
      </c>
      <c r="I13">
        <v>92</v>
      </c>
      <c r="J13">
        <v>0</v>
      </c>
      <c r="K13">
        <v>0</v>
      </c>
      <c r="L13">
        <f t="shared" si="2"/>
        <v>2</v>
      </c>
      <c r="N13">
        <f t="shared" si="3"/>
        <v>0.1</v>
      </c>
      <c r="O13">
        <f t="shared" si="0"/>
        <v>2.0684210526315789</v>
      </c>
    </row>
    <row r="14" spans="1:15" hidden="1" x14ac:dyDescent="0.45">
      <c r="A14" t="s">
        <v>23</v>
      </c>
      <c r="B14">
        <v>301</v>
      </c>
      <c r="C14">
        <f t="shared" si="4"/>
        <v>0</v>
      </c>
      <c r="D14">
        <f t="shared" si="5"/>
        <v>0</v>
      </c>
      <c r="E14">
        <f t="shared" si="1"/>
        <v>0</v>
      </c>
      <c r="F14">
        <f t="shared" si="6"/>
        <v>0</v>
      </c>
      <c r="G14">
        <f t="shared" si="7"/>
        <v>0</v>
      </c>
      <c r="H14">
        <f t="shared" si="8"/>
        <v>0</v>
      </c>
      <c r="I14">
        <v>173</v>
      </c>
      <c r="J14">
        <v>0</v>
      </c>
      <c r="K14">
        <v>6</v>
      </c>
      <c r="L14">
        <f t="shared" si="2"/>
        <v>3</v>
      </c>
      <c r="N14">
        <f t="shared" si="3"/>
        <v>0</v>
      </c>
      <c r="O14">
        <f t="shared" si="0"/>
        <v>3.4210526315789473</v>
      </c>
    </row>
    <row r="15" spans="1:15" hidden="1" x14ac:dyDescent="0.45">
      <c r="A15" t="s">
        <v>24</v>
      </c>
      <c r="B15">
        <v>301</v>
      </c>
      <c r="C15">
        <f t="shared" si="4"/>
        <v>0</v>
      </c>
      <c r="D15">
        <f t="shared" si="5"/>
        <v>0</v>
      </c>
      <c r="E15">
        <f t="shared" si="1"/>
        <v>0</v>
      </c>
      <c r="F15">
        <f t="shared" si="6"/>
        <v>0</v>
      </c>
      <c r="G15">
        <f>MIN(ROUNDUP(27*1.1,0),30)</f>
        <v>30</v>
      </c>
      <c r="H15">
        <f t="shared" si="8"/>
        <v>0</v>
      </c>
      <c r="I15">
        <v>167</v>
      </c>
      <c r="J15">
        <v>50</v>
      </c>
      <c r="K15">
        <v>13</v>
      </c>
      <c r="L15">
        <f t="shared" si="2"/>
        <v>7</v>
      </c>
      <c r="N15">
        <f t="shared" si="3"/>
        <v>0.41666666666666663</v>
      </c>
      <c r="O15">
        <f t="shared" si="0"/>
        <v>6.9745614035087717</v>
      </c>
    </row>
    <row r="16" spans="1:15" hidden="1" x14ac:dyDescent="0.45">
      <c r="A16" t="s">
        <v>25</v>
      </c>
      <c r="B16">
        <v>301</v>
      </c>
      <c r="C16">
        <f t="shared" si="4"/>
        <v>0</v>
      </c>
      <c r="D16">
        <f t="shared" si="5"/>
        <v>0</v>
      </c>
      <c r="E16">
        <f t="shared" si="1"/>
        <v>0</v>
      </c>
      <c r="F16">
        <f t="shared" si="6"/>
        <v>0</v>
      </c>
      <c r="G16">
        <f t="shared" si="7"/>
        <v>0</v>
      </c>
      <c r="H16">
        <f t="shared" si="8"/>
        <v>0</v>
      </c>
      <c r="I16">
        <v>0</v>
      </c>
      <c r="J16">
        <v>0</v>
      </c>
      <c r="K16">
        <v>0</v>
      </c>
      <c r="L16">
        <f t="shared" si="2"/>
        <v>1</v>
      </c>
      <c r="N16">
        <f t="shared" si="3"/>
        <v>0</v>
      </c>
      <c r="O16">
        <f t="shared" si="0"/>
        <v>1</v>
      </c>
    </row>
    <row r="17" spans="1:15" hidden="1" x14ac:dyDescent="0.45">
      <c r="A17" t="s">
        <v>26</v>
      </c>
      <c r="B17">
        <v>301</v>
      </c>
      <c r="C17">
        <f t="shared" si="4"/>
        <v>0</v>
      </c>
      <c r="D17">
        <f t="shared" si="5"/>
        <v>0</v>
      </c>
      <c r="E17">
        <f t="shared" si="1"/>
        <v>0</v>
      </c>
      <c r="F17">
        <f>MIN(ROUNDUP(18*1.15,0),50)</f>
        <v>21</v>
      </c>
      <c r="G17">
        <f>MIN(ROUNDUP(4*1.15,0),30)</f>
        <v>5</v>
      </c>
      <c r="H17">
        <f t="shared" si="8"/>
        <v>0</v>
      </c>
      <c r="I17">
        <v>153</v>
      </c>
      <c r="J17">
        <v>0</v>
      </c>
      <c r="K17">
        <v>22</v>
      </c>
      <c r="L17">
        <f t="shared" si="2"/>
        <v>5</v>
      </c>
      <c r="N17">
        <f t="shared" si="3"/>
        <v>0.24444444444444446</v>
      </c>
      <c r="O17">
        <f t="shared" si="0"/>
        <v>5.0549707602339184</v>
      </c>
    </row>
    <row r="18" spans="1:15" hidden="1" x14ac:dyDescent="0.45">
      <c r="A18" t="s">
        <v>27</v>
      </c>
      <c r="B18">
        <v>301</v>
      </c>
      <c r="C18">
        <f t="shared" si="4"/>
        <v>0</v>
      </c>
      <c r="D18">
        <f t="shared" si="5"/>
        <v>0</v>
      </c>
      <c r="E18">
        <f t="shared" si="1"/>
        <v>0</v>
      </c>
      <c r="F18">
        <f t="shared" si="6"/>
        <v>0</v>
      </c>
      <c r="G18">
        <f t="shared" si="7"/>
        <v>0</v>
      </c>
      <c r="H18">
        <f t="shared" si="8"/>
        <v>0</v>
      </c>
      <c r="I18">
        <v>165</v>
      </c>
      <c r="J18">
        <v>0</v>
      </c>
      <c r="K18">
        <v>11</v>
      </c>
      <c r="L18">
        <f t="shared" si="2"/>
        <v>4</v>
      </c>
      <c r="N18">
        <f t="shared" si="3"/>
        <v>0</v>
      </c>
      <c r="O18">
        <f t="shared" si="0"/>
        <v>3.8368421052631581</v>
      </c>
    </row>
    <row r="19" spans="1:15" hidden="1" x14ac:dyDescent="0.45">
      <c r="A19" t="s">
        <v>28</v>
      </c>
      <c r="B19">
        <v>301</v>
      </c>
      <c r="C19">
        <f>MIN(ROUNDUP(39*1.15,0),40)</f>
        <v>40</v>
      </c>
      <c r="D19">
        <f>MIN(ROUNDUP(49*1.15,0),50)</f>
        <v>50</v>
      </c>
      <c r="E19">
        <f>MIN(ROUNDUP(28*1.15,0),30)</f>
        <v>30</v>
      </c>
      <c r="F19">
        <f>MIN(ROUNDUP(50*1.15,0),50)</f>
        <v>50</v>
      </c>
      <c r="G19">
        <f>MIN(ROUNDUP(25*1.15,0),30)</f>
        <v>29</v>
      </c>
      <c r="H19">
        <f>MIN(ROUNDUP(30*1.1,0),60)</f>
        <v>33</v>
      </c>
      <c r="I19">
        <v>0</v>
      </c>
      <c r="J19">
        <v>60</v>
      </c>
      <c r="K19">
        <v>44</v>
      </c>
      <c r="L19">
        <f t="shared" si="2"/>
        <v>10</v>
      </c>
      <c r="N19">
        <f t="shared" si="3"/>
        <v>2.2986111111111112</v>
      </c>
      <c r="O19">
        <f t="shared" si="0"/>
        <v>10</v>
      </c>
    </row>
    <row r="20" spans="1:15" hidden="1" x14ac:dyDescent="0.45">
      <c r="A20" t="s">
        <v>29</v>
      </c>
      <c r="B20">
        <v>301</v>
      </c>
      <c r="C20">
        <f>MIN(ROUNDUP(9*1.15,0),40)</f>
        <v>11</v>
      </c>
      <c r="D20">
        <f t="shared" si="5"/>
        <v>0</v>
      </c>
      <c r="E20">
        <f t="shared" si="1"/>
        <v>0</v>
      </c>
      <c r="F20">
        <f>MIN(ROUNDUP(40*1.15,0),50)</f>
        <v>46</v>
      </c>
      <c r="G20">
        <f t="shared" si="7"/>
        <v>0</v>
      </c>
      <c r="H20">
        <f t="shared" si="8"/>
        <v>0</v>
      </c>
      <c r="I20">
        <v>138</v>
      </c>
      <c r="J20">
        <v>50</v>
      </c>
      <c r="K20">
        <v>9</v>
      </c>
      <c r="L20">
        <f t="shared" si="2"/>
        <v>6</v>
      </c>
      <c r="N20">
        <f t="shared" si="3"/>
        <v>0.49791666666666673</v>
      </c>
      <c r="O20">
        <f t="shared" si="0"/>
        <v>6.3505482456140356</v>
      </c>
    </row>
    <row r="21" spans="1:15" hidden="1" x14ac:dyDescent="0.45">
      <c r="A21" t="s">
        <v>30</v>
      </c>
      <c r="B21">
        <v>301</v>
      </c>
      <c r="C21">
        <f t="shared" si="4"/>
        <v>0</v>
      </c>
      <c r="D21">
        <f t="shared" si="5"/>
        <v>0</v>
      </c>
      <c r="E21">
        <f>MIN(ROUNDUP(4*1.15,0),30)</f>
        <v>5</v>
      </c>
      <c r="F21">
        <f t="shared" si="6"/>
        <v>0</v>
      </c>
      <c r="G21">
        <f>MIN(ROUNDUP(22*1.1,0),30)</f>
        <v>25</v>
      </c>
      <c r="H21">
        <f t="shared" si="8"/>
        <v>0</v>
      </c>
      <c r="I21">
        <v>176</v>
      </c>
      <c r="J21">
        <v>50</v>
      </c>
      <c r="K21">
        <v>17</v>
      </c>
      <c r="L21">
        <f t="shared" si="2"/>
        <v>7</v>
      </c>
      <c r="N21">
        <f t="shared" si="3"/>
        <v>0.41666666666666663</v>
      </c>
      <c r="O21">
        <f t="shared" si="0"/>
        <v>7.4692982456140351</v>
      </c>
    </row>
    <row r="22" spans="1:15" hidden="1" x14ac:dyDescent="0.45">
      <c r="A22" t="s">
        <v>99</v>
      </c>
      <c r="B22">
        <v>311</v>
      </c>
      <c r="C22">
        <f t="shared" si="4"/>
        <v>0</v>
      </c>
      <c r="D22">
        <f t="shared" si="5"/>
        <v>0</v>
      </c>
      <c r="E22">
        <f>MIN(ROUNDUP(0*1.15,0),30)</f>
        <v>0</v>
      </c>
      <c r="F22">
        <f t="shared" si="6"/>
        <v>0</v>
      </c>
      <c r="G22">
        <f>MIN(ROUNDUP(0*1.1,0),30)</f>
        <v>0</v>
      </c>
      <c r="H22">
        <f t="shared" si="8"/>
        <v>0</v>
      </c>
      <c r="I22">
        <v>0</v>
      </c>
      <c r="J22">
        <v>0</v>
      </c>
      <c r="K22">
        <v>0</v>
      </c>
      <c r="L22">
        <f t="shared" ref="L22" si="9">ROUND(MIN(MIN((C22/40+D22/50+E22/30+F22/50+G22/30+H22/60)/6*2.5+I22/190*2,3.5)+1+J22/60*2.5+K22/10,10),0)</f>
        <v>1</v>
      </c>
      <c r="N22">
        <f t="shared" ref="N22" si="10">(C22/40+D22/50+E22/30+F22/50+G22/30+H22/60)/6*2.5</f>
        <v>0</v>
      </c>
      <c r="O22">
        <f t="shared" ref="O22" si="11">MIN(MIN((C22/40+D22/50+E22/30+F22/50+G22/30+H22/60)/6*2.5+I22/190*2,3.5)+1+J22/40*2+K22/10,10)</f>
        <v>1</v>
      </c>
    </row>
    <row r="23" spans="1:15" hidden="1" x14ac:dyDescent="0.45">
      <c r="A23" t="s">
        <v>31</v>
      </c>
      <c r="B23">
        <v>311</v>
      </c>
      <c r="C23">
        <f>MIN(ROUNDUP(31*1.15,0),40)</f>
        <v>36</v>
      </c>
      <c r="D23">
        <f>MIN(ROUNDUP(39*1.1,0),50)</f>
        <v>43</v>
      </c>
      <c r="E23">
        <f>MIN(ROUNDUP(20*1.1,0),30)</f>
        <v>22</v>
      </c>
      <c r="F23">
        <f>MIN(ROUNDUP(28*1.1,0),50)</f>
        <v>31</v>
      </c>
      <c r="G23">
        <f t="shared" si="7"/>
        <v>0</v>
      </c>
      <c r="H23">
        <v>0</v>
      </c>
      <c r="I23">
        <v>115</v>
      </c>
      <c r="J23">
        <v>50</v>
      </c>
      <c r="K23">
        <v>20</v>
      </c>
      <c r="L23">
        <f>ROUND(MIN(MIN((C23/40+D23/50+E23/30+F23/50+G23/30+H23/60)/6*2.5+I23/190*2,3.5)+1+J23/50*2+K23/10,10),0)</f>
        <v>8</v>
      </c>
      <c r="N23">
        <f t="shared" si="3"/>
        <v>1.2972222222222221</v>
      </c>
      <c r="O23">
        <f>MIN(MIN((C23/40+D23/50+E23/30+F23/50+G23/30+H23/60)/6*2.5+I23/190*2,3.5)+1+J23/50*2+K23/10,10)</f>
        <v>7.5077485380116959</v>
      </c>
    </row>
    <row r="24" spans="1:15" hidden="1" x14ac:dyDescent="0.45">
      <c r="A24" t="s">
        <v>32</v>
      </c>
      <c r="B24">
        <v>311</v>
      </c>
      <c r="C24">
        <f t="shared" si="4"/>
        <v>0</v>
      </c>
      <c r="D24">
        <f t="shared" si="5"/>
        <v>0</v>
      </c>
      <c r="E24">
        <f t="shared" si="1"/>
        <v>0</v>
      </c>
      <c r="F24">
        <f t="shared" si="6"/>
        <v>0</v>
      </c>
      <c r="G24">
        <f t="shared" si="7"/>
        <v>0</v>
      </c>
      <c r="H24">
        <v>0</v>
      </c>
      <c r="I24">
        <v>0</v>
      </c>
      <c r="J24">
        <v>0</v>
      </c>
      <c r="K24">
        <v>0</v>
      </c>
      <c r="L24">
        <f t="shared" ref="L24:L45" si="12">ROUND(MIN(MIN((C24/40+D24/50+E24/30+F24/50+G24/30+H24/60)/6*2.5+I24/190*2,3.5)+1+J24/50*2+K24/10,10),0)</f>
        <v>1</v>
      </c>
      <c r="N24">
        <f t="shared" si="3"/>
        <v>0</v>
      </c>
      <c r="O24">
        <f t="shared" ref="O24:O45" si="13">MIN(MIN((C24/40+D24/50+E24/30+F24/50+G24/30+H24/60)/6*2.5+I24/190*2,3.5)+1+J24/50*2+K24/10,10)</f>
        <v>1</v>
      </c>
    </row>
    <row r="25" spans="1:15" hidden="1" x14ac:dyDescent="0.45">
      <c r="A25" t="s">
        <v>33</v>
      </c>
      <c r="B25">
        <v>311</v>
      </c>
      <c r="C25">
        <f>MIN(ROUNDUP(8*1.1,0),40)</f>
        <v>9</v>
      </c>
      <c r="D25">
        <f>MIN(ROUNDUP(0*1.1,0),50)</f>
        <v>0</v>
      </c>
      <c r="E25">
        <f>MIN(ROUNDUP(7*1.1,0),30)</f>
        <v>8</v>
      </c>
      <c r="F25">
        <f>MIN(ROUNDUP(20*1.1,0),50)</f>
        <v>22</v>
      </c>
      <c r="G25">
        <f>MIN(ROUNDUP(24*1.1,0),30)</f>
        <v>27</v>
      </c>
      <c r="H25">
        <v>0</v>
      </c>
      <c r="I25">
        <v>150</v>
      </c>
      <c r="J25">
        <v>33</v>
      </c>
      <c r="K25">
        <v>27</v>
      </c>
      <c r="L25">
        <f t="shared" si="12"/>
        <v>7</v>
      </c>
      <c r="N25">
        <f t="shared" si="3"/>
        <v>0.7631944444444444</v>
      </c>
      <c r="O25">
        <f t="shared" si="13"/>
        <v>7.362141812865497</v>
      </c>
    </row>
    <row r="26" spans="1:15" hidden="1" x14ac:dyDescent="0.45">
      <c r="A26" t="s">
        <v>34</v>
      </c>
      <c r="B26">
        <v>311</v>
      </c>
      <c r="C26">
        <f t="shared" si="4"/>
        <v>0</v>
      </c>
      <c r="D26">
        <f t="shared" si="5"/>
        <v>0</v>
      </c>
      <c r="E26">
        <f t="shared" si="1"/>
        <v>0</v>
      </c>
      <c r="F26">
        <f t="shared" si="6"/>
        <v>0</v>
      </c>
      <c r="G26">
        <f t="shared" si="7"/>
        <v>0</v>
      </c>
      <c r="H26">
        <v>0</v>
      </c>
      <c r="I26">
        <v>0</v>
      </c>
      <c r="J26">
        <v>0</v>
      </c>
      <c r="K26">
        <v>0</v>
      </c>
      <c r="L26">
        <f t="shared" si="12"/>
        <v>1</v>
      </c>
      <c r="N26">
        <f t="shared" si="3"/>
        <v>0</v>
      </c>
      <c r="O26">
        <f t="shared" si="13"/>
        <v>1</v>
      </c>
    </row>
    <row r="27" spans="1:15" hidden="1" x14ac:dyDescent="0.45">
      <c r="A27" t="s">
        <v>35</v>
      </c>
      <c r="B27">
        <v>311</v>
      </c>
      <c r="C27">
        <f t="shared" si="4"/>
        <v>0</v>
      </c>
      <c r="D27">
        <f t="shared" si="5"/>
        <v>0</v>
      </c>
      <c r="E27">
        <f t="shared" si="1"/>
        <v>0</v>
      </c>
      <c r="F27">
        <f t="shared" si="6"/>
        <v>0</v>
      </c>
      <c r="G27">
        <f t="shared" si="7"/>
        <v>0</v>
      </c>
      <c r="H27">
        <v>0</v>
      </c>
      <c r="I27">
        <v>65</v>
      </c>
      <c r="J27">
        <v>40</v>
      </c>
      <c r="K27">
        <v>32</v>
      </c>
      <c r="L27">
        <f t="shared" si="12"/>
        <v>6</v>
      </c>
      <c r="N27">
        <f t="shared" si="3"/>
        <v>0</v>
      </c>
      <c r="O27">
        <f t="shared" si="13"/>
        <v>6.4842105263157901</v>
      </c>
    </row>
    <row r="28" spans="1:15" hidden="1" x14ac:dyDescent="0.45">
      <c r="A28" t="s">
        <v>36</v>
      </c>
      <c r="B28">
        <v>311</v>
      </c>
      <c r="C28">
        <f t="shared" si="4"/>
        <v>0</v>
      </c>
      <c r="D28">
        <f t="shared" si="5"/>
        <v>0</v>
      </c>
      <c r="E28">
        <f t="shared" si="1"/>
        <v>0</v>
      </c>
      <c r="F28">
        <f t="shared" si="6"/>
        <v>0</v>
      </c>
      <c r="G28">
        <f t="shared" si="7"/>
        <v>0</v>
      </c>
      <c r="H28">
        <v>0</v>
      </c>
      <c r="I28">
        <v>159</v>
      </c>
      <c r="J28">
        <v>41</v>
      </c>
      <c r="K28">
        <v>11</v>
      </c>
      <c r="L28">
        <f t="shared" si="12"/>
        <v>5</v>
      </c>
      <c r="N28">
        <f t="shared" si="3"/>
        <v>0</v>
      </c>
      <c r="O28">
        <f t="shared" si="13"/>
        <v>5.4136842105263163</v>
      </c>
    </row>
    <row r="29" spans="1:15" hidden="1" x14ac:dyDescent="0.45">
      <c r="A29" t="s">
        <v>37</v>
      </c>
      <c r="B29">
        <v>311</v>
      </c>
      <c r="C29">
        <f t="shared" si="4"/>
        <v>0</v>
      </c>
      <c r="D29">
        <f t="shared" si="5"/>
        <v>0</v>
      </c>
      <c r="E29">
        <f t="shared" si="1"/>
        <v>0</v>
      </c>
      <c r="F29">
        <f t="shared" si="6"/>
        <v>0</v>
      </c>
      <c r="G29">
        <f>MIN(ROUNDUP(17*1.1,0),30)</f>
        <v>19</v>
      </c>
      <c r="H29">
        <v>0</v>
      </c>
      <c r="I29">
        <v>0</v>
      </c>
      <c r="J29">
        <v>23</v>
      </c>
      <c r="K29">
        <v>0</v>
      </c>
      <c r="L29">
        <f t="shared" si="12"/>
        <v>2</v>
      </c>
      <c r="N29">
        <f t="shared" si="3"/>
        <v>0.2638888888888889</v>
      </c>
      <c r="O29">
        <f t="shared" si="13"/>
        <v>2.1838888888888888</v>
      </c>
    </row>
    <row r="30" spans="1:15" ht="28.5" hidden="1" x14ac:dyDescent="0.45">
      <c r="A30" s="1" t="s">
        <v>38</v>
      </c>
      <c r="B30">
        <v>311</v>
      </c>
      <c r="C30">
        <f>MIN(ROUNDUP(32*1.15,0),40)</f>
        <v>37</v>
      </c>
      <c r="D30">
        <f>MIN(ROUNDUP(24*1.15,0),50)</f>
        <v>28</v>
      </c>
      <c r="E30">
        <f t="shared" si="1"/>
        <v>0</v>
      </c>
      <c r="F30">
        <f>MIN(ROUNDUP(18*1.15,0),50)</f>
        <v>21</v>
      </c>
      <c r="G30">
        <f t="shared" si="7"/>
        <v>0</v>
      </c>
      <c r="H30">
        <v>0</v>
      </c>
      <c r="I30">
        <v>155</v>
      </c>
      <c r="J30">
        <v>40</v>
      </c>
      <c r="K30">
        <v>17</v>
      </c>
      <c r="L30">
        <f t="shared" si="12"/>
        <v>7</v>
      </c>
      <c r="N30">
        <f t="shared" si="3"/>
        <v>0.79374999999999996</v>
      </c>
      <c r="O30">
        <f t="shared" si="13"/>
        <v>6.7253289473684212</v>
      </c>
    </row>
    <row r="31" spans="1:15" hidden="1" x14ac:dyDescent="0.45">
      <c r="A31" t="s">
        <v>39</v>
      </c>
      <c r="B31">
        <v>311</v>
      </c>
      <c r="C31">
        <f t="shared" si="4"/>
        <v>0</v>
      </c>
      <c r="D31">
        <f t="shared" si="5"/>
        <v>0</v>
      </c>
      <c r="E31">
        <f t="shared" si="1"/>
        <v>0</v>
      </c>
      <c r="F31">
        <f t="shared" si="6"/>
        <v>0</v>
      </c>
      <c r="G31">
        <f t="shared" si="7"/>
        <v>0</v>
      </c>
      <c r="H31">
        <v>0</v>
      </c>
      <c r="I31">
        <v>0</v>
      </c>
      <c r="J31">
        <v>0</v>
      </c>
      <c r="K31">
        <v>0</v>
      </c>
      <c r="L31">
        <f t="shared" si="12"/>
        <v>1</v>
      </c>
      <c r="N31">
        <f t="shared" si="3"/>
        <v>0</v>
      </c>
      <c r="O31">
        <f t="shared" si="13"/>
        <v>1</v>
      </c>
    </row>
    <row r="32" spans="1:15" hidden="1" x14ac:dyDescent="0.45">
      <c r="A32" t="s">
        <v>40</v>
      </c>
      <c r="B32">
        <v>311</v>
      </c>
      <c r="C32">
        <f>MIN(ROUNDUP(21*1.15,0),40)</f>
        <v>25</v>
      </c>
      <c r="D32">
        <f>MIN(ROUNDUP(15*1.1,0),50)</f>
        <v>17</v>
      </c>
      <c r="E32">
        <f>MIN(ROUNDUP(7*1.1,0),30)</f>
        <v>8</v>
      </c>
      <c r="F32">
        <f>MIN(ROUNDUP(15*1.1,0),50)</f>
        <v>17</v>
      </c>
      <c r="G32">
        <f t="shared" si="7"/>
        <v>0</v>
      </c>
      <c r="H32">
        <v>0</v>
      </c>
      <c r="I32">
        <v>0</v>
      </c>
      <c r="J32">
        <v>39</v>
      </c>
      <c r="K32">
        <v>0</v>
      </c>
      <c r="L32">
        <f t="shared" si="12"/>
        <v>3</v>
      </c>
      <c r="N32">
        <f t="shared" si="3"/>
        <v>0.65486111111111123</v>
      </c>
      <c r="O32">
        <f t="shared" si="13"/>
        <v>3.2148611111111114</v>
      </c>
    </row>
    <row r="33" spans="1:15" hidden="1" x14ac:dyDescent="0.45">
      <c r="A33" t="s">
        <v>41</v>
      </c>
      <c r="B33">
        <v>311</v>
      </c>
      <c r="C33">
        <f>MIN(ROUNDUP(7*1.1,0),40)</f>
        <v>8</v>
      </c>
      <c r="D33">
        <f t="shared" si="5"/>
        <v>0</v>
      </c>
      <c r="E33">
        <f t="shared" si="1"/>
        <v>0</v>
      </c>
      <c r="F33">
        <f>MIN(ROUNDUP(19*1.1,0),50)</f>
        <v>21</v>
      </c>
      <c r="G33">
        <f>MIN(ROUNDUP(25*1.1,0),30)</f>
        <v>28</v>
      </c>
      <c r="H33">
        <v>0</v>
      </c>
      <c r="I33">
        <v>151</v>
      </c>
      <c r="J33">
        <v>33</v>
      </c>
      <c r="K33">
        <v>27</v>
      </c>
      <c r="L33">
        <f t="shared" si="12"/>
        <v>7</v>
      </c>
      <c r="N33">
        <f t="shared" si="3"/>
        <v>0.64722222222222225</v>
      </c>
      <c r="O33">
        <f t="shared" si="13"/>
        <v>7.256695906432749</v>
      </c>
    </row>
    <row r="34" spans="1:15" hidden="1" x14ac:dyDescent="0.45">
      <c r="A34" t="s">
        <v>42</v>
      </c>
      <c r="B34">
        <v>311</v>
      </c>
      <c r="C34">
        <f t="shared" si="4"/>
        <v>0</v>
      </c>
      <c r="D34">
        <f t="shared" si="5"/>
        <v>0</v>
      </c>
      <c r="E34">
        <f t="shared" si="1"/>
        <v>0</v>
      </c>
      <c r="F34">
        <f>MIN(ROUNDUP(15*1.15,0),50)</f>
        <v>18</v>
      </c>
      <c r="G34">
        <f t="shared" si="7"/>
        <v>0</v>
      </c>
      <c r="H34">
        <v>0</v>
      </c>
      <c r="I34">
        <v>102</v>
      </c>
      <c r="J34">
        <v>25</v>
      </c>
      <c r="K34">
        <v>13</v>
      </c>
      <c r="L34">
        <f t="shared" si="12"/>
        <v>5</v>
      </c>
      <c r="N34">
        <f t="shared" si="3"/>
        <v>0.15</v>
      </c>
      <c r="O34">
        <f t="shared" si="13"/>
        <v>4.5236842105263158</v>
      </c>
    </row>
    <row r="35" spans="1:15" ht="42.75" hidden="1" x14ac:dyDescent="0.45">
      <c r="A35" s="1" t="s">
        <v>43</v>
      </c>
      <c r="B35">
        <v>311</v>
      </c>
      <c r="C35">
        <f>MIN(ROUNDUP(20*1.15,0),40)</f>
        <v>23</v>
      </c>
      <c r="D35">
        <f t="shared" si="5"/>
        <v>0</v>
      </c>
      <c r="E35">
        <f t="shared" si="1"/>
        <v>0</v>
      </c>
      <c r="F35">
        <f t="shared" si="6"/>
        <v>0</v>
      </c>
      <c r="G35">
        <f t="shared" si="7"/>
        <v>0</v>
      </c>
      <c r="H35">
        <v>0</v>
      </c>
      <c r="I35">
        <v>168</v>
      </c>
      <c r="J35">
        <v>0</v>
      </c>
      <c r="K35">
        <v>15</v>
      </c>
      <c r="L35">
        <f t="shared" si="12"/>
        <v>5</v>
      </c>
      <c r="N35">
        <f t="shared" si="3"/>
        <v>0.23958333333333331</v>
      </c>
      <c r="O35">
        <f t="shared" si="13"/>
        <v>4.5080043859649122</v>
      </c>
    </row>
    <row r="36" spans="1:15" hidden="1" x14ac:dyDescent="0.45">
      <c r="A36" t="s">
        <v>44</v>
      </c>
      <c r="B36">
        <v>311</v>
      </c>
      <c r="C36">
        <f>MIN(ROUNDUP(30*1.15,0),40)</f>
        <v>35</v>
      </c>
      <c r="D36">
        <f>MIN(ROUNDUP(20*1.1,0),50)</f>
        <v>22</v>
      </c>
      <c r="E36">
        <f t="shared" si="1"/>
        <v>0</v>
      </c>
      <c r="F36">
        <f>MIN(ROUNDUP(18*1.15,0),50)</f>
        <v>21</v>
      </c>
      <c r="G36">
        <f t="shared" si="7"/>
        <v>0</v>
      </c>
      <c r="H36">
        <v>0</v>
      </c>
      <c r="I36">
        <v>163</v>
      </c>
      <c r="J36">
        <v>30</v>
      </c>
      <c r="K36">
        <v>16</v>
      </c>
      <c r="L36">
        <f t="shared" si="12"/>
        <v>6</v>
      </c>
      <c r="N36">
        <f t="shared" si="3"/>
        <v>0.72291666666666654</v>
      </c>
      <c r="O36">
        <f t="shared" si="13"/>
        <v>6.2387061403508763</v>
      </c>
    </row>
    <row r="37" spans="1:15" hidden="1" x14ac:dyDescent="0.45">
      <c r="A37" t="s">
        <v>45</v>
      </c>
      <c r="B37">
        <v>311</v>
      </c>
      <c r="C37">
        <f t="shared" si="4"/>
        <v>0</v>
      </c>
      <c r="D37">
        <f t="shared" si="5"/>
        <v>0</v>
      </c>
      <c r="E37">
        <f t="shared" si="1"/>
        <v>0</v>
      </c>
      <c r="F37">
        <f>MIN(ROUNDUP(28*1.1,0),50)</f>
        <v>31</v>
      </c>
      <c r="G37">
        <f>MIN(ROUNDUP(24*1.1,0),30)</f>
        <v>27</v>
      </c>
      <c r="H37">
        <v>0</v>
      </c>
      <c r="I37">
        <v>172</v>
      </c>
      <c r="J37">
        <v>39</v>
      </c>
      <c r="K37">
        <v>21</v>
      </c>
      <c r="L37">
        <f t="shared" si="12"/>
        <v>7</v>
      </c>
      <c r="N37">
        <f t="shared" si="3"/>
        <v>0.63333333333333341</v>
      </c>
      <c r="O37">
        <f t="shared" si="13"/>
        <v>7.103859649122807</v>
      </c>
    </row>
    <row r="38" spans="1:15" hidden="1" x14ac:dyDescent="0.45">
      <c r="A38" t="s">
        <v>46</v>
      </c>
      <c r="B38">
        <v>311</v>
      </c>
      <c r="C38">
        <f>MIN(ROUNDUP(29*1.15,0),40)</f>
        <v>34</v>
      </c>
      <c r="D38">
        <f>MIN(ROUNDUP(24*1.15,0),50)</f>
        <v>28</v>
      </c>
      <c r="E38">
        <f t="shared" si="1"/>
        <v>0</v>
      </c>
      <c r="F38">
        <f>MIN(ROUNDUP(18*1.15,0),50)</f>
        <v>21</v>
      </c>
      <c r="G38">
        <f t="shared" si="7"/>
        <v>0</v>
      </c>
      <c r="H38">
        <v>0</v>
      </c>
      <c r="I38">
        <v>176</v>
      </c>
      <c r="J38">
        <v>40</v>
      </c>
      <c r="K38">
        <v>19</v>
      </c>
      <c r="L38">
        <f t="shared" si="12"/>
        <v>7</v>
      </c>
      <c r="N38">
        <f t="shared" si="3"/>
        <v>0.76249999999999996</v>
      </c>
      <c r="O38">
        <f t="shared" si="13"/>
        <v>7.1151315789473681</v>
      </c>
    </row>
    <row r="39" spans="1:15" hidden="1" x14ac:dyDescent="0.45">
      <c r="A39" t="s">
        <v>47</v>
      </c>
      <c r="B39">
        <v>311</v>
      </c>
      <c r="C39">
        <f>MIN(ROUNDUP(15*1.1,0),40)</f>
        <v>17</v>
      </c>
      <c r="D39">
        <f t="shared" si="5"/>
        <v>0</v>
      </c>
      <c r="E39">
        <f>MIN(ROUNDUP(15*1.1,0),30)</f>
        <v>17</v>
      </c>
      <c r="F39">
        <f>MIN(ROUNDUP(28*1.1,0),50)</f>
        <v>31</v>
      </c>
      <c r="G39">
        <f>MIN(ROUNDUP(26*1.1,0),30)</f>
        <v>29</v>
      </c>
      <c r="H39">
        <v>0</v>
      </c>
      <c r="I39">
        <v>175</v>
      </c>
      <c r="J39">
        <v>47</v>
      </c>
      <c r="K39">
        <v>39</v>
      </c>
      <c r="L39">
        <f t="shared" si="12"/>
        <v>10</v>
      </c>
      <c r="N39">
        <f t="shared" si="3"/>
        <v>1.0743055555555556</v>
      </c>
      <c r="O39">
        <f t="shared" si="13"/>
        <v>9.696410818713451</v>
      </c>
    </row>
    <row r="40" spans="1:15" hidden="1" x14ac:dyDescent="0.45">
      <c r="A40" t="s">
        <v>48</v>
      </c>
      <c r="B40">
        <v>311</v>
      </c>
      <c r="C40">
        <f t="shared" si="4"/>
        <v>0</v>
      </c>
      <c r="D40">
        <f t="shared" si="5"/>
        <v>0</v>
      </c>
      <c r="E40">
        <f t="shared" si="1"/>
        <v>0</v>
      </c>
      <c r="F40">
        <f t="shared" si="6"/>
        <v>0</v>
      </c>
      <c r="G40">
        <f t="shared" si="7"/>
        <v>0</v>
      </c>
      <c r="H40">
        <v>0</v>
      </c>
      <c r="I40">
        <v>174</v>
      </c>
      <c r="J40">
        <v>41</v>
      </c>
      <c r="K40">
        <v>19</v>
      </c>
      <c r="L40">
        <f t="shared" si="12"/>
        <v>6</v>
      </c>
      <c r="N40">
        <f t="shared" si="3"/>
        <v>0</v>
      </c>
      <c r="O40">
        <f t="shared" si="13"/>
        <v>6.3715789473684215</v>
      </c>
    </row>
    <row r="41" spans="1:15" hidden="1" x14ac:dyDescent="0.45">
      <c r="A41" t="s">
        <v>49</v>
      </c>
      <c r="B41">
        <v>311</v>
      </c>
      <c r="C41">
        <f t="shared" si="4"/>
        <v>0</v>
      </c>
      <c r="D41">
        <f t="shared" si="5"/>
        <v>0</v>
      </c>
      <c r="E41">
        <f t="shared" si="1"/>
        <v>0</v>
      </c>
      <c r="F41">
        <f>MIN(ROUNDUP(20*1.1,0),50)</f>
        <v>22</v>
      </c>
      <c r="G41">
        <f>MIN(ROUNDUP(24*1.1,0),30)</f>
        <v>27</v>
      </c>
      <c r="H41">
        <v>0</v>
      </c>
      <c r="I41">
        <v>50</v>
      </c>
      <c r="J41">
        <v>23</v>
      </c>
      <c r="K41">
        <v>16</v>
      </c>
      <c r="L41">
        <f t="shared" si="12"/>
        <v>5</v>
      </c>
      <c r="N41">
        <f t="shared" si="3"/>
        <v>0.55833333333333335</v>
      </c>
      <c r="O41">
        <f t="shared" si="13"/>
        <v>4.6046491228070181</v>
      </c>
    </row>
    <row r="42" spans="1:15" hidden="1" x14ac:dyDescent="0.45">
      <c r="A42" t="s">
        <v>50</v>
      </c>
      <c r="B42">
        <v>311</v>
      </c>
      <c r="C42">
        <f t="shared" si="4"/>
        <v>0</v>
      </c>
      <c r="D42">
        <f t="shared" si="5"/>
        <v>0</v>
      </c>
      <c r="E42">
        <f t="shared" si="1"/>
        <v>0</v>
      </c>
      <c r="F42">
        <f t="shared" si="6"/>
        <v>0</v>
      </c>
      <c r="G42">
        <f t="shared" si="7"/>
        <v>0</v>
      </c>
      <c r="H42">
        <v>0</v>
      </c>
      <c r="I42">
        <v>154</v>
      </c>
      <c r="J42">
        <v>39</v>
      </c>
      <c r="K42">
        <v>19</v>
      </c>
      <c r="L42">
        <f t="shared" si="12"/>
        <v>6</v>
      </c>
      <c r="N42">
        <f t="shared" si="3"/>
        <v>0</v>
      </c>
      <c r="O42">
        <f t="shared" si="13"/>
        <v>6.081052631578947</v>
      </c>
    </row>
    <row r="43" spans="1:15" hidden="1" x14ac:dyDescent="0.45">
      <c r="A43" t="s">
        <v>51</v>
      </c>
      <c r="B43">
        <v>311</v>
      </c>
      <c r="C43">
        <f t="shared" si="4"/>
        <v>0</v>
      </c>
      <c r="D43">
        <f t="shared" si="5"/>
        <v>0</v>
      </c>
      <c r="E43">
        <f t="shared" si="1"/>
        <v>0</v>
      </c>
      <c r="F43">
        <f t="shared" si="6"/>
        <v>0</v>
      </c>
      <c r="G43">
        <f t="shared" si="7"/>
        <v>0</v>
      </c>
      <c r="H43">
        <v>0</v>
      </c>
      <c r="I43">
        <v>70</v>
      </c>
      <c r="J43">
        <v>0</v>
      </c>
      <c r="K43">
        <v>5</v>
      </c>
      <c r="L43">
        <f t="shared" si="12"/>
        <v>2</v>
      </c>
      <c r="N43">
        <f t="shared" si="3"/>
        <v>0</v>
      </c>
      <c r="O43">
        <f t="shared" si="13"/>
        <v>2.236842105263158</v>
      </c>
    </row>
    <row r="44" spans="1:15" hidden="1" x14ac:dyDescent="0.45">
      <c r="A44" t="s">
        <v>52</v>
      </c>
      <c r="B44">
        <v>311</v>
      </c>
      <c r="C44">
        <f>MIN(ROUNDUP(30*1.1,0),40)</f>
        <v>33</v>
      </c>
      <c r="D44">
        <f t="shared" si="5"/>
        <v>0</v>
      </c>
      <c r="E44">
        <f t="shared" si="1"/>
        <v>0</v>
      </c>
      <c r="F44">
        <f>MIN(ROUNDUP(18*1.15,0),50)</f>
        <v>21</v>
      </c>
      <c r="G44">
        <f t="shared" si="7"/>
        <v>0</v>
      </c>
      <c r="H44">
        <v>0</v>
      </c>
      <c r="I44">
        <v>165</v>
      </c>
      <c r="J44">
        <v>30</v>
      </c>
      <c r="K44">
        <v>16</v>
      </c>
      <c r="L44">
        <f t="shared" si="12"/>
        <v>6</v>
      </c>
      <c r="N44">
        <f t="shared" si="3"/>
        <v>0.51874999999999993</v>
      </c>
      <c r="O44">
        <f t="shared" si="13"/>
        <v>6.0555921052631572</v>
      </c>
    </row>
    <row r="45" spans="1:15" hidden="1" x14ac:dyDescent="0.45">
      <c r="A45" t="s">
        <v>53</v>
      </c>
      <c r="B45">
        <v>311</v>
      </c>
      <c r="C45">
        <f>MIN(ROUNDUP(32*1.1,0),40)</f>
        <v>36</v>
      </c>
      <c r="D45">
        <f>MIN(ROUNDUP(45*1.1,0),50)</f>
        <v>50</v>
      </c>
      <c r="E45">
        <f>MIN(ROUNDUP(26*1.1,0),30)</f>
        <v>29</v>
      </c>
      <c r="F45">
        <f>MIN(ROUNDUP(30*1.15,0),50)</f>
        <v>35</v>
      </c>
      <c r="G45">
        <f t="shared" si="7"/>
        <v>0</v>
      </c>
      <c r="H45">
        <v>0</v>
      </c>
      <c r="I45">
        <v>170</v>
      </c>
      <c r="J45">
        <v>50</v>
      </c>
      <c r="K45">
        <v>47</v>
      </c>
      <c r="L45">
        <f t="shared" si="12"/>
        <v>10</v>
      </c>
      <c r="N45">
        <f t="shared" si="3"/>
        <v>1.4861111111111112</v>
      </c>
      <c r="O45">
        <f t="shared" si="13"/>
        <v>10</v>
      </c>
    </row>
    <row r="46" spans="1:15" x14ac:dyDescent="0.45">
      <c r="A46" t="s">
        <v>54</v>
      </c>
      <c r="B46">
        <v>321</v>
      </c>
      <c r="C46">
        <f>MIN(ROUNDUP(21*1.1,0),40)</f>
        <v>24</v>
      </c>
      <c r="D46">
        <f>MIN(ROUNDUP(30*1.1,0),50)</f>
        <v>33</v>
      </c>
      <c r="E46">
        <f t="shared" si="1"/>
        <v>0</v>
      </c>
      <c r="F46">
        <f t="shared" si="6"/>
        <v>0</v>
      </c>
      <c r="G46">
        <f t="shared" si="7"/>
        <v>0</v>
      </c>
      <c r="H46">
        <v>0</v>
      </c>
      <c r="I46">
        <v>171</v>
      </c>
      <c r="J46">
        <v>25</v>
      </c>
      <c r="K46">
        <v>27</v>
      </c>
      <c r="L46">
        <f>ROUND(MIN(MIN((C46/40+D46/50+E46/30+F46/50+G46/30+H46/60)/6*2.5+I46/190*2,3.5)+1+J46/50*2+K46/10,10),0)</f>
        <v>7</v>
      </c>
      <c r="N46">
        <f t="shared" si="3"/>
        <v>0.52500000000000002</v>
      </c>
      <c r="O46">
        <f>MIN(MIN((C46/40+D46/50+E46/30+F46/50+G46/30+H46/60)/6*2.5+I46/190*2,3.5)+1+J46/50*2+K46/10,10)</f>
        <v>7.0250000000000004</v>
      </c>
    </row>
    <row r="47" spans="1:15" x14ac:dyDescent="0.45">
      <c r="A47" t="s">
        <v>55</v>
      </c>
      <c r="B47">
        <v>321</v>
      </c>
      <c r="C47">
        <f>MIN(ROUNDUP(25*1.1,0),40)</f>
        <v>28</v>
      </c>
      <c r="D47">
        <f>MIN(ROUNDUP(0*1.15,0),50)</f>
        <v>0</v>
      </c>
      <c r="E47">
        <f>MIN(ROUNDUP(6*1.15,0),30)</f>
        <v>7</v>
      </c>
      <c r="F47">
        <f>MIN(ROUNDUP(10*1.15,0),50)</f>
        <v>12</v>
      </c>
      <c r="G47">
        <f>MIN(ROUNDUP(7*1.15,0),30)</f>
        <v>9</v>
      </c>
      <c r="H47">
        <v>0</v>
      </c>
      <c r="I47">
        <v>183</v>
      </c>
      <c r="J47">
        <v>46</v>
      </c>
      <c r="K47">
        <v>29</v>
      </c>
      <c r="L47">
        <f t="shared" ref="L47:L87" si="14">ROUND(MIN(MIN((C47/40+D47/50+E47/30+F47/50+G47/30+H47/60)/6*2.5+I47/190*2,3.5)+1+J47/50*2+K47/10,10),0)</f>
        <v>8</v>
      </c>
      <c r="N47">
        <f t="shared" si="3"/>
        <v>0.61388888888888893</v>
      </c>
      <c r="O47">
        <f t="shared" ref="O47:O87" si="15">MIN(MIN((C47/40+D47/50+E47/30+F47/50+G47/30+H47/60)/6*2.5+I47/190*2,3.5)+1+J47/50*2+K47/10,10)</f>
        <v>8.2802046783625727</v>
      </c>
    </row>
    <row r="48" spans="1:15" x14ac:dyDescent="0.45">
      <c r="A48" t="s">
        <v>56</v>
      </c>
      <c r="B48">
        <v>321</v>
      </c>
      <c r="C48">
        <f t="shared" si="4"/>
        <v>0</v>
      </c>
      <c r="D48">
        <f t="shared" si="5"/>
        <v>0</v>
      </c>
      <c r="E48">
        <f t="shared" si="1"/>
        <v>0</v>
      </c>
      <c r="F48">
        <f t="shared" si="6"/>
        <v>0</v>
      </c>
      <c r="G48">
        <f t="shared" si="7"/>
        <v>0</v>
      </c>
      <c r="H48">
        <v>0</v>
      </c>
      <c r="I48">
        <v>0</v>
      </c>
      <c r="J48">
        <v>0</v>
      </c>
      <c r="K48">
        <v>0</v>
      </c>
      <c r="L48">
        <f t="shared" si="14"/>
        <v>1</v>
      </c>
      <c r="N48">
        <f t="shared" si="3"/>
        <v>0</v>
      </c>
      <c r="O48">
        <f t="shared" si="15"/>
        <v>1</v>
      </c>
    </row>
    <row r="49" spans="1:15" x14ac:dyDescent="0.45">
      <c r="A49" t="s">
        <v>57</v>
      </c>
      <c r="B49">
        <v>321</v>
      </c>
      <c r="C49">
        <f t="shared" si="4"/>
        <v>0</v>
      </c>
      <c r="D49">
        <f t="shared" si="5"/>
        <v>0</v>
      </c>
      <c r="E49">
        <f t="shared" si="1"/>
        <v>0</v>
      </c>
      <c r="F49">
        <f t="shared" si="6"/>
        <v>0</v>
      </c>
      <c r="G49">
        <f t="shared" si="7"/>
        <v>0</v>
      </c>
      <c r="H49">
        <v>0</v>
      </c>
      <c r="I49">
        <v>167</v>
      </c>
      <c r="J49">
        <v>30</v>
      </c>
      <c r="K49">
        <v>28</v>
      </c>
      <c r="L49">
        <f t="shared" si="14"/>
        <v>7</v>
      </c>
      <c r="N49">
        <f t="shared" si="3"/>
        <v>0</v>
      </c>
      <c r="O49">
        <f t="shared" si="15"/>
        <v>6.757894736842105</v>
      </c>
    </row>
    <row r="50" spans="1:15" x14ac:dyDescent="0.45">
      <c r="A50" t="s">
        <v>58</v>
      </c>
      <c r="B50">
        <v>321</v>
      </c>
      <c r="C50">
        <f t="shared" si="4"/>
        <v>0</v>
      </c>
      <c r="D50">
        <f t="shared" si="5"/>
        <v>0</v>
      </c>
      <c r="E50">
        <f t="shared" si="1"/>
        <v>0</v>
      </c>
      <c r="F50">
        <f t="shared" si="6"/>
        <v>0</v>
      </c>
      <c r="G50">
        <f t="shared" si="7"/>
        <v>0</v>
      </c>
      <c r="H50">
        <v>0</v>
      </c>
      <c r="I50">
        <v>177</v>
      </c>
      <c r="J50">
        <v>46</v>
      </c>
      <c r="K50">
        <v>18</v>
      </c>
      <c r="L50">
        <f t="shared" si="14"/>
        <v>7</v>
      </c>
      <c r="N50">
        <f t="shared" si="3"/>
        <v>0</v>
      </c>
      <c r="O50">
        <f t="shared" si="15"/>
        <v>6.5031578947368418</v>
      </c>
    </row>
    <row r="51" spans="1:15" x14ac:dyDescent="0.45">
      <c r="A51" t="s">
        <v>59</v>
      </c>
      <c r="B51">
        <v>321</v>
      </c>
      <c r="C51">
        <f t="shared" si="4"/>
        <v>0</v>
      </c>
      <c r="D51">
        <f t="shared" si="5"/>
        <v>0</v>
      </c>
      <c r="E51">
        <f t="shared" si="1"/>
        <v>0</v>
      </c>
      <c r="F51">
        <f t="shared" si="6"/>
        <v>0</v>
      </c>
      <c r="G51">
        <f t="shared" si="7"/>
        <v>0</v>
      </c>
      <c r="H51">
        <v>0</v>
      </c>
      <c r="I51">
        <v>171</v>
      </c>
      <c r="J51">
        <v>0</v>
      </c>
      <c r="K51">
        <v>27</v>
      </c>
      <c r="L51">
        <f t="shared" si="14"/>
        <v>6</v>
      </c>
      <c r="N51">
        <f t="shared" si="3"/>
        <v>0</v>
      </c>
      <c r="O51">
        <f t="shared" si="15"/>
        <v>5.5</v>
      </c>
    </row>
    <row r="52" spans="1:15" x14ac:dyDescent="0.45">
      <c r="A52" t="s">
        <v>60</v>
      </c>
      <c r="B52">
        <v>321</v>
      </c>
      <c r="C52">
        <f t="shared" si="4"/>
        <v>0</v>
      </c>
      <c r="D52">
        <f>MIN(ROUNDUP(43*1.1,0),50)</f>
        <v>48</v>
      </c>
      <c r="E52">
        <f t="shared" si="1"/>
        <v>0</v>
      </c>
      <c r="F52">
        <f t="shared" si="6"/>
        <v>0</v>
      </c>
      <c r="G52">
        <f t="shared" si="7"/>
        <v>0</v>
      </c>
      <c r="H52">
        <v>0</v>
      </c>
      <c r="I52">
        <v>160</v>
      </c>
      <c r="J52">
        <v>47</v>
      </c>
      <c r="K52">
        <v>50</v>
      </c>
      <c r="L52">
        <f t="shared" si="14"/>
        <v>10</v>
      </c>
      <c r="N52">
        <f t="shared" si="3"/>
        <v>0.4</v>
      </c>
      <c r="O52">
        <f t="shared" si="15"/>
        <v>9.9642105263157887</v>
      </c>
    </row>
    <row r="53" spans="1:15" x14ac:dyDescent="0.45">
      <c r="A53" t="s">
        <v>61</v>
      </c>
      <c r="B53">
        <v>321</v>
      </c>
      <c r="C53">
        <f t="shared" si="4"/>
        <v>0</v>
      </c>
      <c r="D53">
        <f t="shared" si="5"/>
        <v>0</v>
      </c>
      <c r="E53">
        <f t="shared" si="1"/>
        <v>0</v>
      </c>
      <c r="F53">
        <f t="shared" si="6"/>
        <v>0</v>
      </c>
      <c r="G53">
        <f t="shared" si="7"/>
        <v>0</v>
      </c>
      <c r="H53">
        <v>0</v>
      </c>
      <c r="I53">
        <v>176</v>
      </c>
      <c r="J53">
        <v>28</v>
      </c>
      <c r="K53">
        <v>16</v>
      </c>
      <c r="L53">
        <f t="shared" si="14"/>
        <v>6</v>
      </c>
      <c r="N53">
        <f t="shared" si="3"/>
        <v>0</v>
      </c>
      <c r="O53">
        <f t="shared" si="15"/>
        <v>5.5726315789473686</v>
      </c>
    </row>
    <row r="54" spans="1:15" x14ac:dyDescent="0.45">
      <c r="A54" t="s">
        <v>62</v>
      </c>
      <c r="B54">
        <v>321</v>
      </c>
      <c r="C54">
        <f t="shared" si="4"/>
        <v>0</v>
      </c>
      <c r="D54">
        <f t="shared" si="5"/>
        <v>0</v>
      </c>
      <c r="E54">
        <f t="shared" si="1"/>
        <v>0</v>
      </c>
      <c r="F54">
        <f t="shared" si="6"/>
        <v>0</v>
      </c>
      <c r="G54">
        <f t="shared" si="7"/>
        <v>0</v>
      </c>
      <c r="H54">
        <v>0</v>
      </c>
      <c r="I54">
        <v>37</v>
      </c>
      <c r="J54">
        <v>0</v>
      </c>
      <c r="K54">
        <v>19</v>
      </c>
      <c r="L54">
        <f t="shared" si="14"/>
        <v>3</v>
      </c>
      <c r="N54">
        <f t="shared" si="3"/>
        <v>0</v>
      </c>
      <c r="O54">
        <f t="shared" si="15"/>
        <v>3.2894736842105261</v>
      </c>
    </row>
    <row r="55" spans="1:15" x14ac:dyDescent="0.45">
      <c r="A55" t="s">
        <v>63</v>
      </c>
      <c r="B55">
        <v>321</v>
      </c>
      <c r="C55">
        <f>MIN(ROUNDUP(4*1.15,0),40)</f>
        <v>5</v>
      </c>
      <c r="D55">
        <f t="shared" si="5"/>
        <v>0</v>
      </c>
      <c r="E55">
        <f t="shared" si="1"/>
        <v>0</v>
      </c>
      <c r="F55">
        <f>MIN(ROUNDUP(7*1.15,0),50)</f>
        <v>9</v>
      </c>
      <c r="G55">
        <f t="shared" si="7"/>
        <v>0</v>
      </c>
      <c r="H55">
        <v>0</v>
      </c>
      <c r="I55">
        <v>169</v>
      </c>
      <c r="J55">
        <v>44</v>
      </c>
      <c r="K55">
        <v>14</v>
      </c>
      <c r="L55">
        <f t="shared" si="14"/>
        <v>6</v>
      </c>
      <c r="N55">
        <f t="shared" si="3"/>
        <v>0.12708333333333333</v>
      </c>
      <c r="O55">
        <f t="shared" si="15"/>
        <v>6.0660307017543857</v>
      </c>
    </row>
    <row r="56" spans="1:15" x14ac:dyDescent="0.45">
      <c r="A56" t="s">
        <v>64</v>
      </c>
      <c r="B56">
        <v>321</v>
      </c>
      <c r="C56">
        <f>MIN(ROUNDUP(35*1.1,0),40)</f>
        <v>39</v>
      </c>
      <c r="D56">
        <f>MIN(ROUNDUP(29*1.1,0),50)</f>
        <v>32</v>
      </c>
      <c r="E56">
        <f>MIN(ROUNDUP(18*1.1,0),30)</f>
        <v>20</v>
      </c>
      <c r="F56">
        <f>MIN(ROUNDUP(43*1.1,0),50)</f>
        <v>48</v>
      </c>
      <c r="G56">
        <f>MIN(ROUNDUP(47*1.1,0),30)</f>
        <v>30</v>
      </c>
      <c r="H56">
        <v>0</v>
      </c>
      <c r="I56">
        <v>183</v>
      </c>
      <c r="J56">
        <v>50</v>
      </c>
      <c r="K56">
        <v>28</v>
      </c>
      <c r="L56">
        <f t="shared" si="14"/>
        <v>9</v>
      </c>
      <c r="N56">
        <f t="shared" si="3"/>
        <v>1.7673611111111112</v>
      </c>
      <c r="O56">
        <f t="shared" si="15"/>
        <v>9.3000000000000007</v>
      </c>
    </row>
    <row r="57" spans="1:15" x14ac:dyDescent="0.45">
      <c r="A57" t="s">
        <v>65</v>
      </c>
      <c r="B57">
        <v>321</v>
      </c>
      <c r="C57">
        <f t="shared" si="4"/>
        <v>0</v>
      </c>
      <c r="D57">
        <f t="shared" si="5"/>
        <v>0</v>
      </c>
      <c r="E57">
        <f t="shared" si="1"/>
        <v>0</v>
      </c>
      <c r="F57">
        <f t="shared" si="6"/>
        <v>0</v>
      </c>
      <c r="G57">
        <f t="shared" si="7"/>
        <v>0</v>
      </c>
      <c r="H57">
        <v>0</v>
      </c>
      <c r="I57">
        <v>0</v>
      </c>
      <c r="J57">
        <v>0</v>
      </c>
      <c r="K57">
        <v>0</v>
      </c>
      <c r="L57">
        <f t="shared" si="14"/>
        <v>1</v>
      </c>
      <c r="N57">
        <f t="shared" si="3"/>
        <v>0</v>
      </c>
      <c r="O57">
        <f t="shared" si="15"/>
        <v>1</v>
      </c>
    </row>
    <row r="58" spans="1:15" x14ac:dyDescent="0.45">
      <c r="A58" t="s">
        <v>66</v>
      </c>
      <c r="B58">
        <v>321</v>
      </c>
      <c r="C58">
        <f t="shared" ref="C58:C80" si="16">MIN(ROUNDUP(0*1.15,0),40)</f>
        <v>0</v>
      </c>
      <c r="D58">
        <f t="shared" ref="D58:D89" si="17">MIN(ROUNDUP(0*1.15,0),50)</f>
        <v>0</v>
      </c>
      <c r="E58">
        <f t="shared" ref="E58:E89" si="18">MIN(ROUNDUP(0*1.15,0),30)</f>
        <v>0</v>
      </c>
      <c r="F58">
        <f t="shared" ref="F58:F60" si="19">MIN(ROUNDUP(0*1.15,0),50)</f>
        <v>0</v>
      </c>
      <c r="G58">
        <f t="shared" ref="G58:G60" si="20">MIN(ROUNDUP(0*1.15,0),30)</f>
        <v>0</v>
      </c>
      <c r="H58">
        <v>0</v>
      </c>
      <c r="I58">
        <v>174</v>
      </c>
      <c r="J58">
        <v>25</v>
      </c>
      <c r="K58">
        <v>7</v>
      </c>
      <c r="L58">
        <f t="shared" si="14"/>
        <v>5</v>
      </c>
      <c r="N58">
        <f t="shared" ref="N58:N87" si="21">(C58/40+D58/50+E58/30+F58/50+G58/30+H58/60)/6*2.5</f>
        <v>0</v>
      </c>
      <c r="O58">
        <f t="shared" si="15"/>
        <v>4.5315789473684207</v>
      </c>
    </row>
    <row r="59" spans="1:15" x14ac:dyDescent="0.45">
      <c r="A59" t="s">
        <v>67</v>
      </c>
      <c r="B59">
        <v>321</v>
      </c>
      <c r="C59">
        <f t="shared" si="16"/>
        <v>0</v>
      </c>
      <c r="D59">
        <f t="shared" si="17"/>
        <v>0</v>
      </c>
      <c r="E59">
        <f>MIN(ROUNDUP(18*1.15,0),30)</f>
        <v>21</v>
      </c>
      <c r="F59">
        <f t="shared" si="19"/>
        <v>0</v>
      </c>
      <c r="G59">
        <f t="shared" si="20"/>
        <v>0</v>
      </c>
      <c r="H59">
        <v>0</v>
      </c>
      <c r="I59">
        <v>123</v>
      </c>
      <c r="J59">
        <v>48</v>
      </c>
      <c r="K59">
        <v>30</v>
      </c>
      <c r="L59">
        <f t="shared" si="14"/>
        <v>8</v>
      </c>
      <c r="N59">
        <f t="shared" si="21"/>
        <v>0.29166666666666663</v>
      </c>
      <c r="O59">
        <f t="shared" si="15"/>
        <v>7.5064035087719301</v>
      </c>
    </row>
    <row r="60" spans="1:15" x14ac:dyDescent="0.45">
      <c r="A60" t="s">
        <v>68</v>
      </c>
      <c r="B60">
        <v>321</v>
      </c>
      <c r="C60">
        <f>MIN(ROUNDUP(10*1.1,0),40)</f>
        <v>11</v>
      </c>
      <c r="D60">
        <f t="shared" si="17"/>
        <v>0</v>
      </c>
      <c r="E60">
        <f t="shared" si="18"/>
        <v>0</v>
      </c>
      <c r="F60">
        <f t="shared" si="19"/>
        <v>0</v>
      </c>
      <c r="G60">
        <f t="shared" si="20"/>
        <v>0</v>
      </c>
      <c r="H60">
        <v>0</v>
      </c>
      <c r="I60">
        <v>168</v>
      </c>
      <c r="J60">
        <v>29</v>
      </c>
      <c r="K60">
        <v>20</v>
      </c>
      <c r="L60">
        <f t="shared" si="14"/>
        <v>6</v>
      </c>
      <c r="N60">
        <f t="shared" si="21"/>
        <v>0.11458333333333334</v>
      </c>
      <c r="O60">
        <f t="shared" si="15"/>
        <v>6.0430043859649123</v>
      </c>
    </row>
    <row r="61" spans="1:15" x14ac:dyDescent="0.45">
      <c r="A61" t="s">
        <v>69</v>
      </c>
      <c r="B61">
        <v>321</v>
      </c>
      <c r="C61">
        <f>MIN(ROUNDUP(31*1.1,0),40)</f>
        <v>35</v>
      </c>
      <c r="D61">
        <f>MIN(ROUNDUP(30*1.15,0),50)</f>
        <v>35</v>
      </c>
      <c r="E61">
        <f>MIN(ROUNDUP(25*1.1,0),30)</f>
        <v>28</v>
      </c>
      <c r="F61">
        <f>MIN(ROUNDUP(32*1.1,0),50)</f>
        <v>36</v>
      </c>
      <c r="G61">
        <f>MIN(ROUNDUP(28*1.1,0),30)</f>
        <v>30</v>
      </c>
      <c r="H61">
        <v>0</v>
      </c>
      <c r="I61">
        <v>157</v>
      </c>
      <c r="J61">
        <v>45</v>
      </c>
      <c r="K61">
        <v>22</v>
      </c>
      <c r="L61">
        <f t="shared" si="14"/>
        <v>8</v>
      </c>
      <c r="N61">
        <f t="shared" si="21"/>
        <v>1.7618055555555556</v>
      </c>
      <c r="O61">
        <f t="shared" si="15"/>
        <v>8.4144371345029239</v>
      </c>
    </row>
    <row r="62" spans="1:15" x14ac:dyDescent="0.45">
      <c r="A62" t="s">
        <v>70</v>
      </c>
      <c r="B62">
        <v>321</v>
      </c>
      <c r="C62">
        <f>MIN(ROUNDUP(35*1.1,0),40)</f>
        <v>39</v>
      </c>
      <c r="D62">
        <f>MIN(ROUNDUP(39*1.1,0),50)</f>
        <v>43</v>
      </c>
      <c r="E62">
        <f>MIN(ROUNDUP(25*1.1,0),30)</f>
        <v>28</v>
      </c>
      <c r="F62">
        <f>MIN(ROUNDUP(41*1.1,0),50)</f>
        <v>46</v>
      </c>
      <c r="G62">
        <f>MIN(ROUNDUP(28*1.1,0),30)</f>
        <v>30</v>
      </c>
      <c r="H62">
        <v>0</v>
      </c>
      <c r="I62">
        <v>177</v>
      </c>
      <c r="J62">
        <v>49</v>
      </c>
      <c r="K62">
        <v>40</v>
      </c>
      <c r="L62">
        <f t="shared" si="14"/>
        <v>10</v>
      </c>
      <c r="N62">
        <f t="shared" si="21"/>
        <v>1.9534722222222223</v>
      </c>
      <c r="O62">
        <f t="shared" si="15"/>
        <v>10</v>
      </c>
    </row>
    <row r="63" spans="1:15" x14ac:dyDescent="0.45">
      <c r="A63" t="s">
        <v>96</v>
      </c>
      <c r="B63">
        <v>321</v>
      </c>
      <c r="C63">
        <f t="shared" ref="C63:C73" si="22">MIN(ROUNDUP(0*1.1,0),40)</f>
        <v>0</v>
      </c>
      <c r="D63">
        <f t="shared" ref="D63:D80" si="23">MIN(ROUNDUP(0*1.1,0),50)</f>
        <v>0</v>
      </c>
      <c r="E63">
        <f t="shared" ref="E63:E80" si="24">MIN(ROUNDUP(0*1.1,0),30)</f>
        <v>0</v>
      </c>
      <c r="F63">
        <f t="shared" ref="F63:F89" si="25">MIN(ROUNDUP(0*1.1,0),50)</f>
        <v>0</v>
      </c>
      <c r="G63">
        <f t="shared" ref="G63:G89" si="26">MIN(ROUNDUP(0*1.1,0),30)</f>
        <v>0</v>
      </c>
      <c r="H63">
        <v>0</v>
      </c>
      <c r="I63">
        <v>179</v>
      </c>
      <c r="J63">
        <v>46</v>
      </c>
      <c r="K63">
        <v>31</v>
      </c>
      <c r="L63">
        <f t="shared" si="14"/>
        <v>8</v>
      </c>
      <c r="N63">
        <f t="shared" si="21"/>
        <v>0</v>
      </c>
      <c r="O63">
        <f t="shared" si="15"/>
        <v>7.8242105263157899</v>
      </c>
    </row>
    <row r="64" spans="1:15" x14ac:dyDescent="0.45">
      <c r="A64" t="s">
        <v>71</v>
      </c>
      <c r="B64">
        <v>321</v>
      </c>
      <c r="C64">
        <f t="shared" si="22"/>
        <v>0</v>
      </c>
      <c r="D64">
        <f t="shared" si="23"/>
        <v>0</v>
      </c>
      <c r="E64">
        <f t="shared" si="24"/>
        <v>0</v>
      </c>
      <c r="F64">
        <f t="shared" si="25"/>
        <v>0</v>
      </c>
      <c r="G64">
        <f t="shared" si="26"/>
        <v>0</v>
      </c>
      <c r="H64">
        <v>0</v>
      </c>
      <c r="I64">
        <v>167</v>
      </c>
      <c r="J64">
        <v>37</v>
      </c>
      <c r="K64">
        <v>5</v>
      </c>
      <c r="L64">
        <f t="shared" si="14"/>
        <v>5</v>
      </c>
      <c r="N64">
        <f t="shared" si="21"/>
        <v>0</v>
      </c>
      <c r="O64">
        <f t="shared" si="15"/>
        <v>4.7378947368421045</v>
      </c>
    </row>
    <row r="65" spans="1:15" x14ac:dyDescent="0.45">
      <c r="A65" t="s">
        <v>72</v>
      </c>
      <c r="B65">
        <v>321</v>
      </c>
      <c r="C65">
        <f t="shared" si="22"/>
        <v>0</v>
      </c>
      <c r="D65">
        <f t="shared" si="23"/>
        <v>0</v>
      </c>
      <c r="E65">
        <f t="shared" si="24"/>
        <v>0</v>
      </c>
      <c r="F65">
        <f t="shared" si="25"/>
        <v>0</v>
      </c>
      <c r="G65">
        <f t="shared" si="26"/>
        <v>0</v>
      </c>
      <c r="H65">
        <v>0</v>
      </c>
      <c r="I65">
        <v>161</v>
      </c>
      <c r="J65">
        <v>36</v>
      </c>
      <c r="K65">
        <v>21</v>
      </c>
      <c r="L65">
        <f t="shared" si="14"/>
        <v>6</v>
      </c>
      <c r="N65">
        <f t="shared" si="21"/>
        <v>0</v>
      </c>
      <c r="O65">
        <f t="shared" si="15"/>
        <v>6.2347368421052636</v>
      </c>
    </row>
    <row r="66" spans="1:15" x14ac:dyDescent="0.45">
      <c r="A66" t="s">
        <v>73</v>
      </c>
      <c r="B66">
        <v>321</v>
      </c>
      <c r="C66">
        <f t="shared" si="22"/>
        <v>0</v>
      </c>
      <c r="D66">
        <f t="shared" si="23"/>
        <v>0</v>
      </c>
      <c r="E66">
        <f t="shared" si="24"/>
        <v>0</v>
      </c>
      <c r="F66">
        <f t="shared" si="25"/>
        <v>0</v>
      </c>
      <c r="G66">
        <f t="shared" si="26"/>
        <v>0</v>
      </c>
      <c r="H66">
        <v>0</v>
      </c>
      <c r="I66">
        <v>0</v>
      </c>
      <c r="J66">
        <v>0</v>
      </c>
      <c r="K66">
        <v>0</v>
      </c>
      <c r="L66">
        <f t="shared" si="14"/>
        <v>1</v>
      </c>
      <c r="N66">
        <f t="shared" si="21"/>
        <v>0</v>
      </c>
      <c r="O66">
        <f t="shared" si="15"/>
        <v>1</v>
      </c>
    </row>
    <row r="67" spans="1:15" x14ac:dyDescent="0.45">
      <c r="A67" t="s">
        <v>74</v>
      </c>
      <c r="B67">
        <v>321</v>
      </c>
      <c r="C67">
        <f t="shared" si="22"/>
        <v>0</v>
      </c>
      <c r="D67">
        <f t="shared" si="23"/>
        <v>0</v>
      </c>
      <c r="E67">
        <f t="shared" si="24"/>
        <v>0</v>
      </c>
      <c r="F67">
        <f t="shared" si="25"/>
        <v>0</v>
      </c>
      <c r="G67">
        <f t="shared" si="26"/>
        <v>0</v>
      </c>
      <c r="H67">
        <v>0</v>
      </c>
      <c r="I67">
        <v>171</v>
      </c>
      <c r="J67">
        <v>24</v>
      </c>
      <c r="K67">
        <v>35</v>
      </c>
      <c r="L67">
        <f t="shared" si="14"/>
        <v>7</v>
      </c>
      <c r="N67">
        <f t="shared" si="21"/>
        <v>0</v>
      </c>
      <c r="O67">
        <f t="shared" si="15"/>
        <v>7.26</v>
      </c>
    </row>
    <row r="68" spans="1:15" x14ac:dyDescent="0.45">
      <c r="A68" t="s">
        <v>75</v>
      </c>
      <c r="B68">
        <v>321</v>
      </c>
      <c r="C68">
        <f>MIN(ROUNDUP(20*1.1,0),40)</f>
        <v>22</v>
      </c>
      <c r="D68">
        <f>MIN(ROUNDUP(23*1.1,0),50)</f>
        <v>26</v>
      </c>
      <c r="E68">
        <f t="shared" si="24"/>
        <v>0</v>
      </c>
      <c r="F68">
        <f>MIN(ROUNDUP(5*1.1,0),50)</f>
        <v>6</v>
      </c>
      <c r="G68">
        <f>MIN(ROUNDUP(20*1.1,0),30)</f>
        <v>22</v>
      </c>
      <c r="H68">
        <v>0</v>
      </c>
      <c r="I68">
        <v>115</v>
      </c>
      <c r="J68">
        <v>50</v>
      </c>
      <c r="K68">
        <v>25</v>
      </c>
      <c r="L68">
        <f t="shared" si="14"/>
        <v>8</v>
      </c>
      <c r="N68">
        <f t="shared" si="21"/>
        <v>0.80138888888888882</v>
      </c>
      <c r="O68">
        <f t="shared" si="15"/>
        <v>7.5119152046783624</v>
      </c>
    </row>
    <row r="69" spans="1:15" x14ac:dyDescent="0.45">
      <c r="A69" t="s">
        <v>76</v>
      </c>
      <c r="B69">
        <v>321</v>
      </c>
      <c r="C69">
        <f t="shared" si="22"/>
        <v>0</v>
      </c>
      <c r="D69">
        <f t="shared" si="23"/>
        <v>0</v>
      </c>
      <c r="E69">
        <f t="shared" si="24"/>
        <v>0</v>
      </c>
      <c r="F69">
        <f t="shared" si="25"/>
        <v>0</v>
      </c>
      <c r="G69">
        <f t="shared" si="26"/>
        <v>0</v>
      </c>
      <c r="H69">
        <v>0</v>
      </c>
      <c r="I69">
        <v>159</v>
      </c>
      <c r="J69">
        <v>28</v>
      </c>
      <c r="K69">
        <v>24</v>
      </c>
      <c r="L69">
        <f t="shared" si="14"/>
        <v>6</v>
      </c>
      <c r="N69">
        <f t="shared" si="21"/>
        <v>0</v>
      </c>
      <c r="O69">
        <f t="shared" si="15"/>
        <v>6.1936842105263157</v>
      </c>
    </row>
    <row r="70" spans="1:15" x14ac:dyDescent="0.45">
      <c r="A70" t="s">
        <v>77</v>
      </c>
      <c r="B70">
        <v>321</v>
      </c>
      <c r="C70">
        <f t="shared" si="22"/>
        <v>0</v>
      </c>
      <c r="D70">
        <f t="shared" si="23"/>
        <v>0</v>
      </c>
      <c r="E70">
        <f>MIN(ROUNDUP(12*1.1,0),30)</f>
        <v>14</v>
      </c>
      <c r="F70">
        <f t="shared" si="25"/>
        <v>0</v>
      </c>
      <c r="G70">
        <f t="shared" si="26"/>
        <v>0</v>
      </c>
      <c r="H70">
        <v>0</v>
      </c>
      <c r="I70">
        <v>165</v>
      </c>
      <c r="J70">
        <v>38</v>
      </c>
      <c r="K70">
        <v>33</v>
      </c>
      <c r="L70">
        <f t="shared" si="14"/>
        <v>8</v>
      </c>
      <c r="N70">
        <f t="shared" si="21"/>
        <v>0.19444444444444445</v>
      </c>
      <c r="O70">
        <f t="shared" si="15"/>
        <v>7.7512865497076016</v>
      </c>
    </row>
    <row r="71" spans="1:15" x14ac:dyDescent="0.45">
      <c r="A71" t="s">
        <v>78</v>
      </c>
      <c r="B71">
        <v>321</v>
      </c>
      <c r="C71">
        <f t="shared" si="22"/>
        <v>0</v>
      </c>
      <c r="D71">
        <f t="shared" si="23"/>
        <v>0</v>
      </c>
      <c r="E71">
        <f t="shared" si="24"/>
        <v>0</v>
      </c>
      <c r="F71">
        <f t="shared" si="25"/>
        <v>0</v>
      </c>
      <c r="G71">
        <f t="shared" si="26"/>
        <v>0</v>
      </c>
      <c r="H71">
        <v>0</v>
      </c>
      <c r="I71">
        <v>170</v>
      </c>
      <c r="J71">
        <v>15</v>
      </c>
      <c r="K71">
        <v>29</v>
      </c>
      <c r="L71">
        <f t="shared" si="14"/>
        <v>6</v>
      </c>
      <c r="N71">
        <f t="shared" si="21"/>
        <v>0</v>
      </c>
      <c r="O71">
        <f t="shared" si="15"/>
        <v>6.2894736842105265</v>
      </c>
    </row>
    <row r="72" spans="1:15" x14ac:dyDescent="0.45">
      <c r="A72" t="s">
        <v>79</v>
      </c>
      <c r="B72">
        <v>321</v>
      </c>
      <c r="C72">
        <f t="shared" si="22"/>
        <v>0</v>
      </c>
      <c r="D72">
        <f t="shared" si="23"/>
        <v>0</v>
      </c>
      <c r="E72">
        <f t="shared" si="24"/>
        <v>0</v>
      </c>
      <c r="F72">
        <f t="shared" si="25"/>
        <v>0</v>
      </c>
      <c r="G72">
        <f t="shared" si="26"/>
        <v>0</v>
      </c>
      <c r="H72">
        <v>0</v>
      </c>
      <c r="I72">
        <v>172</v>
      </c>
      <c r="J72">
        <v>19</v>
      </c>
      <c r="K72">
        <v>30</v>
      </c>
      <c r="L72">
        <f t="shared" si="14"/>
        <v>7</v>
      </c>
      <c r="N72">
        <f t="shared" si="21"/>
        <v>0</v>
      </c>
      <c r="O72">
        <f t="shared" si="15"/>
        <v>6.5705263157894738</v>
      </c>
    </row>
    <row r="73" spans="1:15" x14ac:dyDescent="0.45">
      <c r="A73" t="s">
        <v>97</v>
      </c>
      <c r="B73">
        <v>321</v>
      </c>
      <c r="C73">
        <f t="shared" si="22"/>
        <v>0</v>
      </c>
      <c r="D73">
        <f t="shared" si="23"/>
        <v>0</v>
      </c>
      <c r="E73">
        <f t="shared" si="24"/>
        <v>0</v>
      </c>
      <c r="F73">
        <f t="shared" si="25"/>
        <v>0</v>
      </c>
      <c r="G73">
        <f t="shared" si="26"/>
        <v>0</v>
      </c>
      <c r="H73">
        <v>0</v>
      </c>
      <c r="I73">
        <v>162</v>
      </c>
      <c r="J73">
        <v>0</v>
      </c>
      <c r="K73">
        <v>23</v>
      </c>
      <c r="L73">
        <f t="shared" si="14"/>
        <v>5</v>
      </c>
      <c r="N73">
        <f t="shared" si="21"/>
        <v>0</v>
      </c>
      <c r="O73">
        <f t="shared" si="15"/>
        <v>5.0052631578947366</v>
      </c>
    </row>
    <row r="74" spans="1:15" x14ac:dyDescent="0.45">
      <c r="A74" t="s">
        <v>80</v>
      </c>
      <c r="B74">
        <v>321</v>
      </c>
      <c r="C74">
        <f>MIN(ROUNDUP(20*1.15,0),40)</f>
        <v>23</v>
      </c>
      <c r="D74">
        <f t="shared" si="23"/>
        <v>0</v>
      </c>
      <c r="E74">
        <f t="shared" si="24"/>
        <v>0</v>
      </c>
      <c r="F74">
        <f>MIN(ROUNDUP(17*1.1,0),50)</f>
        <v>19</v>
      </c>
      <c r="G74">
        <f t="shared" si="26"/>
        <v>0</v>
      </c>
      <c r="H74">
        <v>0</v>
      </c>
      <c r="I74">
        <v>174</v>
      </c>
      <c r="J74">
        <v>47</v>
      </c>
      <c r="K74">
        <v>34</v>
      </c>
      <c r="L74">
        <f t="shared" si="14"/>
        <v>9</v>
      </c>
      <c r="N74">
        <f t="shared" si="21"/>
        <v>0.39791666666666664</v>
      </c>
      <c r="O74">
        <f t="shared" si="15"/>
        <v>8.509495614035087</v>
      </c>
    </row>
    <row r="75" spans="1:15" x14ac:dyDescent="0.45">
      <c r="A75" t="s">
        <v>81</v>
      </c>
      <c r="B75">
        <v>321</v>
      </c>
      <c r="C75">
        <f t="shared" si="16"/>
        <v>0</v>
      </c>
      <c r="D75">
        <f t="shared" si="23"/>
        <v>0</v>
      </c>
      <c r="E75">
        <f t="shared" si="24"/>
        <v>0</v>
      </c>
      <c r="F75">
        <f t="shared" si="25"/>
        <v>0</v>
      </c>
      <c r="G75">
        <f t="shared" si="26"/>
        <v>0</v>
      </c>
      <c r="H75">
        <v>0</v>
      </c>
      <c r="I75">
        <v>175</v>
      </c>
      <c r="J75">
        <v>30</v>
      </c>
      <c r="K75">
        <v>18</v>
      </c>
      <c r="L75">
        <f t="shared" si="14"/>
        <v>6</v>
      </c>
      <c r="N75">
        <f t="shared" si="21"/>
        <v>0</v>
      </c>
      <c r="O75">
        <f t="shared" si="15"/>
        <v>5.8421052631578947</v>
      </c>
    </row>
    <row r="76" spans="1:15" x14ac:dyDescent="0.45">
      <c r="A76" t="s">
        <v>82</v>
      </c>
      <c r="B76">
        <v>321</v>
      </c>
      <c r="C76">
        <f t="shared" si="16"/>
        <v>0</v>
      </c>
      <c r="D76">
        <f t="shared" si="23"/>
        <v>0</v>
      </c>
      <c r="E76">
        <f t="shared" si="24"/>
        <v>0</v>
      </c>
      <c r="F76">
        <f t="shared" si="25"/>
        <v>0</v>
      </c>
      <c r="G76">
        <f t="shared" si="26"/>
        <v>0</v>
      </c>
      <c r="H76">
        <v>0</v>
      </c>
      <c r="I76">
        <v>136</v>
      </c>
      <c r="J76">
        <v>37</v>
      </c>
      <c r="K76">
        <v>32</v>
      </c>
      <c r="L76">
        <f t="shared" si="14"/>
        <v>7</v>
      </c>
      <c r="N76">
        <f t="shared" si="21"/>
        <v>0</v>
      </c>
      <c r="O76">
        <f t="shared" si="15"/>
        <v>7.1115789473684217</v>
      </c>
    </row>
    <row r="77" spans="1:15" x14ac:dyDescent="0.45">
      <c r="A77" s="2" t="s">
        <v>84</v>
      </c>
      <c r="B77">
        <v>321</v>
      </c>
      <c r="C77">
        <f t="shared" si="16"/>
        <v>0</v>
      </c>
      <c r="D77">
        <f t="shared" si="23"/>
        <v>0</v>
      </c>
      <c r="E77">
        <f t="shared" si="24"/>
        <v>0</v>
      </c>
      <c r="F77">
        <f t="shared" si="25"/>
        <v>0</v>
      </c>
      <c r="G77">
        <f t="shared" si="26"/>
        <v>0</v>
      </c>
      <c r="H77">
        <v>0</v>
      </c>
      <c r="I77">
        <v>176</v>
      </c>
      <c r="J77">
        <v>19</v>
      </c>
      <c r="K77">
        <v>29</v>
      </c>
      <c r="L77">
        <f t="shared" si="14"/>
        <v>7</v>
      </c>
      <c r="N77">
        <f t="shared" si="21"/>
        <v>0</v>
      </c>
      <c r="O77">
        <f t="shared" si="15"/>
        <v>6.512631578947369</v>
      </c>
    </row>
    <row r="78" spans="1:15" x14ac:dyDescent="0.45">
      <c r="A78" s="2" t="s">
        <v>85</v>
      </c>
      <c r="B78">
        <v>321</v>
      </c>
      <c r="C78">
        <f t="shared" si="16"/>
        <v>0</v>
      </c>
      <c r="D78">
        <f t="shared" si="23"/>
        <v>0</v>
      </c>
      <c r="E78">
        <f t="shared" si="24"/>
        <v>0</v>
      </c>
      <c r="F78">
        <f t="shared" si="25"/>
        <v>0</v>
      </c>
      <c r="G78">
        <f t="shared" si="26"/>
        <v>0</v>
      </c>
      <c r="H78">
        <v>0</v>
      </c>
      <c r="I78">
        <v>173</v>
      </c>
      <c r="J78">
        <v>47</v>
      </c>
      <c r="K78">
        <v>20</v>
      </c>
      <c r="L78">
        <f t="shared" si="14"/>
        <v>7</v>
      </c>
      <c r="N78">
        <f t="shared" si="21"/>
        <v>0</v>
      </c>
      <c r="O78">
        <f t="shared" si="15"/>
        <v>6.7010526315789471</v>
      </c>
    </row>
    <row r="79" spans="1:15" x14ac:dyDescent="0.45">
      <c r="A79" s="2" t="s">
        <v>86</v>
      </c>
      <c r="B79">
        <v>321</v>
      </c>
      <c r="C79">
        <f t="shared" si="16"/>
        <v>0</v>
      </c>
      <c r="D79">
        <f t="shared" si="23"/>
        <v>0</v>
      </c>
      <c r="E79">
        <f t="shared" si="24"/>
        <v>0</v>
      </c>
      <c r="F79">
        <f t="shared" si="25"/>
        <v>0</v>
      </c>
      <c r="G79">
        <f t="shared" si="26"/>
        <v>0</v>
      </c>
      <c r="H79">
        <v>0</v>
      </c>
      <c r="I79">
        <v>170</v>
      </c>
      <c r="J79">
        <v>46</v>
      </c>
      <c r="K79">
        <v>23</v>
      </c>
      <c r="L79">
        <f t="shared" si="14"/>
        <v>7</v>
      </c>
      <c r="N79">
        <f t="shared" si="21"/>
        <v>0</v>
      </c>
      <c r="O79">
        <f t="shared" si="15"/>
        <v>6.9294736842105262</v>
      </c>
    </row>
    <row r="80" spans="1:15" x14ac:dyDescent="0.45">
      <c r="A80" s="2" t="s">
        <v>87</v>
      </c>
      <c r="B80">
        <v>321</v>
      </c>
      <c r="C80">
        <f t="shared" si="16"/>
        <v>0</v>
      </c>
      <c r="D80">
        <f t="shared" si="23"/>
        <v>0</v>
      </c>
      <c r="E80">
        <f t="shared" si="24"/>
        <v>0</v>
      </c>
      <c r="F80">
        <f t="shared" si="25"/>
        <v>0</v>
      </c>
      <c r="G80">
        <f t="shared" si="26"/>
        <v>0</v>
      </c>
      <c r="H80">
        <v>0</v>
      </c>
      <c r="I80">
        <v>172</v>
      </c>
      <c r="J80">
        <v>37</v>
      </c>
      <c r="K80">
        <v>15</v>
      </c>
      <c r="L80">
        <f t="shared" si="14"/>
        <v>6</v>
      </c>
      <c r="N80">
        <f t="shared" si="21"/>
        <v>0</v>
      </c>
      <c r="O80">
        <f t="shared" si="15"/>
        <v>5.7905263157894744</v>
      </c>
    </row>
    <row r="81" spans="1:15" x14ac:dyDescent="0.45">
      <c r="A81" t="s">
        <v>83</v>
      </c>
      <c r="B81">
        <v>321</v>
      </c>
      <c r="C81">
        <f>MIN(ROUNDUP(30*1.15,0),40)</f>
        <v>35</v>
      </c>
      <c r="D81">
        <f>MIN(ROUNDUP(27*1.15,0),50)</f>
        <v>32</v>
      </c>
      <c r="E81">
        <f>MIN(ROUNDUP(23*1.15,0),30)</f>
        <v>27</v>
      </c>
      <c r="F81">
        <f>MIN(ROUNDUP(39*1.1,0),50)</f>
        <v>43</v>
      </c>
      <c r="G81">
        <f>MIN(ROUNDUP(25*1.1,0),30)</f>
        <v>28</v>
      </c>
      <c r="H81">
        <v>0</v>
      </c>
      <c r="I81">
        <v>180</v>
      </c>
      <c r="J81">
        <v>43</v>
      </c>
      <c r="K81">
        <v>45</v>
      </c>
      <c r="L81">
        <f t="shared" si="14"/>
        <v>10</v>
      </c>
      <c r="N81">
        <f t="shared" si="21"/>
        <v>1.7534722222222221</v>
      </c>
      <c r="O81">
        <f t="shared" si="15"/>
        <v>10</v>
      </c>
    </row>
    <row r="82" spans="1:15" x14ac:dyDescent="0.45">
      <c r="A82" s="3" t="s">
        <v>88</v>
      </c>
      <c r="B82">
        <v>321</v>
      </c>
      <c r="C82">
        <f>MIN(ROUNDUP(0*1.15,0),40)</f>
        <v>0</v>
      </c>
      <c r="D82">
        <f t="shared" si="17"/>
        <v>0</v>
      </c>
      <c r="E82">
        <f t="shared" si="18"/>
        <v>0</v>
      </c>
      <c r="F82">
        <f>MIN(ROUNDUP(26*1.1,0),50)</f>
        <v>29</v>
      </c>
      <c r="G82">
        <f t="shared" si="26"/>
        <v>0</v>
      </c>
      <c r="H82">
        <v>0</v>
      </c>
      <c r="I82">
        <v>0</v>
      </c>
      <c r="J82">
        <v>39</v>
      </c>
      <c r="K82">
        <v>17</v>
      </c>
      <c r="L82">
        <f t="shared" si="14"/>
        <v>5</v>
      </c>
      <c r="N82">
        <f t="shared" si="21"/>
        <v>0.24166666666666667</v>
      </c>
      <c r="O82">
        <f t="shared" si="15"/>
        <v>4.5016666666666669</v>
      </c>
    </row>
    <row r="83" spans="1:15" x14ac:dyDescent="0.45">
      <c r="A83" s="3" t="s">
        <v>98</v>
      </c>
      <c r="B83">
        <v>321</v>
      </c>
      <c r="C83">
        <f>MIN(ROUNDUP(0*1.15,0),40)</f>
        <v>0</v>
      </c>
      <c r="D83">
        <f t="shared" si="17"/>
        <v>0</v>
      </c>
      <c r="E83">
        <f t="shared" si="18"/>
        <v>0</v>
      </c>
      <c r="F83">
        <f>MIN(ROUNDUP(0*1.1,0),50)</f>
        <v>0</v>
      </c>
      <c r="G83">
        <f t="shared" si="26"/>
        <v>0</v>
      </c>
      <c r="H83">
        <v>0</v>
      </c>
      <c r="I83">
        <v>0</v>
      </c>
      <c r="J83">
        <v>0</v>
      </c>
      <c r="K83">
        <v>0</v>
      </c>
      <c r="L83">
        <f t="shared" si="14"/>
        <v>1</v>
      </c>
    </row>
    <row r="84" spans="1:15" x14ac:dyDescent="0.45">
      <c r="A84" s="3" t="s">
        <v>89</v>
      </c>
      <c r="B84">
        <v>321</v>
      </c>
      <c r="C84">
        <f>MIN(ROUNDUP(30*1.15,0),40)</f>
        <v>35</v>
      </c>
      <c r="D84">
        <f>MIN(ROUNDUP(30*1.15,0),50)</f>
        <v>35</v>
      </c>
      <c r="E84">
        <f>MIN(ROUNDUP(18*1.15,0),30)</f>
        <v>21</v>
      </c>
      <c r="F84">
        <f>MIN(ROUNDUP(20*1.1,0),50)</f>
        <v>22</v>
      </c>
      <c r="G84">
        <f>MIN(ROUNDUP(9*1.1,0),30)</f>
        <v>10</v>
      </c>
      <c r="H84">
        <v>0</v>
      </c>
      <c r="I84">
        <v>163</v>
      </c>
      <c r="J84">
        <v>43</v>
      </c>
      <c r="K84">
        <v>24</v>
      </c>
      <c r="L84">
        <f t="shared" si="14"/>
        <v>8</v>
      </c>
      <c r="N84">
        <f t="shared" si="21"/>
        <v>1.2701388888888889</v>
      </c>
      <c r="O84">
        <f t="shared" si="15"/>
        <v>8.1059283625730991</v>
      </c>
    </row>
    <row r="85" spans="1:15" x14ac:dyDescent="0.45">
      <c r="A85" s="3" t="s">
        <v>90</v>
      </c>
      <c r="B85">
        <v>321</v>
      </c>
      <c r="C85">
        <f>MIN(ROUNDUP(32*1.15,0),40)</f>
        <v>37</v>
      </c>
      <c r="D85">
        <f t="shared" si="17"/>
        <v>0</v>
      </c>
      <c r="E85">
        <f t="shared" si="18"/>
        <v>0</v>
      </c>
      <c r="F85">
        <f t="shared" si="25"/>
        <v>0</v>
      </c>
      <c r="G85">
        <f t="shared" si="26"/>
        <v>0</v>
      </c>
      <c r="H85">
        <v>0</v>
      </c>
      <c r="I85">
        <v>177</v>
      </c>
      <c r="J85">
        <v>39</v>
      </c>
      <c r="K85">
        <v>25</v>
      </c>
      <c r="L85">
        <f t="shared" si="14"/>
        <v>7</v>
      </c>
      <c r="N85">
        <f t="shared" si="21"/>
        <v>0.38541666666666669</v>
      </c>
      <c r="O85">
        <f t="shared" si="15"/>
        <v>7.3085745614035087</v>
      </c>
    </row>
    <row r="86" spans="1:15" x14ac:dyDescent="0.45">
      <c r="A86" s="3" t="s">
        <v>91</v>
      </c>
      <c r="B86">
        <v>321</v>
      </c>
      <c r="C86">
        <f t="shared" ref="C86:C89" si="27">MIN(ROUNDUP(0*1.15,0),40)</f>
        <v>0</v>
      </c>
      <c r="D86">
        <f t="shared" si="17"/>
        <v>0</v>
      </c>
      <c r="E86">
        <f t="shared" si="18"/>
        <v>0</v>
      </c>
      <c r="F86">
        <f t="shared" si="25"/>
        <v>0</v>
      </c>
      <c r="G86">
        <f t="shared" si="26"/>
        <v>0</v>
      </c>
      <c r="H86">
        <v>0</v>
      </c>
      <c r="I86">
        <v>167</v>
      </c>
      <c r="J86">
        <v>45</v>
      </c>
      <c r="K86">
        <v>22</v>
      </c>
      <c r="L86">
        <f t="shared" si="14"/>
        <v>7</v>
      </c>
      <c r="N86">
        <f t="shared" si="21"/>
        <v>0</v>
      </c>
      <c r="O86">
        <f t="shared" si="15"/>
        <v>6.757894736842105</v>
      </c>
    </row>
    <row r="87" spans="1:15" x14ac:dyDescent="0.45">
      <c r="A87" s="3" t="s">
        <v>92</v>
      </c>
      <c r="B87">
        <v>321</v>
      </c>
      <c r="C87">
        <f t="shared" si="27"/>
        <v>0</v>
      </c>
      <c r="D87">
        <f t="shared" si="17"/>
        <v>0</v>
      </c>
      <c r="E87">
        <f t="shared" si="18"/>
        <v>0</v>
      </c>
      <c r="F87">
        <f t="shared" si="25"/>
        <v>0</v>
      </c>
      <c r="G87">
        <f t="shared" si="26"/>
        <v>0</v>
      </c>
      <c r="H87">
        <v>0</v>
      </c>
      <c r="I87">
        <v>173</v>
      </c>
      <c r="J87">
        <v>29</v>
      </c>
      <c r="K87">
        <v>20</v>
      </c>
      <c r="L87">
        <f t="shared" si="14"/>
        <v>6</v>
      </c>
      <c r="N87">
        <f t="shared" si="21"/>
        <v>0</v>
      </c>
      <c r="O87">
        <f t="shared" si="15"/>
        <v>5.9810526315789474</v>
      </c>
    </row>
    <row r="88" spans="1:15" hidden="1" x14ac:dyDescent="0.45">
      <c r="L88">
        <f t="shared" ref="L88:L89" si="28">ROUND(MIN(MIN((C88/40+D88/50+E88/30+F88/50+G88/30+H88/60)/6*2.5+I88/190*2,3.5)+1+J88/40*2+K88/10,10),0)</f>
        <v>1</v>
      </c>
      <c r="N88">
        <f t="shared" ref="N88:N89" si="29">(C88/40+D88/50+E88/30+F88/50+G88/30+H88/60)/6*2.5</f>
        <v>0</v>
      </c>
    </row>
    <row r="89" spans="1:15" hidden="1" x14ac:dyDescent="0.45">
      <c r="A89" s="4" t="s">
        <v>94</v>
      </c>
      <c r="B89" t="s">
        <v>95</v>
      </c>
      <c r="C89">
        <f t="shared" si="27"/>
        <v>0</v>
      </c>
      <c r="D89">
        <f t="shared" si="17"/>
        <v>0</v>
      </c>
      <c r="E89">
        <f t="shared" si="18"/>
        <v>0</v>
      </c>
      <c r="F89">
        <f t="shared" si="25"/>
        <v>0</v>
      </c>
      <c r="G89">
        <f t="shared" si="26"/>
        <v>0</v>
      </c>
      <c r="H89">
        <v>0</v>
      </c>
      <c r="I89">
        <v>165</v>
      </c>
      <c r="J89">
        <v>35</v>
      </c>
      <c r="K89">
        <v>6</v>
      </c>
      <c r="L89">
        <f t="shared" si="28"/>
        <v>5</v>
      </c>
      <c r="N89">
        <f t="shared" si="29"/>
        <v>0</v>
      </c>
    </row>
  </sheetData>
  <autoFilter ref="A1:L89">
    <filterColumn colId="1">
      <filters>
        <filter val="32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2017-01-10T17:20:41Z</dcterms:created>
  <dcterms:modified xsi:type="dcterms:W3CDTF">2017-02-14T05:47:03Z</dcterms:modified>
</cp:coreProperties>
</file>