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ocumentos\"/>
    </mc:Choice>
  </mc:AlternateContent>
  <xr:revisionPtr revIDLastSave="0" documentId="13_ncr:1_{3AB03D28-52D1-47F6-822D-7D5E9C2A047C}" xr6:coauthVersionLast="47" xr6:coauthVersionMax="47" xr10:uidLastSave="{00000000-0000-0000-0000-000000000000}"/>
  <bookViews>
    <workbookView xWindow="-120" yWindow="-120" windowWidth="29040" windowHeight="15840" xr2:uid="{26E3803A-F3E1-43F8-8C34-E8C48B867BC0}"/>
  </bookViews>
  <sheets>
    <sheet name="Santander" sheetId="1" r:id="rId1"/>
    <sheet name="Scotiabank - Valora" sheetId="2" r:id="rId2"/>
    <sheet name="Scotiabank - Pago oportu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I18" i="1"/>
  <c r="I17" i="1"/>
  <c r="I19" i="1" s="1"/>
  <c r="I21" i="1" s="1"/>
  <c r="C17" i="1"/>
  <c r="L12" i="1"/>
  <c r="I12" i="1"/>
  <c r="Y15" i="1" s="1"/>
  <c r="C12" i="1"/>
  <c r="M10" i="1"/>
  <c r="L13" i="1" s="1"/>
  <c r="L10" i="1"/>
  <c r="I10" i="1"/>
  <c r="C10" i="1"/>
  <c r="C15" i="1" s="1"/>
  <c r="M7" i="1"/>
  <c r="F7" i="1"/>
  <c r="M6" i="1"/>
  <c r="M5" i="1"/>
  <c r="F4" i="1"/>
  <c r="C4" i="1"/>
  <c r="C20" i="1" s="1"/>
  <c r="C23" i="1" s="1"/>
  <c r="C8" i="2"/>
  <c r="C10" i="2" s="1"/>
  <c r="C15" i="2" s="1"/>
  <c r="I11" i="2"/>
  <c r="L15" i="2" s="1"/>
  <c r="M6" i="2"/>
  <c r="M7" i="2"/>
  <c r="M8" i="2"/>
  <c r="M9" i="2"/>
  <c r="M5" i="2"/>
  <c r="I13" i="3"/>
  <c r="I11" i="3"/>
  <c r="L10" i="3"/>
  <c r="C10" i="3"/>
  <c r="C12" i="3" s="1"/>
  <c r="M9" i="3"/>
  <c r="I9" i="3"/>
  <c r="L15" i="3" s="1"/>
  <c r="M8" i="3"/>
  <c r="M7" i="3"/>
  <c r="F7" i="3"/>
  <c r="L12" i="3" s="1"/>
  <c r="M6" i="3"/>
  <c r="M5" i="3"/>
  <c r="M10" i="3" s="1"/>
  <c r="F4" i="3"/>
  <c r="C4" i="3"/>
  <c r="C20" i="3" s="1"/>
  <c r="C23" i="3" s="1"/>
  <c r="L10" i="2"/>
  <c r="I9" i="2"/>
  <c r="L13" i="2" s="1"/>
  <c r="F7" i="2"/>
  <c r="F4" i="2"/>
  <c r="C4" i="2"/>
  <c r="C20" i="2" s="1"/>
  <c r="C23" i="2" s="1"/>
  <c r="F15" i="1" l="1"/>
  <c r="F17" i="1"/>
  <c r="Y12" i="1"/>
  <c r="Y13" i="1" s="1"/>
  <c r="Y16" i="1" s="1"/>
  <c r="Y19" i="1" s="1"/>
  <c r="I14" i="1"/>
  <c r="Y18" i="1" s="1"/>
  <c r="L12" i="2"/>
  <c r="I13" i="2"/>
  <c r="L21" i="2" s="1"/>
  <c r="L21" i="3"/>
  <c r="L18" i="3"/>
  <c r="L13" i="3"/>
  <c r="L16" i="3" s="1"/>
  <c r="C15" i="3"/>
  <c r="F14" i="3" s="1"/>
  <c r="L18" i="2"/>
  <c r="M10" i="2"/>
  <c r="L16" i="2" s="1"/>
  <c r="F15" i="2"/>
  <c r="F17" i="2"/>
  <c r="C12" i="2"/>
  <c r="L19" i="3" l="1"/>
  <c r="L22" i="3" s="1"/>
  <c r="F16" i="3"/>
  <c r="L19" i="2"/>
  <c r="L22" i="2" s="1"/>
</calcChain>
</file>

<file path=xl/sharedStrings.xml><?xml version="1.0" encoding="utf-8"?>
<sst xmlns="http://schemas.openxmlformats.org/spreadsheetml/2006/main" count="160" uniqueCount="58">
  <si>
    <t>Ingresos</t>
  </si>
  <si>
    <t>Majo</t>
  </si>
  <si>
    <t>Ale</t>
  </si>
  <si>
    <t>Precio departamento</t>
  </si>
  <si>
    <t>Enganche</t>
  </si>
  <si>
    <t>Porcentaje</t>
  </si>
  <si>
    <t>Monto crédito</t>
  </si>
  <si>
    <t>Gastos iniciales</t>
  </si>
  <si>
    <t>Avalúo</t>
  </si>
  <si>
    <t>Escritura</t>
  </si>
  <si>
    <t>Para gastar mensual</t>
  </si>
  <si>
    <t>Vales</t>
  </si>
  <si>
    <t>Total</t>
  </si>
  <si>
    <t>Mensualidad crédito*</t>
  </si>
  <si>
    <t>Comisión de apertura*</t>
  </si>
  <si>
    <t>Mantenimiento*</t>
  </si>
  <si>
    <t>Cuánto tenemos</t>
  </si>
  <si>
    <t>Apartado</t>
  </si>
  <si>
    <t>Aguinaldo &amp; Caja Majo</t>
  </si>
  <si>
    <t>Aguinaldo &amp; Caja Ale</t>
  </si>
  <si>
    <t>Ahorro Sep - Dic</t>
  </si>
  <si>
    <t>Finsus Ale</t>
  </si>
  <si>
    <t>Finsus Majo</t>
  </si>
  <si>
    <t>Cuánto nos falta (hoy)</t>
  </si>
  <si>
    <t>Cuánto nos faltaría (diciembre)</t>
  </si>
  <si>
    <t>Tendríamos en diciembre 2021</t>
  </si>
  <si>
    <t>Tendríamos en diciembre 2022</t>
  </si>
  <si>
    <t>Ahorro 2022</t>
  </si>
  <si>
    <t>Tendríamos en diciembre 2023</t>
  </si>
  <si>
    <t>Tendríamos en diciembre 2024</t>
  </si>
  <si>
    <t>Inversionistas, por fis :)</t>
  </si>
  <si>
    <t>Clau</t>
  </si>
  <si>
    <t>Mamá Ale</t>
  </si>
  <si>
    <t>Abue Jose</t>
  </si>
  <si>
    <t>Inicial</t>
  </si>
  <si>
    <t>Final</t>
  </si>
  <si>
    <t>1° Pago 2021</t>
  </si>
  <si>
    <t>Restante inversionistas</t>
  </si>
  <si>
    <t>2° Pago 2022</t>
  </si>
  <si>
    <t>3° Pago 2023</t>
  </si>
  <si>
    <t>4° Pago 2024</t>
  </si>
  <si>
    <t>Departamento Majo &amp; Ale</t>
  </si>
  <si>
    <t>Impuestos y derechos</t>
  </si>
  <si>
    <t>Honorarios notariales</t>
  </si>
  <si>
    <t>Empezamos con el 9.5% y baja hasta 9%</t>
  </si>
  <si>
    <t>Tasa de interés 9%</t>
  </si>
  <si>
    <t>Tasa de interés 9% y sube 2.6% por erogación</t>
  </si>
  <si>
    <t>Opción de apoyo Infonavit</t>
  </si>
  <si>
    <t>1° Pago 2022</t>
  </si>
  <si>
    <t>2° Pago 2023</t>
  </si>
  <si>
    <t>Ahorro Ale Sep - Dic</t>
  </si>
  <si>
    <t>Antigüedad en el trabajo</t>
  </si>
  <si>
    <t>Ubicación</t>
  </si>
  <si>
    <t>Seguro de desempleo</t>
  </si>
  <si>
    <t>Ahorro Majo Sep - Dic</t>
  </si>
  <si>
    <t>Ahorro Majo &amp; Ale</t>
  </si>
  <si>
    <t>3° Pago 2024</t>
  </si>
  <si>
    <t>Bono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</si>
</sst>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165" fontId="2" fillId="0" borderId="0" xfId="1" applyNumberFormat="1" applyFont="1"/>
    <xf numFmtId="165" fontId="2" fillId="2" borderId="0" xfId="1" applyNumberFormat="1" applyFont="1" applyFill="1"/>
    <xf numFmtId="0" fontId="2" fillId="3" borderId="0" xfId="0" applyFont="1" applyFill="1"/>
    <xf numFmtId="165" fontId="2" fillId="3" borderId="0" xfId="1" applyNumberFormat="1" applyFont="1" applyFill="1"/>
    <xf numFmtId="9" fontId="2" fillId="3" borderId="0" xfId="2" applyFont="1" applyFill="1"/>
    <xf numFmtId="165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5" fontId="2" fillId="5" borderId="0" xfId="1" applyNumberFormat="1" applyFont="1" applyFill="1"/>
    <xf numFmtId="0" fontId="3" fillId="5" borderId="0" xfId="0" applyFont="1" applyFill="1"/>
    <xf numFmtId="165" fontId="3" fillId="5" borderId="0" xfId="1" applyNumberFormat="1" applyFont="1" applyFill="1"/>
    <xf numFmtId="0" fontId="3" fillId="2" borderId="0" xfId="0" applyFont="1" applyFill="1"/>
    <xf numFmtId="165" fontId="3" fillId="2" borderId="0" xfId="1" applyNumberFormat="1" applyFont="1" applyFill="1"/>
    <xf numFmtId="0" fontId="3" fillId="4" borderId="0" xfId="0" applyFont="1" applyFill="1"/>
    <xf numFmtId="165" fontId="3" fillId="4" borderId="0" xfId="1" applyNumberFormat="1" applyFont="1" applyFill="1"/>
    <xf numFmtId="0" fontId="2" fillId="6" borderId="0" xfId="0" applyFont="1" applyFill="1"/>
    <xf numFmtId="165" fontId="3" fillId="2" borderId="0" xfId="0" applyNumberFormat="1" applyFont="1" applyFill="1"/>
    <xf numFmtId="0" fontId="2" fillId="7" borderId="0" xfId="0" applyFont="1" applyFill="1"/>
    <xf numFmtId="165" fontId="2" fillId="7" borderId="0" xfId="1" applyNumberFormat="1" applyFont="1" applyFill="1"/>
    <xf numFmtId="0" fontId="2" fillId="8" borderId="0" xfId="0" applyFont="1" applyFill="1"/>
    <xf numFmtId="165" fontId="2" fillId="8" borderId="0" xfId="1" applyNumberFormat="1" applyFont="1" applyFill="1"/>
    <xf numFmtId="164" fontId="2" fillId="2" borderId="0" xfId="1" applyNumberFormat="1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165" fontId="2" fillId="4" borderId="0" xfId="0" applyNumberFormat="1" applyFont="1" applyFill="1"/>
    <xf numFmtId="165" fontId="2" fillId="0" borderId="0" xfId="0" applyNumberFormat="1" applyFont="1"/>
    <xf numFmtId="165" fontId="0" fillId="0" borderId="0" xfId="0" applyNumberFormat="1"/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2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505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FEFB-2784-4B44-BF07-F7DD6AEE8FA5}">
  <sheetPr>
    <tabColor rgb="FFC00000"/>
  </sheetPr>
  <dimension ref="A1:AR138"/>
  <sheetViews>
    <sheetView showGridLines="0" tabSelected="1" zoomScale="80" zoomScaleNormal="80" workbookViewId="0">
      <selection activeCell="L1" sqref="L1:L1048576"/>
    </sheetView>
  </sheetViews>
  <sheetFormatPr baseColWidth="10" defaultColWidth="9.140625" defaultRowHeight="15" x14ac:dyDescent="0.25"/>
  <cols>
    <col min="2" max="2" width="23.140625" bestFit="1" customWidth="1"/>
    <col min="3" max="3" width="13.85546875" bestFit="1" customWidth="1"/>
    <col min="4" max="4" width="4.5703125" customWidth="1"/>
    <col min="5" max="5" width="32.140625" bestFit="1" customWidth="1"/>
    <col min="6" max="6" width="10" bestFit="1" customWidth="1"/>
    <col min="7" max="7" width="4.5703125" customWidth="1"/>
    <col min="8" max="8" width="32.42578125" bestFit="1" customWidth="1"/>
    <col min="9" max="9" width="11.28515625" bestFit="1" customWidth="1"/>
    <col min="10" max="10" width="4.5703125" customWidth="1"/>
    <col min="11" max="11" width="23.5703125" bestFit="1" customWidth="1"/>
    <col min="12" max="12" width="11" bestFit="1" customWidth="1"/>
    <col min="13" max="13" width="13.85546875" bestFit="1" customWidth="1"/>
    <col min="25" max="25" width="11.7109375" bestFit="1" customWidth="1"/>
  </cols>
  <sheetData>
    <row r="1" spans="1:44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6.5" x14ac:dyDescent="0.3">
      <c r="A2" s="1"/>
      <c r="B2" s="30" t="s">
        <v>41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6.5" x14ac:dyDescent="0.3">
      <c r="A4" s="1"/>
      <c r="B4" s="14" t="s">
        <v>0</v>
      </c>
      <c r="C4" s="15">
        <f>SUM(C5:C6)</f>
        <v>33000</v>
      </c>
      <c r="D4" s="1"/>
      <c r="E4" s="14" t="s">
        <v>16</v>
      </c>
      <c r="F4" s="15">
        <f>F5</f>
        <v>25000</v>
      </c>
      <c r="G4" s="1"/>
      <c r="H4" s="2" t="s">
        <v>18</v>
      </c>
      <c r="I4" s="4">
        <v>33000</v>
      </c>
      <c r="J4" s="1"/>
      <c r="K4" s="14" t="s">
        <v>30</v>
      </c>
      <c r="L4" s="25" t="s">
        <v>34</v>
      </c>
      <c r="M4" s="25" t="s">
        <v>35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6.5" x14ac:dyDescent="0.3">
      <c r="A5" s="1"/>
      <c r="B5" s="2" t="s">
        <v>1</v>
      </c>
      <c r="C5" s="4">
        <v>15000</v>
      </c>
      <c r="D5" s="1"/>
      <c r="E5" s="2" t="s">
        <v>17</v>
      </c>
      <c r="F5" s="4">
        <v>25000</v>
      </c>
      <c r="G5" s="1"/>
      <c r="H5" s="2" t="s">
        <v>19</v>
      </c>
      <c r="I5" s="4">
        <v>49354</v>
      </c>
      <c r="J5" s="1"/>
      <c r="K5" s="2" t="s">
        <v>31</v>
      </c>
      <c r="L5" s="4">
        <v>100000</v>
      </c>
      <c r="M5" s="32">
        <f>L5*1.05</f>
        <v>105000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6.5" x14ac:dyDescent="0.3">
      <c r="A6" s="1"/>
      <c r="B6" s="2" t="s">
        <v>2</v>
      </c>
      <c r="C6" s="4">
        <v>18000</v>
      </c>
      <c r="D6" s="1"/>
      <c r="G6" s="1"/>
      <c r="H6" s="2" t="s">
        <v>27</v>
      </c>
      <c r="I6" s="4">
        <v>150000</v>
      </c>
      <c r="J6" s="1"/>
      <c r="K6" s="2" t="s">
        <v>32</v>
      </c>
      <c r="L6" s="4">
        <v>100000</v>
      </c>
      <c r="M6" s="32">
        <f>L6*1.05</f>
        <v>105000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6.5" x14ac:dyDescent="0.3">
      <c r="A7" s="1"/>
      <c r="B7" s="1"/>
      <c r="C7" s="1"/>
      <c r="D7" s="1"/>
      <c r="E7" s="14" t="s">
        <v>25</v>
      </c>
      <c r="F7" s="15">
        <f>SUM(F8:F13)</f>
        <v>243854</v>
      </c>
      <c r="G7" s="1"/>
      <c r="H7" s="2" t="s">
        <v>21</v>
      </c>
      <c r="I7" s="4">
        <v>11060</v>
      </c>
      <c r="J7" s="1"/>
      <c r="K7" s="2" t="s">
        <v>33</v>
      </c>
      <c r="L7" s="4">
        <v>100000</v>
      </c>
      <c r="M7" s="32">
        <f>L7*1.05</f>
        <v>105000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6.5" x14ac:dyDescent="0.3">
      <c r="A8" s="1"/>
      <c r="B8" s="16" t="s">
        <v>3</v>
      </c>
      <c r="C8" s="17">
        <v>2500000</v>
      </c>
      <c r="D8" s="1"/>
      <c r="E8" s="2" t="s">
        <v>18</v>
      </c>
      <c r="F8" s="4">
        <v>33000</v>
      </c>
      <c r="G8" s="1"/>
      <c r="H8" s="2" t="s">
        <v>22</v>
      </c>
      <c r="I8" s="4">
        <v>23670</v>
      </c>
      <c r="J8" s="1"/>
      <c r="K8" s="26"/>
      <c r="L8" s="4"/>
      <c r="M8" s="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6.5" x14ac:dyDescent="0.3">
      <c r="A9" s="1"/>
      <c r="B9" s="1"/>
      <c r="C9" s="1"/>
      <c r="D9" s="1"/>
      <c r="E9" s="2" t="s">
        <v>19</v>
      </c>
      <c r="F9" s="4">
        <v>49354</v>
      </c>
      <c r="G9" s="1"/>
      <c r="H9" s="2" t="s">
        <v>57</v>
      </c>
      <c r="I9" s="4">
        <v>65000</v>
      </c>
      <c r="J9" s="1"/>
      <c r="K9" s="26"/>
      <c r="L9" s="4"/>
      <c r="M9" s="3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6.5" x14ac:dyDescent="0.3">
      <c r="A10" s="1"/>
      <c r="B10" s="5" t="s">
        <v>4</v>
      </c>
      <c r="C10" s="6">
        <f>C8*C11</f>
        <v>375000</v>
      </c>
      <c r="D10" s="1"/>
      <c r="E10" s="2" t="s">
        <v>54</v>
      </c>
      <c r="F10" s="4">
        <v>55000</v>
      </c>
      <c r="G10" s="1"/>
      <c r="H10" s="14" t="s">
        <v>26</v>
      </c>
      <c r="I10" s="15">
        <f>SUM(I4:I9)</f>
        <v>332084</v>
      </c>
      <c r="J10" s="1"/>
      <c r="K10" s="14" t="s">
        <v>12</v>
      </c>
      <c r="L10" s="19">
        <f>SUM(L5:L9)</f>
        <v>300000</v>
      </c>
      <c r="M10" s="19">
        <f>SUM(M5:M9)</f>
        <v>315000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x14ac:dyDescent="0.3">
      <c r="A11" s="1"/>
      <c r="B11" s="5" t="s">
        <v>5</v>
      </c>
      <c r="C11" s="7">
        <v>0.15</v>
      </c>
      <c r="D11" s="1"/>
      <c r="E11" s="2" t="s">
        <v>50</v>
      </c>
      <c r="F11" s="4">
        <v>80000</v>
      </c>
      <c r="G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6.5" x14ac:dyDescent="0.3">
      <c r="A12" s="1"/>
      <c r="B12" s="5" t="s">
        <v>6</v>
      </c>
      <c r="C12" s="8">
        <f>C8-C10</f>
        <v>2125000</v>
      </c>
      <c r="D12" s="1"/>
      <c r="E12" s="2" t="s">
        <v>21</v>
      </c>
      <c r="F12" s="4">
        <v>1500</v>
      </c>
      <c r="G12" s="1"/>
      <c r="H12" s="14" t="s">
        <v>28</v>
      </c>
      <c r="I12" s="15">
        <f>SUM(I4:I6)</f>
        <v>232354</v>
      </c>
      <c r="J12" s="1"/>
      <c r="K12" s="9" t="s">
        <v>48</v>
      </c>
      <c r="L12" s="27">
        <f>I10</f>
        <v>332084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9" t="s">
        <v>49</v>
      </c>
      <c r="Y12" s="27">
        <f>I12</f>
        <v>232354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6.5" x14ac:dyDescent="0.3">
      <c r="A13" s="1"/>
      <c r="B13" s="5" t="s">
        <v>13</v>
      </c>
      <c r="C13" s="8">
        <v>17000</v>
      </c>
      <c r="D13" s="1"/>
      <c r="E13" s="2" t="s">
        <v>22</v>
      </c>
      <c r="F13" s="4">
        <v>25000</v>
      </c>
      <c r="G13" s="1"/>
      <c r="H13" s="22"/>
      <c r="I13" s="23"/>
      <c r="J13" s="1"/>
      <c r="K13" s="9" t="s">
        <v>37</v>
      </c>
      <c r="L13" s="27">
        <f>M10-L12</f>
        <v>-17084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9" t="s">
        <v>37</v>
      </c>
      <c r="Y13" s="27">
        <f>L13-Y12</f>
        <v>-249438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6.5" x14ac:dyDescent="0.3">
      <c r="A14" s="1"/>
      <c r="B14" s="1"/>
      <c r="C14" s="1"/>
      <c r="D14" s="1"/>
      <c r="E14" s="1"/>
      <c r="F14" s="3"/>
      <c r="G14" s="1"/>
      <c r="H14" s="14" t="s">
        <v>29</v>
      </c>
      <c r="I14" s="15">
        <f>I12</f>
        <v>232354</v>
      </c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4.45" customHeight="1" x14ac:dyDescent="0.3">
      <c r="A15" s="1"/>
      <c r="B15" s="12" t="s">
        <v>7</v>
      </c>
      <c r="C15" s="13">
        <f>SUM(C16:C18)+C10</f>
        <v>576300</v>
      </c>
      <c r="D15" s="1"/>
      <c r="E15" s="20" t="s">
        <v>23</v>
      </c>
      <c r="F15" s="21">
        <f>C15-F4</f>
        <v>551300</v>
      </c>
      <c r="G15" s="1"/>
      <c r="H15" s="22"/>
      <c r="I15" s="23"/>
      <c r="J15" s="1"/>
      <c r="K15" s="31"/>
      <c r="L15" s="31"/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9" t="s">
        <v>56</v>
      </c>
      <c r="Y15" s="27">
        <f>I12</f>
        <v>232354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6.5" x14ac:dyDescent="0.3">
      <c r="A16" s="1"/>
      <c r="B16" s="10" t="s">
        <v>8</v>
      </c>
      <c r="C16" s="11">
        <v>6500</v>
      </c>
      <c r="D16" s="1"/>
      <c r="E16" s="1"/>
      <c r="F16" s="3"/>
      <c r="G16" s="1"/>
      <c r="I16" s="29"/>
      <c r="J16" s="1"/>
      <c r="K16" s="31"/>
      <c r="L16" s="31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9" t="s">
        <v>37</v>
      </c>
      <c r="Y16" s="27">
        <f>Y13-Y15</f>
        <v>-481792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6.5" x14ac:dyDescent="0.3">
      <c r="A17" s="1"/>
      <c r="B17" s="10" t="s">
        <v>9</v>
      </c>
      <c r="C17" s="11">
        <f>C8*0.07</f>
        <v>175000.00000000003</v>
      </c>
      <c r="D17" s="1"/>
      <c r="E17" s="20" t="s">
        <v>24</v>
      </c>
      <c r="F17" s="21">
        <f>C15-F7-F4</f>
        <v>307446</v>
      </c>
      <c r="G17" s="1"/>
      <c r="H17" s="1"/>
      <c r="I17" s="28">
        <f>+F11+F9+F12</f>
        <v>130854</v>
      </c>
      <c r="J17" s="1"/>
      <c r="K17" s="31"/>
      <c r="L17" s="31"/>
      <c r="M17" s="3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6.5" x14ac:dyDescent="0.3">
      <c r="A18" s="1"/>
      <c r="B18" s="10" t="s">
        <v>14</v>
      </c>
      <c r="C18" s="11">
        <v>19800</v>
      </c>
      <c r="D18" s="1"/>
      <c r="E18" s="1"/>
      <c r="F18" s="1"/>
      <c r="G18" s="1"/>
      <c r="H18" s="1"/>
      <c r="I18" s="1">
        <f>48787.28+200+3000+1212.37+1689.45+999.9+1320.78</f>
        <v>57209.78</v>
      </c>
      <c r="K18" s="31"/>
      <c r="L18" s="31"/>
      <c r="M18" s="31"/>
      <c r="N18" s="1"/>
      <c r="O18" s="1"/>
      <c r="P18" s="1"/>
      <c r="Q18" s="1"/>
      <c r="R18" s="1"/>
      <c r="S18" s="1"/>
      <c r="T18" s="1"/>
      <c r="U18" s="1"/>
      <c r="V18" s="1"/>
      <c r="W18" s="1"/>
      <c r="X18" s="9" t="s">
        <v>40</v>
      </c>
      <c r="Y18" s="27">
        <f>I14</f>
        <v>232354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6.5" x14ac:dyDescent="0.3">
      <c r="A19" s="1"/>
      <c r="B19" s="1"/>
      <c r="C19" s="1"/>
      <c r="D19" s="1"/>
      <c r="E19" s="18" t="s">
        <v>45</v>
      </c>
      <c r="F19" s="1"/>
      <c r="G19" s="1"/>
      <c r="H19" s="1"/>
      <c r="I19" s="28">
        <f>+I17-I18</f>
        <v>73644.22</v>
      </c>
      <c r="J19" s="1"/>
      <c r="M19" s="1">
        <v>20000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9" t="s">
        <v>37</v>
      </c>
      <c r="Y19" s="27">
        <f>Y16-Y18</f>
        <v>-714146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6.5" x14ac:dyDescent="0.3">
      <c r="A20" s="1"/>
      <c r="B20" s="2" t="s">
        <v>10</v>
      </c>
      <c r="C20" s="4">
        <f>C4-C13</f>
        <v>16000</v>
      </c>
      <c r="D20" s="1"/>
      <c r="E20" s="1"/>
      <c r="F20" s="1"/>
      <c r="G20" s="1"/>
      <c r="H20" s="1"/>
      <c r="I20" s="1">
        <v>45000</v>
      </c>
      <c r="J20" s="1"/>
      <c r="M20" s="1">
        <f>23300*0.13*2*11</f>
        <v>66638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x14ac:dyDescent="0.3">
      <c r="A21" s="1"/>
      <c r="B21" s="2" t="s">
        <v>11</v>
      </c>
      <c r="C21" s="4">
        <v>4000</v>
      </c>
      <c r="D21" s="1"/>
      <c r="E21" s="18" t="s">
        <v>47</v>
      </c>
      <c r="F21" s="1"/>
      <c r="G21" s="1"/>
      <c r="H21" s="1"/>
      <c r="I21" s="28">
        <f>+I19-I20</f>
        <v>28644.22</v>
      </c>
      <c r="J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6.5" x14ac:dyDescent="0.3">
      <c r="A22" s="1"/>
      <c r="B22" s="2" t="s">
        <v>15</v>
      </c>
      <c r="C22" s="4">
        <v>1500</v>
      </c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6.5" x14ac:dyDescent="0.3">
      <c r="A23" s="1"/>
      <c r="B23" s="14" t="s">
        <v>12</v>
      </c>
      <c r="C23" s="15">
        <f>(C20+C21)-C22</f>
        <v>18500</v>
      </c>
      <c r="D23" s="1"/>
      <c r="E23" s="1"/>
      <c r="F23" s="1"/>
      <c r="G23" s="1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6.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6.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6.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6.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6.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6.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6.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6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6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6.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6.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6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6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6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6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6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6.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6.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6.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6.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6.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6.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6.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6.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6.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6.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6.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6.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6.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6.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6.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6.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6.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6.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6.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6.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6.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6.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6.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6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6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6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6.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6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</sheetData>
  <mergeCells count="2">
    <mergeCell ref="B2:M2"/>
    <mergeCell ref="K15:M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611B-D364-4B5F-9BCD-25211110162B}">
  <sheetPr>
    <tabColor rgb="FFFF0000"/>
  </sheetPr>
  <dimension ref="A1:AR138"/>
  <sheetViews>
    <sheetView showGridLines="0" topLeftCell="A4" workbookViewId="0">
      <selection activeCell="L16" sqref="L16"/>
    </sheetView>
  </sheetViews>
  <sheetFormatPr baseColWidth="10" defaultColWidth="9.140625" defaultRowHeight="15" x14ac:dyDescent="0.25"/>
  <cols>
    <col min="1" max="1" width="4.5703125" customWidth="1"/>
    <col min="2" max="2" width="23.140625" bestFit="1" customWidth="1"/>
    <col min="3" max="3" width="13.85546875" bestFit="1" customWidth="1"/>
    <col min="4" max="4" width="4.5703125" customWidth="1"/>
    <col min="5" max="5" width="32.140625" bestFit="1" customWidth="1"/>
    <col min="6" max="6" width="9.42578125" bestFit="1" customWidth="1"/>
    <col min="7" max="7" width="4.5703125" customWidth="1"/>
    <col min="8" max="8" width="30.85546875" bestFit="1" customWidth="1"/>
    <col min="9" max="9" width="9.42578125" bestFit="1" customWidth="1"/>
    <col min="10" max="10" width="4.5703125" customWidth="1"/>
    <col min="11" max="11" width="22.140625" bestFit="1" customWidth="1"/>
    <col min="12" max="12" width="10.28515625" bestFit="1" customWidth="1"/>
    <col min="13" max="13" width="12.140625" bestFit="1" customWidth="1"/>
  </cols>
  <sheetData>
    <row r="1" spans="1:44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6.5" x14ac:dyDescent="0.3">
      <c r="A2" s="1"/>
      <c r="B2" s="30" t="s">
        <v>41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6.5" x14ac:dyDescent="0.3">
      <c r="A4" s="1"/>
      <c r="B4" s="14" t="s">
        <v>0</v>
      </c>
      <c r="C4" s="15">
        <f>SUM(C5:C6)</f>
        <v>23000</v>
      </c>
      <c r="D4" s="1"/>
      <c r="E4" s="14" t="s">
        <v>16</v>
      </c>
      <c r="F4" s="15">
        <f>F5</f>
        <v>25000</v>
      </c>
      <c r="G4" s="1"/>
      <c r="H4" s="2" t="s">
        <v>18</v>
      </c>
      <c r="I4" s="4">
        <v>33000</v>
      </c>
      <c r="J4" s="1"/>
      <c r="K4" s="14" t="s">
        <v>30</v>
      </c>
      <c r="L4" s="25" t="s">
        <v>34</v>
      </c>
      <c r="M4" s="25" t="s">
        <v>35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6.5" x14ac:dyDescent="0.3">
      <c r="A5" s="1"/>
      <c r="B5" s="2" t="s">
        <v>1</v>
      </c>
      <c r="C5" s="4">
        <v>15000</v>
      </c>
      <c r="D5" s="1"/>
      <c r="E5" s="2" t="s">
        <v>55</v>
      </c>
      <c r="F5" s="4">
        <v>25000</v>
      </c>
      <c r="G5" s="1"/>
      <c r="H5" s="2" t="s">
        <v>19</v>
      </c>
      <c r="I5" s="4">
        <v>49354</v>
      </c>
      <c r="J5" s="1"/>
      <c r="K5" s="2" t="s">
        <v>31</v>
      </c>
      <c r="L5" s="4">
        <v>100000</v>
      </c>
      <c r="M5" s="24">
        <f>L5*1.05*1.05</f>
        <v>110250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6.5" x14ac:dyDescent="0.3">
      <c r="A6" s="1"/>
      <c r="B6" s="2" t="s">
        <v>2</v>
      </c>
      <c r="C6" s="4">
        <v>8000</v>
      </c>
      <c r="D6" s="1"/>
      <c r="G6" s="1"/>
      <c r="H6" s="2" t="s">
        <v>27</v>
      </c>
      <c r="I6" s="4">
        <v>48000</v>
      </c>
      <c r="J6" s="1"/>
      <c r="K6" s="2" t="s">
        <v>32</v>
      </c>
      <c r="L6" s="4">
        <v>100000</v>
      </c>
      <c r="M6" s="24">
        <f t="shared" ref="M6:M9" si="0">L6*1.05*1.05</f>
        <v>110250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6.5" x14ac:dyDescent="0.3">
      <c r="A7" s="1"/>
      <c r="B7" s="1"/>
      <c r="C7" s="1"/>
      <c r="D7" s="1"/>
      <c r="E7" s="14" t="s">
        <v>25</v>
      </c>
      <c r="F7" s="15">
        <f>SUM(F8:F13)</f>
        <v>180120</v>
      </c>
      <c r="G7" s="1"/>
      <c r="H7" s="2" t="s">
        <v>21</v>
      </c>
      <c r="I7" s="4">
        <v>11060</v>
      </c>
      <c r="J7" s="1"/>
      <c r="K7" s="2" t="s">
        <v>33</v>
      </c>
      <c r="L7" s="4">
        <v>100000</v>
      </c>
      <c r="M7" s="24">
        <f t="shared" si="0"/>
        <v>110250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6.5" x14ac:dyDescent="0.3">
      <c r="A8" s="1"/>
      <c r="B8" s="16" t="s">
        <v>3</v>
      </c>
      <c r="C8" s="17">
        <f>1938520+45000</f>
        <v>1983520</v>
      </c>
      <c r="D8" s="1"/>
      <c r="E8" s="2" t="s">
        <v>18</v>
      </c>
      <c r="F8" s="4">
        <v>33000</v>
      </c>
      <c r="G8" s="1"/>
      <c r="H8" s="2" t="s">
        <v>22</v>
      </c>
      <c r="I8" s="4">
        <v>23670</v>
      </c>
      <c r="J8" s="1"/>
      <c r="K8" s="26"/>
      <c r="L8" s="4"/>
      <c r="M8" s="24">
        <f t="shared" si="0"/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6.5" x14ac:dyDescent="0.3">
      <c r="A9" s="1"/>
      <c r="B9" s="1"/>
      <c r="C9" s="1"/>
      <c r="D9" s="1"/>
      <c r="E9" s="2" t="s">
        <v>19</v>
      </c>
      <c r="F9" s="4">
        <v>49354</v>
      </c>
      <c r="G9" s="1"/>
      <c r="H9" s="14" t="s">
        <v>26</v>
      </c>
      <c r="I9" s="15">
        <f>SUM(I4:I8)</f>
        <v>165084</v>
      </c>
      <c r="J9" s="1"/>
      <c r="K9" s="26"/>
      <c r="L9" s="4"/>
      <c r="M9" s="24">
        <f t="shared" si="0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6.5" x14ac:dyDescent="0.3">
      <c r="A10" s="1"/>
      <c r="B10" s="5" t="s">
        <v>4</v>
      </c>
      <c r="C10" s="6">
        <f>C8*C11</f>
        <v>357033.6</v>
      </c>
      <c r="D10" s="1"/>
      <c r="E10" s="2" t="s">
        <v>54</v>
      </c>
      <c r="F10" s="4">
        <v>45000</v>
      </c>
      <c r="G10" s="1"/>
      <c r="J10" s="1"/>
      <c r="K10" s="14" t="s">
        <v>12</v>
      </c>
      <c r="L10" s="19">
        <f>SUM(L5:L9)</f>
        <v>300000</v>
      </c>
      <c r="M10" s="19">
        <f>SUM(M5:M9)</f>
        <v>330750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x14ac:dyDescent="0.3">
      <c r="A11" s="1"/>
      <c r="B11" s="5" t="s">
        <v>5</v>
      </c>
      <c r="C11" s="7">
        <v>0.18</v>
      </c>
      <c r="D11" s="1"/>
      <c r="E11" s="2" t="s">
        <v>50</v>
      </c>
      <c r="F11" s="4">
        <v>5680</v>
      </c>
      <c r="G11" s="1"/>
      <c r="H11" s="14" t="s">
        <v>28</v>
      </c>
      <c r="I11" s="15">
        <f>SUM(I4:I6)-6000</f>
        <v>124354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6.5" x14ac:dyDescent="0.3">
      <c r="A12" s="1"/>
      <c r="B12" s="5" t="s">
        <v>6</v>
      </c>
      <c r="C12" s="8">
        <f>C8-C10</f>
        <v>1626486.4</v>
      </c>
      <c r="D12" s="1"/>
      <c r="E12" s="2" t="s">
        <v>21</v>
      </c>
      <c r="F12" s="4">
        <v>11500</v>
      </c>
      <c r="G12" s="1"/>
      <c r="H12" s="22"/>
      <c r="I12" s="23"/>
      <c r="J12" s="1"/>
      <c r="K12" s="9" t="s">
        <v>48</v>
      </c>
      <c r="L12" s="27">
        <f>I9</f>
        <v>165084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6.5" x14ac:dyDescent="0.3">
      <c r="A13" s="1"/>
      <c r="B13" s="5" t="s">
        <v>13</v>
      </c>
      <c r="C13" s="8">
        <v>16000</v>
      </c>
      <c r="D13" s="1"/>
      <c r="E13" s="2" t="s">
        <v>22</v>
      </c>
      <c r="F13" s="4">
        <v>35586</v>
      </c>
      <c r="G13" s="1"/>
      <c r="H13" s="14" t="s">
        <v>29</v>
      </c>
      <c r="I13" s="15">
        <f>I11-6000</f>
        <v>118354</v>
      </c>
      <c r="J13" s="1"/>
      <c r="K13" s="9" t="s">
        <v>37</v>
      </c>
      <c r="L13" s="27">
        <f>M10-I9</f>
        <v>165666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6.5" x14ac:dyDescent="0.3">
      <c r="A14" s="1"/>
      <c r="B14" s="1"/>
      <c r="C14" s="1"/>
      <c r="D14" s="1"/>
      <c r="E14" s="1"/>
      <c r="F14" s="3"/>
      <c r="G14" s="1"/>
      <c r="H14" s="22"/>
      <c r="I14" s="23"/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6.5" x14ac:dyDescent="0.3">
      <c r="A15" s="1"/>
      <c r="B15" s="12" t="s">
        <v>7</v>
      </c>
      <c r="C15" s="13">
        <f>SUM(C16:C18)+C10</f>
        <v>497033.6</v>
      </c>
      <c r="D15" s="1"/>
      <c r="E15" s="20" t="s">
        <v>23</v>
      </c>
      <c r="F15" s="21">
        <f>C15-F4</f>
        <v>472033.6</v>
      </c>
      <c r="G15" s="1"/>
      <c r="H15" s="22"/>
      <c r="I15" s="23"/>
      <c r="J15" s="1"/>
      <c r="K15" s="9" t="s">
        <v>49</v>
      </c>
      <c r="L15" s="27">
        <f>I11</f>
        <v>124354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6.5" x14ac:dyDescent="0.3">
      <c r="A16" s="1"/>
      <c r="B16" s="10" t="s">
        <v>42</v>
      </c>
      <c r="C16" s="11">
        <v>100000</v>
      </c>
      <c r="D16" s="1"/>
      <c r="E16" s="1"/>
      <c r="F16" s="3"/>
      <c r="G16" s="1"/>
      <c r="J16" s="1"/>
      <c r="K16" s="9" t="s">
        <v>37</v>
      </c>
      <c r="L16" s="27">
        <f>L13-L15</f>
        <v>41312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6.5" x14ac:dyDescent="0.3">
      <c r="A17" s="1"/>
      <c r="B17" s="10" t="s">
        <v>43</v>
      </c>
      <c r="C17" s="11">
        <v>40000</v>
      </c>
      <c r="D17" s="1"/>
      <c r="E17" s="20" t="s">
        <v>24</v>
      </c>
      <c r="F17" s="21">
        <f>C15-F7-F4</f>
        <v>291913.59999999998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6.5" x14ac:dyDescent="0.3">
      <c r="A18" s="1"/>
      <c r="B18" s="22"/>
      <c r="C18" s="23"/>
      <c r="D18" s="1"/>
      <c r="E18" s="1"/>
      <c r="F18" s="1"/>
      <c r="G18" s="1"/>
      <c r="H18" s="28"/>
      <c r="I18" s="1"/>
      <c r="J18" s="1"/>
      <c r="K18" s="9" t="s">
        <v>39</v>
      </c>
      <c r="L18" s="27">
        <f>I11</f>
        <v>124354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6.5" x14ac:dyDescent="0.3">
      <c r="A19" s="1"/>
      <c r="B19" s="1"/>
      <c r="C19" s="1"/>
      <c r="D19" s="1"/>
      <c r="E19" s="18" t="s">
        <v>46</v>
      </c>
      <c r="F19" s="18"/>
      <c r="G19" s="1"/>
      <c r="H19" s="1"/>
      <c r="I19" s="1"/>
      <c r="J19" s="1"/>
      <c r="K19" s="9" t="s">
        <v>37</v>
      </c>
      <c r="L19" s="27">
        <f>L16-L18</f>
        <v>-83042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6.5" x14ac:dyDescent="0.3">
      <c r="A20" s="1"/>
      <c r="B20" s="2" t="s">
        <v>10</v>
      </c>
      <c r="C20" s="4">
        <f>C4-C13</f>
        <v>7000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x14ac:dyDescent="0.3">
      <c r="A21" s="1"/>
      <c r="B21" s="2" t="s">
        <v>11</v>
      </c>
      <c r="C21" s="4">
        <v>3300</v>
      </c>
      <c r="D21" s="1"/>
      <c r="E21" s="18" t="s">
        <v>47</v>
      </c>
      <c r="F21" s="1"/>
      <c r="G21" s="1"/>
      <c r="H21" s="1"/>
      <c r="I21" s="1"/>
      <c r="J21" s="1"/>
      <c r="K21" s="9" t="s">
        <v>40</v>
      </c>
      <c r="L21" s="27">
        <f>I13</f>
        <v>118354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6.5" x14ac:dyDescent="0.3">
      <c r="A22" s="1"/>
      <c r="B22" s="2" t="s">
        <v>15</v>
      </c>
      <c r="C22" s="4">
        <v>1500</v>
      </c>
      <c r="D22" s="1"/>
      <c r="E22" s="1"/>
      <c r="F22" s="1"/>
      <c r="G22" s="1"/>
      <c r="H22" s="1"/>
      <c r="I22" s="1"/>
      <c r="J22" s="1"/>
      <c r="K22" s="9" t="s">
        <v>37</v>
      </c>
      <c r="L22" s="27">
        <f>L19-L21</f>
        <v>-201396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6.5" x14ac:dyDescent="0.3">
      <c r="A23" s="1"/>
      <c r="B23" s="14" t="s">
        <v>12</v>
      </c>
      <c r="C23" s="15">
        <f>(C20+C21)-C22</f>
        <v>8800</v>
      </c>
      <c r="D23" s="1"/>
      <c r="E23" s="1" t="s">
        <v>51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6.5" x14ac:dyDescent="0.3">
      <c r="A24" s="1"/>
      <c r="B24" s="1"/>
      <c r="C24" s="1"/>
      <c r="D24" s="1"/>
      <c r="E24" s="1" t="s">
        <v>52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6.5" x14ac:dyDescent="0.3">
      <c r="A25" s="1"/>
      <c r="B25" s="1"/>
      <c r="C25" s="1"/>
      <c r="D25" s="1"/>
      <c r="E25" s="1" t="s">
        <v>53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6.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6.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6.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6.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6.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6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6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6.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6.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6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6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6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6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6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6.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6.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6.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6.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6.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6.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6.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6.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6.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6.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6.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6.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6.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6.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6.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6.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6.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6.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6.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6.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6.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6.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6.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6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6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6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6.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6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</sheetData>
  <mergeCells count="1">
    <mergeCell ref="B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5632-46F8-45B5-8ABE-51F50E360FCA}">
  <sheetPr>
    <tabColor rgb="FFFF5050"/>
  </sheetPr>
  <dimension ref="A1:AR138"/>
  <sheetViews>
    <sheetView showGridLines="0" topLeftCell="A5" workbookViewId="0">
      <selection activeCell="F8" sqref="F8"/>
    </sheetView>
  </sheetViews>
  <sheetFormatPr baseColWidth="10" defaultColWidth="9.140625" defaultRowHeight="15" x14ac:dyDescent="0.25"/>
  <cols>
    <col min="2" max="2" width="23.140625" bestFit="1" customWidth="1"/>
    <col min="3" max="3" width="13.85546875" bestFit="1" customWidth="1"/>
    <col min="4" max="4" width="4.5703125" customWidth="1"/>
    <col min="5" max="5" width="32.140625" bestFit="1" customWidth="1"/>
    <col min="6" max="6" width="9.42578125" bestFit="1" customWidth="1"/>
    <col min="7" max="7" width="4.5703125" customWidth="1"/>
    <col min="8" max="8" width="30.85546875" bestFit="1" customWidth="1"/>
    <col min="9" max="9" width="9.42578125" bestFit="1" customWidth="1"/>
    <col min="10" max="10" width="4.5703125" customWidth="1"/>
    <col min="11" max="11" width="22.140625" bestFit="1" customWidth="1"/>
    <col min="12" max="12" width="9.42578125" bestFit="1" customWidth="1"/>
    <col min="13" max="13" width="12.140625" bestFit="1" customWidth="1"/>
  </cols>
  <sheetData>
    <row r="1" spans="1:44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6.5" x14ac:dyDescent="0.3">
      <c r="A2" s="1"/>
      <c r="B2" s="30" t="s">
        <v>41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6.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6.5" x14ac:dyDescent="0.3">
      <c r="A4" s="1"/>
      <c r="B4" s="14" t="s">
        <v>0</v>
      </c>
      <c r="C4" s="15">
        <f>SUM(C5:C6)</f>
        <v>23000</v>
      </c>
      <c r="D4" s="1"/>
      <c r="E4" s="14" t="s">
        <v>16</v>
      </c>
      <c r="F4" s="15">
        <f>F5</f>
        <v>20000</v>
      </c>
      <c r="G4" s="1"/>
      <c r="H4" s="2" t="s">
        <v>18</v>
      </c>
      <c r="I4" s="4">
        <v>33000</v>
      </c>
      <c r="J4" s="1"/>
      <c r="K4" s="14" t="s">
        <v>30</v>
      </c>
      <c r="L4" s="25" t="s">
        <v>34</v>
      </c>
      <c r="M4" s="25" t="s">
        <v>35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6.5" x14ac:dyDescent="0.3">
      <c r="A5" s="1"/>
      <c r="B5" s="2" t="s">
        <v>1</v>
      </c>
      <c r="C5" s="4">
        <v>15000</v>
      </c>
      <c r="D5" s="1"/>
      <c r="E5" s="2" t="s">
        <v>17</v>
      </c>
      <c r="F5" s="4">
        <v>20000</v>
      </c>
      <c r="G5" s="1"/>
      <c r="H5" s="2" t="s">
        <v>19</v>
      </c>
      <c r="I5" s="4">
        <v>49354</v>
      </c>
      <c r="J5" s="1"/>
      <c r="K5" s="2" t="s">
        <v>31</v>
      </c>
      <c r="L5" s="4">
        <v>100000</v>
      </c>
      <c r="M5" s="24">
        <f>L5*1.05*1.05*1.05*1.05</f>
        <v>121550.625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6.5" x14ac:dyDescent="0.3">
      <c r="A6" s="1"/>
      <c r="B6" s="2" t="s">
        <v>2</v>
      </c>
      <c r="C6" s="4">
        <v>8000</v>
      </c>
      <c r="D6" s="1"/>
      <c r="G6" s="1"/>
      <c r="H6" s="2" t="s">
        <v>27</v>
      </c>
      <c r="I6" s="4">
        <v>30000</v>
      </c>
      <c r="J6" s="1"/>
      <c r="K6" s="2" t="s">
        <v>32</v>
      </c>
      <c r="L6" s="4">
        <v>100000</v>
      </c>
      <c r="M6" s="24">
        <f t="shared" ref="M6:M9" si="0">L6*1.05*1.05*1.05*1.05</f>
        <v>121550.625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6.5" x14ac:dyDescent="0.3">
      <c r="A7" s="1"/>
      <c r="B7" s="1"/>
      <c r="C7" s="1"/>
      <c r="D7" s="1"/>
      <c r="E7" s="14" t="s">
        <v>25</v>
      </c>
      <c r="F7" s="15">
        <f>SUM(F8:F12)</f>
        <v>126254</v>
      </c>
      <c r="G7" s="1"/>
      <c r="H7" s="2" t="s">
        <v>21</v>
      </c>
      <c r="I7" s="4">
        <v>11060</v>
      </c>
      <c r="J7" s="1"/>
      <c r="K7" s="2" t="s">
        <v>33</v>
      </c>
      <c r="L7" s="4">
        <v>100000</v>
      </c>
      <c r="M7" s="24">
        <f t="shared" si="0"/>
        <v>121550.625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6.5" x14ac:dyDescent="0.3">
      <c r="A8" s="1"/>
      <c r="B8" s="16" t="s">
        <v>3</v>
      </c>
      <c r="C8" s="17">
        <v>1938520</v>
      </c>
      <c r="D8" s="1"/>
      <c r="E8" s="2" t="s">
        <v>18</v>
      </c>
      <c r="F8" s="4">
        <v>33000</v>
      </c>
      <c r="G8" s="1"/>
      <c r="H8" s="2" t="s">
        <v>22</v>
      </c>
      <c r="I8" s="4">
        <v>23670</v>
      </c>
      <c r="J8" s="1"/>
      <c r="K8" s="26"/>
      <c r="L8" s="4">
        <v>100000</v>
      </c>
      <c r="M8" s="24">
        <f t="shared" si="0"/>
        <v>121550.625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6.5" x14ac:dyDescent="0.3">
      <c r="A9" s="1"/>
      <c r="B9" s="1"/>
      <c r="C9" s="1"/>
      <c r="D9" s="1"/>
      <c r="E9" s="2" t="s">
        <v>19</v>
      </c>
      <c r="F9" s="4">
        <v>49354</v>
      </c>
      <c r="G9" s="1"/>
      <c r="H9" s="14" t="s">
        <v>26</v>
      </c>
      <c r="I9" s="15">
        <f>SUM(I4:I8)</f>
        <v>147084</v>
      </c>
      <c r="J9" s="1"/>
      <c r="K9" s="26"/>
      <c r="L9" s="4">
        <v>12000</v>
      </c>
      <c r="M9" s="24">
        <f t="shared" si="0"/>
        <v>14586.075000000001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6.5" x14ac:dyDescent="0.3">
      <c r="A10" s="1"/>
      <c r="B10" s="5" t="s">
        <v>4</v>
      </c>
      <c r="C10" s="6">
        <f>C8*C11</f>
        <v>290778</v>
      </c>
      <c r="D10" s="1"/>
      <c r="E10" s="2" t="s">
        <v>20</v>
      </c>
      <c r="F10" s="4">
        <v>8000</v>
      </c>
      <c r="G10" s="1"/>
      <c r="J10" s="1"/>
      <c r="K10" s="14" t="s">
        <v>12</v>
      </c>
      <c r="L10" s="19">
        <f>SUM(L5:L9)</f>
        <v>412000</v>
      </c>
      <c r="M10" s="19">
        <f>SUM(M5:M9)</f>
        <v>500788.57500000001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x14ac:dyDescent="0.3">
      <c r="A11" s="1"/>
      <c r="B11" s="5" t="s">
        <v>5</v>
      </c>
      <c r="C11" s="7">
        <v>0.15</v>
      </c>
      <c r="D11" s="1"/>
      <c r="E11" s="2" t="s">
        <v>21</v>
      </c>
      <c r="F11" s="4">
        <v>11500</v>
      </c>
      <c r="G11" s="1"/>
      <c r="H11" s="14" t="s">
        <v>28</v>
      </c>
      <c r="I11" s="15">
        <f>SUM(I4:I6)+6000</f>
        <v>118354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6.5" x14ac:dyDescent="0.3">
      <c r="A12" s="1"/>
      <c r="B12" s="5" t="s">
        <v>6</v>
      </c>
      <c r="C12" s="8">
        <f>C8-C10</f>
        <v>1647742</v>
      </c>
      <c r="D12" s="1"/>
      <c r="E12" s="2" t="s">
        <v>22</v>
      </c>
      <c r="F12" s="4">
        <v>24400</v>
      </c>
      <c r="G12" s="1"/>
      <c r="H12" s="22"/>
      <c r="I12" s="23"/>
      <c r="J12" s="1"/>
      <c r="K12" s="9" t="s">
        <v>36</v>
      </c>
      <c r="L12" s="27">
        <f>F7</f>
        <v>126254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6.5" x14ac:dyDescent="0.3">
      <c r="A13" s="1"/>
      <c r="B13" s="5" t="s">
        <v>13</v>
      </c>
      <c r="C13" s="8">
        <v>17500</v>
      </c>
      <c r="D13" s="1"/>
      <c r="E13" s="1"/>
      <c r="F13" s="3"/>
      <c r="G13" s="1"/>
      <c r="H13" s="14" t="s">
        <v>29</v>
      </c>
      <c r="I13" s="15">
        <f>I11+6000</f>
        <v>124354</v>
      </c>
      <c r="J13" s="1"/>
      <c r="K13" s="9" t="s">
        <v>37</v>
      </c>
      <c r="L13" s="27">
        <f>M10-F7</f>
        <v>374534.57500000001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6.5" x14ac:dyDescent="0.3">
      <c r="A14" s="1"/>
      <c r="B14" s="1"/>
      <c r="C14" s="1"/>
      <c r="D14" s="1"/>
      <c r="E14" s="20" t="s">
        <v>23</v>
      </c>
      <c r="F14" s="21">
        <f>C15-F4</f>
        <v>410778</v>
      </c>
      <c r="G14" s="1"/>
      <c r="H14" s="22"/>
      <c r="I14" s="23"/>
      <c r="J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6.5" x14ac:dyDescent="0.3">
      <c r="A15" s="1"/>
      <c r="B15" s="12" t="s">
        <v>7</v>
      </c>
      <c r="C15" s="13">
        <f>SUM(C16:C18)+C10</f>
        <v>430778</v>
      </c>
      <c r="D15" s="1"/>
      <c r="E15" s="1"/>
      <c r="F15" s="3"/>
      <c r="G15" s="1"/>
      <c r="H15" s="22"/>
      <c r="I15" s="23"/>
      <c r="J15" s="1"/>
      <c r="K15" s="9" t="s">
        <v>38</v>
      </c>
      <c r="L15" s="27">
        <f>I9</f>
        <v>147084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6.5" x14ac:dyDescent="0.3">
      <c r="A16" s="1"/>
      <c r="B16" s="10" t="s">
        <v>42</v>
      </c>
      <c r="C16" s="11">
        <v>100000</v>
      </c>
      <c r="D16" s="1"/>
      <c r="E16" s="20" t="s">
        <v>24</v>
      </c>
      <c r="F16" s="21">
        <f>C15-F7-F4</f>
        <v>284524</v>
      </c>
      <c r="G16" s="1"/>
      <c r="J16" s="1"/>
      <c r="K16" s="9" t="s">
        <v>37</v>
      </c>
      <c r="L16" s="27">
        <f>L13-L15</f>
        <v>227450.57500000001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6.5" x14ac:dyDescent="0.3">
      <c r="A17" s="1"/>
      <c r="B17" s="10" t="s">
        <v>43</v>
      </c>
      <c r="C17" s="11">
        <v>40000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6.5" x14ac:dyDescent="0.3">
      <c r="A18" s="1"/>
      <c r="B18" s="22"/>
      <c r="C18" s="23"/>
      <c r="D18" s="1"/>
      <c r="E18" s="18" t="s">
        <v>44</v>
      </c>
      <c r="F18" s="18"/>
      <c r="G18" s="1"/>
      <c r="H18" s="1"/>
      <c r="I18" s="1"/>
      <c r="J18" s="1"/>
      <c r="K18" s="9" t="s">
        <v>39</v>
      </c>
      <c r="L18" s="27">
        <f>I11</f>
        <v>118354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6.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9" t="s">
        <v>37</v>
      </c>
      <c r="L19" s="27">
        <f>L16-L18</f>
        <v>109096.57500000001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6.5" x14ac:dyDescent="0.3">
      <c r="A20" s="1"/>
      <c r="B20" s="2" t="s">
        <v>10</v>
      </c>
      <c r="C20" s="4">
        <f>C4-C13</f>
        <v>5500</v>
      </c>
      <c r="D20" s="1"/>
      <c r="E20" s="18" t="s">
        <v>47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x14ac:dyDescent="0.3">
      <c r="A21" s="1"/>
      <c r="B21" s="2" t="s">
        <v>11</v>
      </c>
      <c r="C21" s="4">
        <v>3300</v>
      </c>
      <c r="D21" s="1"/>
      <c r="E21" s="1"/>
      <c r="F21" s="1"/>
      <c r="G21" s="1"/>
      <c r="H21" s="1"/>
      <c r="I21" s="1"/>
      <c r="J21" s="1"/>
      <c r="K21" s="9" t="s">
        <v>40</v>
      </c>
      <c r="L21" s="27">
        <f>I13</f>
        <v>124354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6.5" x14ac:dyDescent="0.3">
      <c r="A22" s="1"/>
      <c r="B22" s="2" t="s">
        <v>15</v>
      </c>
      <c r="C22" s="4">
        <v>1500</v>
      </c>
      <c r="D22" s="1"/>
      <c r="E22" s="1"/>
      <c r="F22" s="1"/>
      <c r="G22" s="1"/>
      <c r="H22" s="1"/>
      <c r="I22" s="1"/>
      <c r="J22" s="1"/>
      <c r="K22" s="9" t="s">
        <v>37</v>
      </c>
      <c r="L22" s="27">
        <f>L19-L21</f>
        <v>-15257.424999999988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6.5" x14ac:dyDescent="0.3">
      <c r="A23" s="1"/>
      <c r="B23" s="14" t="s">
        <v>12</v>
      </c>
      <c r="C23" s="15">
        <f>(C20+C21)-C22</f>
        <v>7300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6.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6.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6.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6.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6.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6.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6.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6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6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6.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6.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6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6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6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6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6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6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6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6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6.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6.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6.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6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6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6.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6.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6.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6.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6.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6.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6.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6.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6.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6.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6.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6.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6.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6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6.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6.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6.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6.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6.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6.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6.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6.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6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6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6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6.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6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6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6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6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6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6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6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6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6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6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6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6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6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6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6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6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6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6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6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6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6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6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6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6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6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6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6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6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6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6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6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6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6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6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6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6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6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6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6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6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6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6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6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6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6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6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6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6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6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6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6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6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6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6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6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6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6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6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6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6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</sheetData>
  <mergeCells count="1">
    <mergeCell ref="B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Santander</vt:lpstr>
      <vt:lpstr>Scotiabank - Valora</vt:lpstr>
      <vt:lpstr>Scotiabank - Pago oportuno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Maria (MEX-WSW)</dc:creator>
  <cp:lastModifiedBy>Alex Barrios</cp:lastModifiedBy>
  <dcterms:created xsi:type="dcterms:W3CDTF">2021-08-02T19:45:09Z</dcterms:created>
  <dcterms:modified xsi:type="dcterms:W3CDTF">2021-10-27T06:26:34Z</dcterms:modified>
</cp:coreProperties>
</file>