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Proiecte incepute\OGame calc\"/>
    </mc:Choice>
  </mc:AlternateContent>
  <bookViews>
    <workbookView xWindow="0" yWindow="0" windowWidth="24000" windowHeight="9780" activeTab="9"/>
  </bookViews>
  <sheets>
    <sheet name="Calculator" sheetId="4" r:id="rId1"/>
    <sheet name="Overview" sheetId="8" r:id="rId2"/>
    <sheet name="Admiral Hunter info" sheetId="11" r:id="rId3"/>
    <sheet name="Resources" sheetId="1" r:id="rId4"/>
    <sheet name="Ships&amp;Defence" sheetId="2" r:id="rId5"/>
    <sheet name="Details" sheetId="7" r:id="rId6"/>
    <sheet name="Research" sheetId="10" r:id="rId7"/>
    <sheet name="Sheet1" sheetId="13" r:id="rId8"/>
    <sheet name="Requests" sheetId="12" r:id="rId9"/>
    <sheet name="Costuri - cladiri" sheetId="9" r:id="rId10"/>
  </sheets>
  <definedNames>
    <definedName name="AAAA1">Requests!$H$12</definedName>
    <definedName name="d99999999999">Requests!$D$26</definedName>
    <definedName name="Planet.1">#REF!</definedName>
    <definedName name="Planet.10">#REF!</definedName>
    <definedName name="Planet.11">#REF!</definedName>
    <definedName name="Planet.12">#REF!</definedName>
    <definedName name="Planet.13">#REF!</definedName>
    <definedName name="Planet.14">#REF!</definedName>
    <definedName name="Planet.15">#REF!</definedName>
    <definedName name="Planet.16">#REF!</definedName>
    <definedName name="Planet.17">#REF!</definedName>
    <definedName name="Planet.18">#REF!</definedName>
    <definedName name="Planet.19">#REF!</definedName>
    <definedName name="Planet.2">#REF!</definedName>
    <definedName name="Planet.20">#REF!</definedName>
    <definedName name="Planet.3">#REF!</definedName>
    <definedName name="Planet.4">#REF!</definedName>
    <definedName name="Planet.5">#REF!</definedName>
    <definedName name="Planet.6">#REF!</definedName>
    <definedName name="Planet.7">#REF!</definedName>
    <definedName name="Planet.8">#REF!</definedName>
    <definedName name="Planet.9">#REF!</definedName>
    <definedName name="Planets">#REF!</definedName>
    <definedName name="XXX1">Requests!$CCC$1</definedName>
    <definedName name="ZZA">Requests!$CCC$1</definedName>
    <definedName name="ZZA1">Requests!$CBM$6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9" l="1"/>
  <c r="F22" i="9"/>
  <c r="F23" i="9"/>
  <c r="F24" i="9"/>
  <c r="F25" i="9"/>
  <c r="F26" i="9"/>
  <c r="F27" i="9"/>
  <c r="F28" i="9"/>
  <c r="F29" i="9"/>
  <c r="F20" i="9"/>
  <c r="X7" i="9"/>
  <c r="X8" i="9"/>
  <c r="X9" i="9"/>
  <c r="X10" i="9"/>
  <c r="X11" i="9"/>
  <c r="X12" i="9"/>
  <c r="X13" i="9"/>
  <c r="B2" i="11"/>
  <c r="J2" i="11"/>
  <c r="R2" i="11"/>
  <c r="Z2" i="11"/>
  <c r="AH2" i="11"/>
  <c r="M15" i="4" l="1"/>
  <c r="N15" i="4" s="1"/>
  <c r="O15" i="4" s="1"/>
  <c r="K15" i="4"/>
  <c r="F6" i="8" l="1"/>
  <c r="G6" i="8"/>
  <c r="H6" i="8"/>
  <c r="I6" i="8"/>
  <c r="J6" i="8"/>
  <c r="K6" i="8"/>
  <c r="E5" i="8"/>
  <c r="F5" i="8"/>
  <c r="G5" i="8"/>
  <c r="H5" i="8"/>
  <c r="I5" i="8"/>
  <c r="J5" i="8"/>
  <c r="K5" i="8"/>
  <c r="M5" i="8"/>
  <c r="N5" i="8"/>
  <c r="O5" i="8"/>
  <c r="P5" i="8"/>
  <c r="Q5" i="8"/>
  <c r="R5" i="8"/>
  <c r="S5" i="8"/>
  <c r="T5" i="8"/>
  <c r="U5" i="8"/>
  <c r="V5" i="8"/>
  <c r="W5" i="8"/>
  <c r="X5" i="8"/>
  <c r="L5" i="8"/>
  <c r="N6" i="9" l="1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5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5" i="9"/>
  <c r="M6" i="9"/>
  <c r="M7" i="9"/>
  <c r="M8" i="9"/>
  <c r="M9" i="9"/>
  <c r="M10" i="9"/>
  <c r="M11" i="9"/>
  <c r="M12" i="9"/>
  <c r="M13" i="9"/>
  <c r="M4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7" i="9"/>
  <c r="L17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L5" i="9"/>
  <c r="K5" i="9"/>
  <c r="L4" i="9"/>
  <c r="K4" i="9"/>
  <c r="G36" i="1" l="1"/>
  <c r="F36" i="1"/>
  <c r="E36" i="1"/>
  <c r="K27" i="8" l="1"/>
  <c r="R13" i="2" l="1"/>
  <c r="R14" i="2"/>
  <c r="R15" i="2"/>
  <c r="R16" i="2"/>
  <c r="R3" i="2"/>
  <c r="R4" i="2"/>
  <c r="R5" i="2"/>
  <c r="R6" i="2"/>
  <c r="R7" i="2"/>
  <c r="R8" i="2"/>
  <c r="R9" i="2"/>
  <c r="R10" i="2"/>
  <c r="R11" i="2"/>
  <c r="R12" i="2"/>
  <c r="G20" i="10" l="1"/>
  <c r="J24" i="8" l="1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J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C12" i="4" l="1"/>
  <c r="D10" i="4" l="1"/>
  <c r="D8" i="4"/>
  <c r="F27" i="8" l="1"/>
  <c r="G27" i="8"/>
  <c r="H27" i="8"/>
  <c r="I27" i="8"/>
  <c r="F24" i="8"/>
  <c r="G24" i="8"/>
  <c r="H24" i="8"/>
  <c r="I24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E27" i="8"/>
  <c r="E24" i="8"/>
  <c r="E21" i="8"/>
  <c r="C5" i="9" l="1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D4" i="9"/>
  <c r="C4" i="9"/>
  <c r="F7" i="13" l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E7" i="13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F6" i="13"/>
  <c r="E6" i="13"/>
  <c r="V9" i="2"/>
  <c r="V10" i="2"/>
  <c r="V8" i="2"/>
  <c r="O9" i="2" s="1"/>
  <c r="V6" i="2"/>
  <c r="V7" i="2"/>
  <c r="V5" i="2"/>
  <c r="M3" i="2" l="1"/>
  <c r="N3" i="2"/>
  <c r="O3" i="2"/>
  <c r="P3" i="2"/>
  <c r="S3" i="2"/>
  <c r="M4" i="2"/>
  <c r="N4" i="2"/>
  <c r="O4" i="2"/>
  <c r="P4" i="2"/>
  <c r="S4" i="2"/>
  <c r="M5" i="2"/>
  <c r="N5" i="2"/>
  <c r="O5" i="2"/>
  <c r="P5" i="2"/>
  <c r="S5" i="2"/>
  <c r="M6" i="2"/>
  <c r="N6" i="2"/>
  <c r="O6" i="2"/>
  <c r="P6" i="2"/>
  <c r="S6" i="2"/>
  <c r="M7" i="2"/>
  <c r="N7" i="2"/>
  <c r="O7" i="2"/>
  <c r="P7" i="2"/>
  <c r="S7" i="2"/>
  <c r="M8" i="2"/>
  <c r="N8" i="2"/>
  <c r="O8" i="2"/>
  <c r="P8" i="2"/>
  <c r="S8" i="2"/>
  <c r="M9" i="2"/>
  <c r="N9" i="2"/>
  <c r="P9" i="2"/>
  <c r="S9" i="2"/>
  <c r="M10" i="2"/>
  <c r="N10" i="2"/>
  <c r="O10" i="2"/>
  <c r="P10" i="2"/>
  <c r="S10" i="2"/>
  <c r="M11" i="2"/>
  <c r="N11" i="2"/>
  <c r="O11" i="2"/>
  <c r="P11" i="2"/>
  <c r="S11" i="2"/>
  <c r="M12" i="2"/>
  <c r="N12" i="2"/>
  <c r="O12" i="2"/>
  <c r="P12" i="2"/>
  <c r="S12" i="2"/>
  <c r="M13" i="2"/>
  <c r="N13" i="2"/>
  <c r="O13" i="2"/>
  <c r="P13" i="2"/>
  <c r="S13" i="2"/>
  <c r="M14" i="2"/>
  <c r="N14" i="2"/>
  <c r="O14" i="2"/>
  <c r="P14" i="2"/>
  <c r="S14" i="2"/>
  <c r="M15" i="2"/>
  <c r="N15" i="2"/>
  <c r="O15" i="2"/>
  <c r="P15" i="2"/>
  <c r="S15" i="2"/>
  <c r="M16" i="2"/>
  <c r="N16" i="2"/>
  <c r="O16" i="2"/>
  <c r="P16" i="2"/>
  <c r="D12" i="4"/>
  <c r="S16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L5" i="4" l="1"/>
  <c r="AX12" i="11" l="1"/>
  <c r="AP12" i="11"/>
  <c r="AH12" i="11"/>
  <c r="Z12" i="11"/>
  <c r="R12" i="11"/>
  <c r="J12" i="11"/>
  <c r="B12" i="11"/>
  <c r="AX7" i="11"/>
  <c r="AP7" i="11"/>
  <c r="AH7" i="11"/>
  <c r="Z7" i="11"/>
  <c r="AX2" i="11"/>
  <c r="AP2" i="11"/>
  <c r="R7" i="11"/>
  <c r="J7" i="11"/>
  <c r="B7" i="11"/>
  <c r="L16" i="8" l="1"/>
  <c r="M16" i="8"/>
  <c r="N16" i="8"/>
  <c r="O16" i="8"/>
  <c r="P16" i="8"/>
  <c r="Q16" i="8"/>
  <c r="R16" i="8"/>
  <c r="S16" i="8"/>
  <c r="T16" i="8"/>
  <c r="U16" i="8"/>
  <c r="V16" i="8"/>
  <c r="W16" i="8"/>
  <c r="X16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BC6" i="10"/>
  <c r="BC7" i="10" s="1"/>
  <c r="BC8" i="10" s="1"/>
  <c r="BC9" i="10" s="1"/>
  <c r="BC10" i="10" s="1"/>
  <c r="BC11" i="10" s="1"/>
  <c r="BC12" i="10" s="1"/>
  <c r="BD6" i="10"/>
  <c r="BD7" i="10" s="1"/>
  <c r="BD8" i="10" s="1"/>
  <c r="BD9" i="10" s="1"/>
  <c r="BD10" i="10" s="1"/>
  <c r="BD11" i="10" s="1"/>
  <c r="BD12" i="10" s="1"/>
  <c r="BE6" i="10"/>
  <c r="BE7" i="10"/>
  <c r="BE8" i="10"/>
  <c r="BE9" i="10" s="1"/>
  <c r="BE10" i="10" s="1"/>
  <c r="BE11" i="10" s="1"/>
  <c r="BE12" i="10" s="1"/>
  <c r="BD5" i="10"/>
  <c r="BE5" i="10"/>
  <c r="BC5" i="10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L3" i="4"/>
  <c r="J7" i="4"/>
  <c r="K7" i="4"/>
  <c r="D19" i="4" l="1"/>
  <c r="D18" i="4"/>
  <c r="M4" i="7"/>
  <c r="P4" i="7" l="1"/>
  <c r="P5" i="7"/>
  <c r="P6" i="7"/>
  <c r="M10" i="7"/>
  <c r="M9" i="7"/>
  <c r="M8" i="7"/>
  <c r="M7" i="7"/>
  <c r="M6" i="7"/>
  <c r="M5" i="7"/>
  <c r="M21" i="7"/>
  <c r="M22" i="7"/>
  <c r="M23" i="7"/>
  <c r="M24" i="7"/>
  <c r="M25" i="7"/>
  <c r="M26" i="7"/>
  <c r="M27" i="7"/>
  <c r="M28" i="7"/>
  <c r="M11" i="7"/>
  <c r="M12" i="7"/>
  <c r="M13" i="7"/>
  <c r="M14" i="7"/>
  <c r="M15" i="7"/>
  <c r="M16" i="7"/>
  <c r="M17" i="7"/>
  <c r="M18" i="7"/>
  <c r="M19" i="7"/>
  <c r="M20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4" i="7"/>
  <c r="J4" i="7"/>
  <c r="J19" i="7"/>
  <c r="J20" i="7"/>
  <c r="J21" i="7"/>
  <c r="J22" i="7"/>
  <c r="J23" i="7"/>
  <c r="J24" i="7"/>
  <c r="J25" i="7"/>
  <c r="J26" i="7"/>
  <c r="J27" i="7"/>
  <c r="J28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BQ6" i="10"/>
  <c r="BQ7" i="10" s="1"/>
  <c r="BQ8" i="10" s="1"/>
  <c r="BQ9" i="10" s="1"/>
  <c r="BQ10" i="10" s="1"/>
  <c r="BQ11" i="10" s="1"/>
  <c r="BQ12" i="10" s="1"/>
  <c r="BQ13" i="10" s="1"/>
  <c r="BQ14" i="10" s="1"/>
  <c r="BQ15" i="10" s="1"/>
  <c r="BQ16" i="10" s="1"/>
  <c r="BQ17" i="10" s="1"/>
  <c r="BQ18" i="10" s="1"/>
  <c r="BR6" i="10"/>
  <c r="BR7" i="10" s="1"/>
  <c r="BR8" i="10" s="1"/>
  <c r="BR9" i="10" s="1"/>
  <c r="BR10" i="10" s="1"/>
  <c r="BR11" i="10" s="1"/>
  <c r="BR12" i="10" s="1"/>
  <c r="BR13" i="10" s="1"/>
  <c r="BR14" i="10" s="1"/>
  <c r="BR15" i="10" s="1"/>
  <c r="BR16" i="10" s="1"/>
  <c r="BR17" i="10" s="1"/>
  <c r="BR18" i="10" s="1"/>
  <c r="BR5" i="10"/>
  <c r="BQ5" i="10"/>
  <c r="BM6" i="10"/>
  <c r="BN6" i="10"/>
  <c r="BN7" i="10" s="1"/>
  <c r="BN8" i="10" s="1"/>
  <c r="BN9" i="10" s="1"/>
  <c r="BN10" i="10" s="1"/>
  <c r="BN11" i="10" s="1"/>
  <c r="BN12" i="10" s="1"/>
  <c r="BN13" i="10" s="1"/>
  <c r="BN14" i="10" s="1"/>
  <c r="BN15" i="10" s="1"/>
  <c r="BN16" i="10" s="1"/>
  <c r="BN17" i="10" s="1"/>
  <c r="BN18" i="10" s="1"/>
  <c r="BM7" i="10"/>
  <c r="BM8" i="10"/>
  <c r="BM9" i="10"/>
  <c r="BM10" i="10" s="1"/>
  <c r="BM11" i="10" s="1"/>
  <c r="BM12" i="10" s="1"/>
  <c r="BM13" i="10" s="1"/>
  <c r="BM14" i="10" s="1"/>
  <c r="BM15" i="10" s="1"/>
  <c r="BM16" i="10" s="1"/>
  <c r="BM17" i="10" s="1"/>
  <c r="BM18" i="10" s="1"/>
  <c r="BN5" i="10"/>
  <c r="BM5" i="10"/>
  <c r="BH6" i="10"/>
  <c r="BI6" i="10"/>
  <c r="BJ6" i="10"/>
  <c r="BH7" i="10"/>
  <c r="BI7" i="10"/>
  <c r="BJ7" i="10"/>
  <c r="BJ8" i="10" s="1"/>
  <c r="BJ9" i="10" s="1"/>
  <c r="BJ10" i="10" s="1"/>
  <c r="BJ11" i="10" s="1"/>
  <c r="BJ12" i="10" s="1"/>
  <c r="BJ13" i="10" s="1"/>
  <c r="BJ14" i="10" s="1"/>
  <c r="BJ15" i="10" s="1"/>
  <c r="BJ16" i="10" s="1"/>
  <c r="BJ17" i="10" s="1"/>
  <c r="BJ18" i="10" s="1"/>
  <c r="BH8" i="10"/>
  <c r="BH9" i="10" s="1"/>
  <c r="BH10" i="10" s="1"/>
  <c r="BH11" i="10" s="1"/>
  <c r="BH12" i="10" s="1"/>
  <c r="BH13" i="10" s="1"/>
  <c r="BH14" i="10" s="1"/>
  <c r="BH15" i="10" s="1"/>
  <c r="BH16" i="10" s="1"/>
  <c r="BH17" i="10" s="1"/>
  <c r="BH18" i="10" s="1"/>
  <c r="BI8" i="10"/>
  <c r="BI9" i="10" s="1"/>
  <c r="BI10" i="10" s="1"/>
  <c r="BI11" i="10" s="1"/>
  <c r="BI12" i="10" s="1"/>
  <c r="BI13" i="10" s="1"/>
  <c r="BI14" i="10" s="1"/>
  <c r="BI15" i="10" s="1"/>
  <c r="BI16" i="10" s="1"/>
  <c r="BI17" i="10" s="1"/>
  <c r="BI18" i="10" s="1"/>
  <c r="BI5" i="10"/>
  <c r="BJ5" i="10"/>
  <c r="BH5" i="10"/>
  <c r="BD13" i="10"/>
  <c r="BD14" i="10" s="1"/>
  <c r="BD15" i="10" s="1"/>
  <c r="BD16" i="10" s="1"/>
  <c r="BD17" i="10" s="1"/>
  <c r="BD18" i="10" s="1"/>
  <c r="BE13" i="10"/>
  <c r="BE14" i="10" s="1"/>
  <c r="BE15" i="10" s="1"/>
  <c r="BE16" i="10" s="1"/>
  <c r="BE17" i="10" s="1"/>
  <c r="BE18" i="10" s="1"/>
  <c r="BC13" i="10"/>
  <c r="BC14" i="10" s="1"/>
  <c r="BC15" i="10" s="1"/>
  <c r="BC16" i="10" s="1"/>
  <c r="BC17" i="10" s="1"/>
  <c r="BC18" i="10" s="1"/>
  <c r="AZ8" i="10"/>
  <c r="AZ9" i="10" s="1"/>
  <c r="AZ10" i="10" s="1"/>
  <c r="AZ11" i="10" s="1"/>
  <c r="AZ12" i="10" s="1"/>
  <c r="AZ13" i="10" s="1"/>
  <c r="AZ14" i="10" s="1"/>
  <c r="AZ15" i="10" s="1"/>
  <c r="AZ16" i="10" s="1"/>
  <c r="AZ17" i="10" s="1"/>
  <c r="AZ18" i="10" s="1"/>
  <c r="AY9" i="10"/>
  <c r="AY10" i="10" s="1"/>
  <c r="AY11" i="10" s="1"/>
  <c r="AY12" i="10" s="1"/>
  <c r="AY13" i="10" s="1"/>
  <c r="AY14" i="10" s="1"/>
  <c r="AY15" i="10" s="1"/>
  <c r="AY16" i="10" s="1"/>
  <c r="AY17" i="10" s="1"/>
  <c r="AY18" i="10" s="1"/>
  <c r="AY8" i="10"/>
  <c r="AZ7" i="10"/>
  <c r="AY7" i="10"/>
  <c r="AY6" i="10"/>
  <c r="AZ6" i="10"/>
  <c r="AZ5" i="10"/>
  <c r="AY5" i="10"/>
  <c r="AV6" i="10"/>
  <c r="AV7" i="10"/>
  <c r="AV8" i="10" s="1"/>
  <c r="AV9" i="10" s="1"/>
  <c r="AV10" i="10" s="1"/>
  <c r="AV11" i="10" s="1"/>
  <c r="AV12" i="10" s="1"/>
  <c r="AV13" i="10" s="1"/>
  <c r="AV14" i="10" s="1"/>
  <c r="AV15" i="10" s="1"/>
  <c r="AV16" i="10" s="1"/>
  <c r="AV17" i="10" s="1"/>
  <c r="AV18" i="10" s="1"/>
  <c r="AV5" i="10"/>
  <c r="AQ6" i="10"/>
  <c r="AR6" i="10"/>
  <c r="AQ7" i="10"/>
  <c r="AR7" i="10"/>
  <c r="AQ8" i="10"/>
  <c r="AQ9" i="10" s="1"/>
  <c r="AQ10" i="10" s="1"/>
  <c r="AQ11" i="10" s="1"/>
  <c r="AQ12" i="10" s="1"/>
  <c r="AQ13" i="10" s="1"/>
  <c r="AQ14" i="10" s="1"/>
  <c r="AQ15" i="10" s="1"/>
  <c r="AQ16" i="10" s="1"/>
  <c r="AQ17" i="10" s="1"/>
  <c r="AQ18" i="10" s="1"/>
  <c r="AR8" i="10"/>
  <c r="AR9" i="10" s="1"/>
  <c r="AR10" i="10" s="1"/>
  <c r="AR11" i="10" s="1"/>
  <c r="AR12" i="10" s="1"/>
  <c r="AR13" i="10" s="1"/>
  <c r="AR14" i="10" s="1"/>
  <c r="AR15" i="10" s="1"/>
  <c r="AR16" i="10" s="1"/>
  <c r="AR17" i="10" s="1"/>
  <c r="AR18" i="10" s="1"/>
  <c r="AS5" i="10"/>
  <c r="AS6" i="10" s="1"/>
  <c r="AS7" i="10" s="1"/>
  <c r="AS8" i="10" s="1"/>
  <c r="AS9" i="10" s="1"/>
  <c r="AS10" i="10" s="1"/>
  <c r="AS11" i="10" s="1"/>
  <c r="AS12" i="10" s="1"/>
  <c r="AS13" i="10" s="1"/>
  <c r="AS14" i="10" s="1"/>
  <c r="AS15" i="10" s="1"/>
  <c r="AS16" i="10" s="1"/>
  <c r="AS17" i="10" s="1"/>
  <c r="AS18" i="10" s="1"/>
  <c r="AR5" i="10"/>
  <c r="AQ5" i="10"/>
  <c r="AM5" i="10"/>
  <c r="AN5" i="10"/>
  <c r="AL5" i="10"/>
  <c r="AH6" i="10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I5" i="10"/>
  <c r="AI6" i="10" s="1"/>
  <c r="AI7" i="10" s="1"/>
  <c r="AI8" i="10" s="1"/>
  <c r="AI9" i="10" s="1"/>
  <c r="AI10" i="10" s="1"/>
  <c r="AI11" i="10" s="1"/>
  <c r="AI12" i="10" s="1"/>
  <c r="AI13" i="10" s="1"/>
  <c r="AI14" i="10" s="1"/>
  <c r="AI15" i="10" s="1"/>
  <c r="AI16" i="10" s="1"/>
  <c r="AI17" i="10" s="1"/>
  <c r="AI18" i="10" s="1"/>
  <c r="AH5" i="10"/>
  <c r="AD5" i="10"/>
  <c r="AD6" i="10" s="1"/>
  <c r="AD7" i="10" s="1"/>
  <c r="AD8" i="10" s="1"/>
  <c r="AD9" i="10" s="1"/>
  <c r="AD10" i="10" s="1"/>
  <c r="AD11" i="10" s="1"/>
  <c r="AD12" i="10" s="1"/>
  <c r="AD13" i="10" s="1"/>
  <c r="AD14" i="10" s="1"/>
  <c r="AD15" i="10" s="1"/>
  <c r="AD16" i="10" s="1"/>
  <c r="AD17" i="10" s="1"/>
  <c r="AD18" i="10" s="1"/>
  <c r="AE5" i="10"/>
  <c r="AE6" i="10" s="1"/>
  <c r="AE7" i="10" s="1"/>
  <c r="AE8" i="10" s="1"/>
  <c r="AE9" i="10" s="1"/>
  <c r="AE10" i="10" s="1"/>
  <c r="AE11" i="10" s="1"/>
  <c r="AE12" i="10" s="1"/>
  <c r="AE13" i="10" s="1"/>
  <c r="AE14" i="10" s="1"/>
  <c r="AE15" i="10" s="1"/>
  <c r="AE16" i="10" s="1"/>
  <c r="AE17" i="10" s="1"/>
  <c r="AE18" i="10" s="1"/>
  <c r="AC5" i="10"/>
  <c r="AC6" i="10" s="1"/>
  <c r="AC7" i="10" s="1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X6" i="10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Y6" i="10"/>
  <c r="Z6" i="10"/>
  <c r="Y7" i="10"/>
  <c r="Z7" i="10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Y8" i="10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5" i="10"/>
  <c r="Z5" i="10"/>
  <c r="X5" i="10"/>
  <c r="T6" i="10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U6" i="10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5" i="10"/>
  <c r="T5" i="10"/>
  <c r="O6" i="10"/>
  <c r="P6" i="10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Q6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Q7" i="10"/>
  <c r="Q8" i="10"/>
  <c r="Q9" i="10"/>
  <c r="Q10" i="10" s="1"/>
  <c r="Q11" i="10" s="1"/>
  <c r="Q12" i="10" s="1"/>
  <c r="Q13" i="10" s="1"/>
  <c r="Q14" i="10" s="1"/>
  <c r="Q15" i="10" s="1"/>
  <c r="Q16" i="10" s="1"/>
  <c r="Q17" i="10" s="1"/>
  <c r="Q18" i="10" s="1"/>
  <c r="Q5" i="10"/>
  <c r="P5" i="10"/>
  <c r="O5" i="10"/>
  <c r="L5" i="10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K5" i="10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BU6" i="10"/>
  <c r="BU7" i="10"/>
  <c r="BU8" i="10" s="1"/>
  <c r="BU9" i="10" s="1"/>
  <c r="BU10" i="10" s="1"/>
  <c r="BU11" i="10" s="1"/>
  <c r="BU12" i="10" s="1"/>
  <c r="BU13" i="10" s="1"/>
  <c r="BU14" i="10" s="1"/>
  <c r="BU15" i="10" s="1"/>
  <c r="BU16" i="10" s="1"/>
  <c r="BU17" i="10" s="1"/>
  <c r="BU18" i="10" s="1"/>
  <c r="BU5" i="10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CB5" i="9"/>
  <c r="CB6" i="9" s="1"/>
  <c r="CB7" i="9" s="1"/>
  <c r="CB8" i="9" s="1"/>
  <c r="CB9" i="9" s="1"/>
  <c r="CB10" i="9" s="1"/>
  <c r="CB11" i="9" s="1"/>
  <c r="CB12" i="9" s="1"/>
  <c r="CB13" i="9" s="1"/>
  <c r="CB14" i="9" s="1"/>
  <c r="CB15" i="9" s="1"/>
  <c r="CB16" i="9" s="1"/>
  <c r="CB17" i="9" s="1"/>
  <c r="CB18" i="9" s="1"/>
  <c r="CB19" i="9" s="1"/>
  <c r="CB20" i="9" s="1"/>
  <c r="CB21" i="9" s="1"/>
  <c r="CB22" i="9" s="1"/>
  <c r="CB23" i="9" s="1"/>
  <c r="CB24" i="9" s="1"/>
  <c r="CB25" i="9" s="1"/>
  <c r="CB26" i="9" s="1"/>
  <c r="CB27" i="9" s="1"/>
  <c r="CB28" i="9" s="1"/>
  <c r="CB29" i="9" s="1"/>
  <c r="CB30" i="9" s="1"/>
  <c r="CB31" i="9" s="1"/>
  <c r="CB32" i="9" s="1"/>
  <c r="CB33" i="9" s="1"/>
  <c r="CA5" i="9"/>
  <c r="CA6" i="9" s="1"/>
  <c r="CA7" i="9" s="1"/>
  <c r="CA8" i="9" s="1"/>
  <c r="CA9" i="9" s="1"/>
  <c r="CA10" i="9" s="1"/>
  <c r="CA11" i="9" s="1"/>
  <c r="CA12" i="9" s="1"/>
  <c r="CA13" i="9" s="1"/>
  <c r="CA14" i="9" s="1"/>
  <c r="CA15" i="9" s="1"/>
  <c r="CA16" i="9" s="1"/>
  <c r="CA17" i="9" s="1"/>
  <c r="CA18" i="9" s="1"/>
  <c r="CA19" i="9" s="1"/>
  <c r="CA20" i="9" s="1"/>
  <c r="CA21" i="9" s="1"/>
  <c r="CA22" i="9" s="1"/>
  <c r="CA23" i="9" s="1"/>
  <c r="CA24" i="9" s="1"/>
  <c r="CA25" i="9" s="1"/>
  <c r="CA26" i="9" s="1"/>
  <c r="CA27" i="9" s="1"/>
  <c r="CA28" i="9" s="1"/>
  <c r="CA29" i="9" s="1"/>
  <c r="CA30" i="9" s="1"/>
  <c r="CA31" i="9" s="1"/>
  <c r="CA32" i="9" s="1"/>
  <c r="CA33" i="9" s="1"/>
  <c r="BZ5" i="9"/>
  <c r="BZ6" i="9" s="1"/>
  <c r="BZ7" i="9" s="1"/>
  <c r="BZ8" i="9" s="1"/>
  <c r="BZ9" i="9" s="1"/>
  <c r="BZ10" i="9" s="1"/>
  <c r="BZ11" i="9" s="1"/>
  <c r="BZ12" i="9" s="1"/>
  <c r="BZ13" i="9" s="1"/>
  <c r="BZ14" i="9" s="1"/>
  <c r="BZ15" i="9" s="1"/>
  <c r="BZ16" i="9" s="1"/>
  <c r="BZ17" i="9" s="1"/>
  <c r="BZ18" i="9" s="1"/>
  <c r="BZ19" i="9" s="1"/>
  <c r="BZ20" i="9" s="1"/>
  <c r="BZ21" i="9" s="1"/>
  <c r="BZ22" i="9" s="1"/>
  <c r="BZ23" i="9" s="1"/>
  <c r="BZ24" i="9" s="1"/>
  <c r="BZ25" i="9" s="1"/>
  <c r="BZ26" i="9" s="1"/>
  <c r="BZ27" i="9" s="1"/>
  <c r="BZ28" i="9" s="1"/>
  <c r="BZ29" i="9" s="1"/>
  <c r="BZ30" i="9" s="1"/>
  <c r="BZ31" i="9" s="1"/>
  <c r="BZ32" i="9" s="1"/>
  <c r="BZ33" i="9" s="1"/>
  <c r="BU6" i="9"/>
  <c r="BU7" i="9" s="1"/>
  <c r="BU8" i="9" s="1"/>
  <c r="BU9" i="9" s="1"/>
  <c r="BU10" i="9" s="1"/>
  <c r="BU11" i="9" s="1"/>
  <c r="BU12" i="9" s="1"/>
  <c r="BU13" i="9" s="1"/>
  <c r="BU14" i="9" s="1"/>
  <c r="BU15" i="9" s="1"/>
  <c r="BU16" i="9" s="1"/>
  <c r="BU17" i="9" s="1"/>
  <c r="BU18" i="9" s="1"/>
  <c r="BU19" i="9" s="1"/>
  <c r="BU20" i="9" s="1"/>
  <c r="BU21" i="9" s="1"/>
  <c r="BU22" i="9" s="1"/>
  <c r="BU23" i="9" s="1"/>
  <c r="BU24" i="9" s="1"/>
  <c r="BU25" i="9" s="1"/>
  <c r="BU26" i="9" s="1"/>
  <c r="BU27" i="9" s="1"/>
  <c r="BU28" i="9" s="1"/>
  <c r="BU29" i="9" s="1"/>
  <c r="BU30" i="9" s="1"/>
  <c r="BU31" i="9" s="1"/>
  <c r="BU32" i="9" s="1"/>
  <c r="BU33" i="9" s="1"/>
  <c r="BW5" i="9"/>
  <c r="BW6" i="9" s="1"/>
  <c r="BW7" i="9" s="1"/>
  <c r="BW8" i="9" s="1"/>
  <c r="BW9" i="9" s="1"/>
  <c r="BW10" i="9" s="1"/>
  <c r="BW11" i="9" s="1"/>
  <c r="BW12" i="9" s="1"/>
  <c r="BW13" i="9" s="1"/>
  <c r="BW14" i="9" s="1"/>
  <c r="BW15" i="9" s="1"/>
  <c r="BW16" i="9" s="1"/>
  <c r="BW17" i="9" s="1"/>
  <c r="BW18" i="9" s="1"/>
  <c r="BW19" i="9" s="1"/>
  <c r="BW20" i="9" s="1"/>
  <c r="BW21" i="9" s="1"/>
  <c r="BW22" i="9" s="1"/>
  <c r="BW23" i="9" s="1"/>
  <c r="BW24" i="9" s="1"/>
  <c r="BW25" i="9" s="1"/>
  <c r="BW26" i="9" s="1"/>
  <c r="BW27" i="9" s="1"/>
  <c r="BW28" i="9" s="1"/>
  <c r="BW29" i="9" s="1"/>
  <c r="BW30" i="9" s="1"/>
  <c r="BW31" i="9" s="1"/>
  <c r="BW32" i="9" s="1"/>
  <c r="BW33" i="9" s="1"/>
  <c r="BV5" i="9"/>
  <c r="BV6" i="9" s="1"/>
  <c r="BV7" i="9" s="1"/>
  <c r="BV8" i="9" s="1"/>
  <c r="BV9" i="9" s="1"/>
  <c r="BV10" i="9" s="1"/>
  <c r="BV11" i="9" s="1"/>
  <c r="BV12" i="9" s="1"/>
  <c r="BV13" i="9" s="1"/>
  <c r="BV14" i="9" s="1"/>
  <c r="BV15" i="9" s="1"/>
  <c r="BV16" i="9" s="1"/>
  <c r="BV17" i="9" s="1"/>
  <c r="BV18" i="9" s="1"/>
  <c r="BV19" i="9" s="1"/>
  <c r="BV20" i="9" s="1"/>
  <c r="BV21" i="9" s="1"/>
  <c r="BV22" i="9" s="1"/>
  <c r="BV23" i="9" s="1"/>
  <c r="BV24" i="9" s="1"/>
  <c r="BV25" i="9" s="1"/>
  <c r="BV26" i="9" s="1"/>
  <c r="BV27" i="9" s="1"/>
  <c r="BV28" i="9" s="1"/>
  <c r="BV29" i="9" s="1"/>
  <c r="BV30" i="9" s="1"/>
  <c r="BV31" i="9" s="1"/>
  <c r="BV32" i="9" s="1"/>
  <c r="BV33" i="9" s="1"/>
  <c r="BU5" i="9"/>
  <c r="BR5" i="9"/>
  <c r="BR6" i="9" s="1"/>
  <c r="BR7" i="9" s="1"/>
  <c r="BR8" i="9" s="1"/>
  <c r="BR9" i="9" s="1"/>
  <c r="BR10" i="9" s="1"/>
  <c r="BR11" i="9" s="1"/>
  <c r="BR12" i="9" s="1"/>
  <c r="BR13" i="9" s="1"/>
  <c r="BR14" i="9" s="1"/>
  <c r="BR15" i="9" s="1"/>
  <c r="BR16" i="9" s="1"/>
  <c r="BR17" i="9" s="1"/>
  <c r="BR18" i="9" s="1"/>
  <c r="BR19" i="9" s="1"/>
  <c r="BR20" i="9" s="1"/>
  <c r="BR21" i="9" s="1"/>
  <c r="BR22" i="9" s="1"/>
  <c r="BR23" i="9" s="1"/>
  <c r="BR24" i="9" s="1"/>
  <c r="BR25" i="9" s="1"/>
  <c r="BR26" i="9" s="1"/>
  <c r="BR27" i="9" s="1"/>
  <c r="BR28" i="9" s="1"/>
  <c r="BR29" i="9" s="1"/>
  <c r="BR30" i="9" s="1"/>
  <c r="BR31" i="9" s="1"/>
  <c r="BR32" i="9" s="1"/>
  <c r="BR33" i="9" s="1"/>
  <c r="BQ5" i="9"/>
  <c r="BQ6" i="9" s="1"/>
  <c r="BQ7" i="9" s="1"/>
  <c r="BQ8" i="9" s="1"/>
  <c r="BQ9" i="9" s="1"/>
  <c r="BQ10" i="9" s="1"/>
  <c r="BQ11" i="9" s="1"/>
  <c r="BQ12" i="9" s="1"/>
  <c r="BQ13" i="9" s="1"/>
  <c r="BQ14" i="9" s="1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Q26" i="9" s="1"/>
  <c r="BQ27" i="9" s="1"/>
  <c r="BQ28" i="9" s="1"/>
  <c r="BQ29" i="9" s="1"/>
  <c r="BQ30" i="9" s="1"/>
  <c r="BQ31" i="9" s="1"/>
  <c r="BQ32" i="9" s="1"/>
  <c r="BQ33" i="9" s="1"/>
  <c r="BP5" i="9"/>
  <c r="BP6" i="9" s="1"/>
  <c r="BP7" i="9" s="1"/>
  <c r="BP8" i="9" s="1"/>
  <c r="BP9" i="9" s="1"/>
  <c r="BP10" i="9" s="1"/>
  <c r="BP11" i="9" s="1"/>
  <c r="BP12" i="9" s="1"/>
  <c r="BP13" i="9" s="1"/>
  <c r="BP14" i="9" s="1"/>
  <c r="BP15" i="9" s="1"/>
  <c r="BP16" i="9" s="1"/>
  <c r="BP17" i="9" s="1"/>
  <c r="BP18" i="9" s="1"/>
  <c r="BP19" i="9" s="1"/>
  <c r="BP20" i="9" s="1"/>
  <c r="BP21" i="9" s="1"/>
  <c r="BP22" i="9" s="1"/>
  <c r="BP23" i="9" s="1"/>
  <c r="BP24" i="9" s="1"/>
  <c r="BP25" i="9" s="1"/>
  <c r="BP26" i="9" s="1"/>
  <c r="BP27" i="9" s="1"/>
  <c r="BP28" i="9" s="1"/>
  <c r="BP29" i="9" s="1"/>
  <c r="BP30" i="9" s="1"/>
  <c r="BP31" i="9" s="1"/>
  <c r="BP32" i="9" s="1"/>
  <c r="BP33" i="9" s="1"/>
  <c r="BM5" i="9"/>
  <c r="BM6" i="9" s="1"/>
  <c r="BM7" i="9" s="1"/>
  <c r="BM8" i="9" s="1"/>
  <c r="BM9" i="9" s="1"/>
  <c r="BM10" i="9" s="1"/>
  <c r="BM11" i="9" s="1"/>
  <c r="BM12" i="9" s="1"/>
  <c r="BM13" i="9" s="1"/>
  <c r="BM14" i="9" s="1"/>
  <c r="BM15" i="9" s="1"/>
  <c r="BM16" i="9" s="1"/>
  <c r="BM17" i="9" s="1"/>
  <c r="BM18" i="9" s="1"/>
  <c r="BM19" i="9" s="1"/>
  <c r="BM20" i="9" s="1"/>
  <c r="BM21" i="9" s="1"/>
  <c r="BM22" i="9" s="1"/>
  <c r="BM23" i="9" s="1"/>
  <c r="BM24" i="9" s="1"/>
  <c r="BM25" i="9" s="1"/>
  <c r="BM26" i="9" s="1"/>
  <c r="BM27" i="9" s="1"/>
  <c r="BM28" i="9" s="1"/>
  <c r="BM29" i="9" s="1"/>
  <c r="BM30" i="9" s="1"/>
  <c r="BM31" i="9" s="1"/>
  <c r="BM32" i="9" s="1"/>
  <c r="BM33" i="9" s="1"/>
  <c r="BL5" i="9"/>
  <c r="BL6" i="9" s="1"/>
  <c r="BL7" i="9" s="1"/>
  <c r="BL8" i="9" s="1"/>
  <c r="BL9" i="9" s="1"/>
  <c r="BL10" i="9" s="1"/>
  <c r="BL11" i="9" s="1"/>
  <c r="BL12" i="9" s="1"/>
  <c r="BL13" i="9" s="1"/>
  <c r="BL14" i="9" s="1"/>
  <c r="BL15" i="9" s="1"/>
  <c r="BL16" i="9" s="1"/>
  <c r="BL17" i="9" s="1"/>
  <c r="BL18" i="9" s="1"/>
  <c r="BL19" i="9" s="1"/>
  <c r="BL20" i="9" s="1"/>
  <c r="BL21" i="9" s="1"/>
  <c r="BL22" i="9" s="1"/>
  <c r="BL23" i="9" s="1"/>
  <c r="BL24" i="9" s="1"/>
  <c r="BL25" i="9" s="1"/>
  <c r="BL26" i="9" s="1"/>
  <c r="BL27" i="9" s="1"/>
  <c r="BL28" i="9" s="1"/>
  <c r="BL29" i="9" s="1"/>
  <c r="BL30" i="9" s="1"/>
  <c r="BL31" i="9" s="1"/>
  <c r="BL32" i="9" s="1"/>
  <c r="BL33" i="9" s="1"/>
  <c r="BK5" i="9"/>
  <c r="BK6" i="9" s="1"/>
  <c r="BK7" i="9" s="1"/>
  <c r="BK8" i="9" s="1"/>
  <c r="BK9" i="9" s="1"/>
  <c r="BK10" i="9" s="1"/>
  <c r="BK11" i="9" s="1"/>
  <c r="BK12" i="9" s="1"/>
  <c r="BK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K26" i="9" s="1"/>
  <c r="BK27" i="9" s="1"/>
  <c r="BK28" i="9" s="1"/>
  <c r="BK29" i="9" s="1"/>
  <c r="BK30" i="9" s="1"/>
  <c r="BK31" i="9" s="1"/>
  <c r="BK32" i="9" s="1"/>
  <c r="BK33" i="9" s="1"/>
  <c r="BC5" i="9"/>
  <c r="BC6" i="9" s="1"/>
  <c r="BC7" i="9" s="1"/>
  <c r="BC8" i="9" s="1"/>
  <c r="BC9" i="9" s="1"/>
  <c r="BC10" i="9" s="1"/>
  <c r="BC11" i="9" s="1"/>
  <c r="BC12" i="9" s="1"/>
  <c r="BC13" i="9" s="1"/>
  <c r="BC14" i="9" s="1"/>
  <c r="BC15" i="9" s="1"/>
  <c r="BC16" i="9" s="1"/>
  <c r="BC17" i="9" s="1"/>
  <c r="BC18" i="9" s="1"/>
  <c r="BC19" i="9" s="1"/>
  <c r="BC20" i="9" s="1"/>
  <c r="BC21" i="9" s="1"/>
  <c r="BC22" i="9" s="1"/>
  <c r="BC23" i="9" s="1"/>
  <c r="BC24" i="9" s="1"/>
  <c r="BC25" i="9" s="1"/>
  <c r="BC26" i="9" s="1"/>
  <c r="BC27" i="9" s="1"/>
  <c r="BC28" i="9" s="1"/>
  <c r="BC29" i="9" s="1"/>
  <c r="BC30" i="9" s="1"/>
  <c r="BC31" i="9" s="1"/>
  <c r="BC32" i="9" s="1"/>
  <c r="BC33" i="9" s="1"/>
  <c r="BB5" i="9"/>
  <c r="BB6" i="9" s="1"/>
  <c r="BB7" i="9" s="1"/>
  <c r="BD5" i="9"/>
  <c r="BD6" i="9" s="1"/>
  <c r="BD7" i="9" s="1"/>
  <c r="AW5" i="9"/>
  <c r="AW6" i="9" s="1"/>
  <c r="AW7" i="9" s="1"/>
  <c r="AW8" i="9" s="1"/>
  <c r="AW9" i="9" s="1"/>
  <c r="AW10" i="9" s="1"/>
  <c r="AW11" i="9" s="1"/>
  <c r="AW12" i="9" s="1"/>
  <c r="AW13" i="9" s="1"/>
  <c r="AW14" i="9" s="1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W26" i="9" s="1"/>
  <c r="AW27" i="9" s="1"/>
  <c r="AW28" i="9" s="1"/>
  <c r="AW29" i="9" s="1"/>
  <c r="AW30" i="9" s="1"/>
  <c r="AW31" i="9" s="1"/>
  <c r="AW32" i="9" s="1"/>
  <c r="AW33" i="9" s="1"/>
  <c r="AX6" i="9"/>
  <c r="AX7" i="9" s="1"/>
  <c r="AX8" i="9" s="1"/>
  <c r="AX9" i="9" s="1"/>
  <c r="AX10" i="9" s="1"/>
  <c r="AX11" i="9" s="1"/>
  <c r="AX12" i="9" s="1"/>
  <c r="AX13" i="9" s="1"/>
  <c r="AX14" i="9" s="1"/>
  <c r="AX15" i="9" s="1"/>
  <c r="AX16" i="9" s="1"/>
  <c r="AX17" i="9" s="1"/>
  <c r="AX18" i="9" s="1"/>
  <c r="AX19" i="9" s="1"/>
  <c r="AX20" i="9" s="1"/>
  <c r="AX21" i="9" s="1"/>
  <c r="AX22" i="9" s="1"/>
  <c r="AX23" i="9" s="1"/>
  <c r="AX24" i="9" s="1"/>
  <c r="AX25" i="9" s="1"/>
  <c r="AX26" i="9" s="1"/>
  <c r="AX27" i="9" s="1"/>
  <c r="AX28" i="9" s="1"/>
  <c r="AX29" i="9" s="1"/>
  <c r="AX30" i="9" s="1"/>
  <c r="AX31" i="9" s="1"/>
  <c r="AX32" i="9" s="1"/>
  <c r="AX33" i="9" s="1"/>
  <c r="AX5" i="9"/>
  <c r="AY5" i="9"/>
  <c r="AY6" i="9" s="1"/>
  <c r="AY7" i="9" s="1"/>
  <c r="AY8" i="9" s="1"/>
  <c r="AY9" i="9" s="1"/>
  <c r="AY10" i="9" s="1"/>
  <c r="AY11" i="9" s="1"/>
  <c r="AY12" i="9" s="1"/>
  <c r="AY13" i="9" s="1"/>
  <c r="AY14" i="9" s="1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Y26" i="9" s="1"/>
  <c r="AY27" i="9" s="1"/>
  <c r="AY28" i="9" s="1"/>
  <c r="AY29" i="9" s="1"/>
  <c r="AY30" i="9" s="1"/>
  <c r="AY31" i="9" s="1"/>
  <c r="AY32" i="9" s="1"/>
  <c r="AY33" i="9" s="1"/>
  <c r="AO5" i="9"/>
  <c r="AO6" i="9" s="1"/>
  <c r="AO7" i="9" s="1"/>
  <c r="AO8" i="9" s="1"/>
  <c r="AO9" i="9" s="1"/>
  <c r="AO10" i="9" s="1"/>
  <c r="AO11" i="9" s="1"/>
  <c r="AO12" i="9" s="1"/>
  <c r="AO13" i="9" s="1"/>
  <c r="AO14" i="9" s="1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O26" i="9" s="1"/>
  <c r="AO27" i="9" s="1"/>
  <c r="AO28" i="9" s="1"/>
  <c r="AO29" i="9" s="1"/>
  <c r="AO30" i="9" s="1"/>
  <c r="AO31" i="9" s="1"/>
  <c r="AO32" i="9" s="1"/>
  <c r="AO33" i="9" s="1"/>
  <c r="AN5" i="9"/>
  <c r="AN6" i="9" s="1"/>
  <c r="AN7" i="9" s="1"/>
  <c r="AN8" i="9" s="1"/>
  <c r="AN9" i="9" s="1"/>
  <c r="AN10" i="9" s="1"/>
  <c r="AN11" i="9" s="1"/>
  <c r="AN12" i="9" s="1"/>
  <c r="AN13" i="9" s="1"/>
  <c r="AN14" i="9" s="1"/>
  <c r="AN15" i="9" s="1"/>
  <c r="AN16" i="9" s="1"/>
  <c r="AN17" i="9" s="1"/>
  <c r="AN18" i="9" s="1"/>
  <c r="AN19" i="9" s="1"/>
  <c r="AN20" i="9" s="1"/>
  <c r="AN21" i="9" s="1"/>
  <c r="AN22" i="9" s="1"/>
  <c r="AN23" i="9" s="1"/>
  <c r="AN24" i="9" s="1"/>
  <c r="AN25" i="9" s="1"/>
  <c r="AN26" i="9" s="1"/>
  <c r="AN27" i="9" s="1"/>
  <c r="AN28" i="9" s="1"/>
  <c r="AN29" i="9" s="1"/>
  <c r="AN30" i="9" s="1"/>
  <c r="AN31" i="9" s="1"/>
  <c r="AN32" i="9" s="1"/>
  <c r="AN33" i="9" s="1"/>
  <c r="AK5" i="9"/>
  <c r="AK6" i="9" s="1"/>
  <c r="AK7" i="9" s="1"/>
  <c r="AK8" i="9" s="1"/>
  <c r="AK9" i="9" s="1"/>
  <c r="AK10" i="9" s="1"/>
  <c r="AK11" i="9" s="1"/>
  <c r="AK12" i="9" s="1"/>
  <c r="AK13" i="9" s="1"/>
  <c r="AK14" i="9" s="1"/>
  <c r="AK15" i="9" s="1"/>
  <c r="AK16" i="9" s="1"/>
  <c r="AK17" i="9" s="1"/>
  <c r="AK18" i="9" s="1"/>
  <c r="AK19" i="9" s="1"/>
  <c r="AK20" i="9" s="1"/>
  <c r="AK21" i="9" s="1"/>
  <c r="AK22" i="9" s="1"/>
  <c r="AK23" i="9" s="1"/>
  <c r="AK24" i="9" s="1"/>
  <c r="AK25" i="9" s="1"/>
  <c r="AK26" i="9" s="1"/>
  <c r="AK27" i="9" s="1"/>
  <c r="AK28" i="9" s="1"/>
  <c r="AK29" i="9" s="1"/>
  <c r="AK30" i="9" s="1"/>
  <c r="AK31" i="9" s="1"/>
  <c r="AK32" i="9" s="1"/>
  <c r="AK33" i="9" s="1"/>
  <c r="AJ5" i="9"/>
  <c r="AJ6" i="9" s="1"/>
  <c r="AJ7" i="9" s="1"/>
  <c r="AJ8" i="9" s="1"/>
  <c r="AJ9" i="9" s="1"/>
  <c r="AJ10" i="9" s="1"/>
  <c r="AJ11" i="9" s="1"/>
  <c r="AJ12" i="9" s="1"/>
  <c r="AJ13" i="9" s="1"/>
  <c r="AJ14" i="9" s="1"/>
  <c r="AJ15" i="9" s="1"/>
  <c r="AJ16" i="9" s="1"/>
  <c r="AJ17" i="9" s="1"/>
  <c r="AJ18" i="9" s="1"/>
  <c r="AJ19" i="9" s="1"/>
  <c r="AJ20" i="9" s="1"/>
  <c r="AJ21" i="9" s="1"/>
  <c r="AJ22" i="9" s="1"/>
  <c r="AJ23" i="9" s="1"/>
  <c r="AJ24" i="9" s="1"/>
  <c r="AJ25" i="9" s="1"/>
  <c r="AJ26" i="9" s="1"/>
  <c r="AJ27" i="9" s="1"/>
  <c r="AJ28" i="9" s="1"/>
  <c r="AJ29" i="9" s="1"/>
  <c r="AJ30" i="9" s="1"/>
  <c r="AJ31" i="9" s="1"/>
  <c r="AJ32" i="9" s="1"/>
  <c r="AJ33" i="9" s="1"/>
  <c r="AG5" i="9"/>
  <c r="AG6" i="9" s="1"/>
  <c r="AG7" i="9" s="1"/>
  <c r="AG8" i="9" s="1"/>
  <c r="AG9" i="9" s="1"/>
  <c r="AG10" i="9" s="1"/>
  <c r="AG11" i="9" s="1"/>
  <c r="AG12" i="9" s="1"/>
  <c r="AG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G26" i="9" s="1"/>
  <c r="AG27" i="9" s="1"/>
  <c r="AG28" i="9" s="1"/>
  <c r="AG29" i="9" s="1"/>
  <c r="AG30" i="9" s="1"/>
  <c r="AG31" i="9" s="1"/>
  <c r="AG32" i="9" s="1"/>
  <c r="AG33" i="9" s="1"/>
  <c r="AT5" i="9"/>
  <c r="AT6" i="9" s="1"/>
  <c r="AT7" i="9" s="1"/>
  <c r="AT8" i="9" s="1"/>
  <c r="AT9" i="9" s="1"/>
  <c r="AT10" i="9" s="1"/>
  <c r="AT11" i="9" s="1"/>
  <c r="AT12" i="9" s="1"/>
  <c r="AT13" i="9" s="1"/>
  <c r="AT14" i="9" s="1"/>
  <c r="AT15" i="9" s="1"/>
  <c r="AT16" i="9" s="1"/>
  <c r="AT17" i="9" s="1"/>
  <c r="AT18" i="9" s="1"/>
  <c r="AT19" i="9" s="1"/>
  <c r="AT20" i="9" s="1"/>
  <c r="AT21" i="9" s="1"/>
  <c r="AT22" i="9" s="1"/>
  <c r="AT23" i="9" s="1"/>
  <c r="AT24" i="9" s="1"/>
  <c r="AT25" i="9" s="1"/>
  <c r="AT26" i="9" s="1"/>
  <c r="AT27" i="9" s="1"/>
  <c r="AT28" i="9" s="1"/>
  <c r="AT29" i="9" s="1"/>
  <c r="AT30" i="9" s="1"/>
  <c r="AT31" i="9" s="1"/>
  <c r="AT32" i="9" s="1"/>
  <c r="AT33" i="9" s="1"/>
  <c r="AS5" i="9"/>
  <c r="AS6" i="9" s="1"/>
  <c r="AS7" i="9" s="1"/>
  <c r="AS8" i="9" s="1"/>
  <c r="AS9" i="9" s="1"/>
  <c r="AS10" i="9" s="1"/>
  <c r="AS11" i="9" s="1"/>
  <c r="AS12" i="9" s="1"/>
  <c r="AS13" i="9" s="1"/>
  <c r="AS14" i="9" s="1"/>
  <c r="AS15" i="9" s="1"/>
  <c r="AS16" i="9" s="1"/>
  <c r="AS17" i="9" s="1"/>
  <c r="AS18" i="9" s="1"/>
  <c r="AS19" i="9" s="1"/>
  <c r="AS20" i="9" s="1"/>
  <c r="AS21" i="9" s="1"/>
  <c r="AS22" i="9" s="1"/>
  <c r="AS23" i="9" s="1"/>
  <c r="AS24" i="9" s="1"/>
  <c r="AS25" i="9" s="1"/>
  <c r="AS26" i="9" s="1"/>
  <c r="AS27" i="9" s="1"/>
  <c r="AS28" i="9" s="1"/>
  <c r="AS29" i="9" s="1"/>
  <c r="AS30" i="9" s="1"/>
  <c r="AS31" i="9" s="1"/>
  <c r="AS32" i="9" s="1"/>
  <c r="AS33" i="9" s="1"/>
  <c r="AR5" i="9"/>
  <c r="AR6" i="9" s="1"/>
  <c r="AR7" i="9" s="1"/>
  <c r="AR8" i="9" s="1"/>
  <c r="AR9" i="9" s="1"/>
  <c r="AR10" i="9" s="1"/>
  <c r="AR11" i="9" s="1"/>
  <c r="AR12" i="9" s="1"/>
  <c r="AR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AR26" i="9" s="1"/>
  <c r="AR27" i="9" s="1"/>
  <c r="AR28" i="9" s="1"/>
  <c r="AR29" i="9" s="1"/>
  <c r="AR30" i="9" s="1"/>
  <c r="AR31" i="9" s="1"/>
  <c r="AR32" i="9" s="1"/>
  <c r="AR33" i="9" s="1"/>
  <c r="U6" i="9"/>
  <c r="V6" i="9"/>
  <c r="U7" i="9"/>
  <c r="V7" i="9"/>
  <c r="U8" i="9"/>
  <c r="V8" i="9"/>
  <c r="U9" i="9"/>
  <c r="V9" i="9"/>
  <c r="U10" i="9"/>
  <c r="V10" i="9"/>
  <c r="U11" i="9"/>
  <c r="V11" i="9"/>
  <c r="U12" i="9"/>
  <c r="V12" i="9"/>
  <c r="U13" i="9"/>
  <c r="V13" i="9"/>
  <c r="U14" i="9"/>
  <c r="V14" i="9"/>
  <c r="U15" i="9"/>
  <c r="V15" i="9"/>
  <c r="U16" i="9"/>
  <c r="V16" i="9"/>
  <c r="U17" i="9"/>
  <c r="V17" i="9"/>
  <c r="U18" i="9"/>
  <c r="V18" i="9"/>
  <c r="U19" i="9"/>
  <c r="V19" i="9"/>
  <c r="U20" i="9"/>
  <c r="V20" i="9"/>
  <c r="U21" i="9"/>
  <c r="V21" i="9"/>
  <c r="U22" i="9"/>
  <c r="V22" i="9"/>
  <c r="U23" i="9"/>
  <c r="V23" i="9"/>
  <c r="U24" i="9"/>
  <c r="V24" i="9"/>
  <c r="U25" i="9"/>
  <c r="V25" i="9"/>
  <c r="U26" i="9"/>
  <c r="V26" i="9"/>
  <c r="U27" i="9"/>
  <c r="V27" i="9"/>
  <c r="U28" i="9"/>
  <c r="V28" i="9"/>
  <c r="U29" i="9"/>
  <c r="V29" i="9"/>
  <c r="U30" i="9"/>
  <c r="V30" i="9"/>
  <c r="U31" i="9"/>
  <c r="V31" i="9"/>
  <c r="U32" i="9"/>
  <c r="V32" i="9"/>
  <c r="U33" i="9"/>
  <c r="V33" i="9"/>
  <c r="V5" i="9"/>
  <c r="V4" i="9"/>
  <c r="U5" i="9"/>
  <c r="U4" i="9"/>
  <c r="Q6" i="9"/>
  <c r="R6" i="9"/>
  <c r="Q7" i="9"/>
  <c r="R7" i="9"/>
  <c r="Q8" i="9"/>
  <c r="R8" i="9"/>
  <c r="Q9" i="9"/>
  <c r="R9" i="9"/>
  <c r="Q10" i="9"/>
  <c r="R10" i="9"/>
  <c r="Q11" i="9"/>
  <c r="R11" i="9"/>
  <c r="Q12" i="9"/>
  <c r="R12" i="9"/>
  <c r="Q13" i="9"/>
  <c r="R13" i="9"/>
  <c r="Q14" i="9"/>
  <c r="R14" i="9"/>
  <c r="Q15" i="9"/>
  <c r="R15" i="9"/>
  <c r="Q16" i="9"/>
  <c r="R16" i="9"/>
  <c r="Q17" i="9"/>
  <c r="R17" i="9"/>
  <c r="Q18" i="9"/>
  <c r="R18" i="9"/>
  <c r="Q19" i="9"/>
  <c r="R19" i="9"/>
  <c r="Q20" i="9"/>
  <c r="R20" i="9"/>
  <c r="Q21" i="9"/>
  <c r="R21" i="9"/>
  <c r="Q22" i="9"/>
  <c r="R22" i="9"/>
  <c r="Q23" i="9"/>
  <c r="R23" i="9"/>
  <c r="Q24" i="9"/>
  <c r="R24" i="9"/>
  <c r="Q25" i="9"/>
  <c r="R25" i="9"/>
  <c r="Q26" i="9"/>
  <c r="R26" i="9"/>
  <c r="Q27" i="9"/>
  <c r="R27" i="9"/>
  <c r="Q28" i="9"/>
  <c r="R28" i="9"/>
  <c r="Q29" i="9"/>
  <c r="R29" i="9"/>
  <c r="Q30" i="9"/>
  <c r="R30" i="9"/>
  <c r="Q31" i="9"/>
  <c r="R31" i="9"/>
  <c r="Q32" i="9"/>
  <c r="R32" i="9"/>
  <c r="Q33" i="9"/>
  <c r="R33" i="9"/>
  <c r="R5" i="9"/>
  <c r="Q5" i="9"/>
  <c r="R4" i="9"/>
  <c r="Q4" i="9"/>
  <c r="L6" i="8"/>
  <c r="M6" i="8"/>
  <c r="N6" i="8"/>
  <c r="O6" i="8"/>
  <c r="P6" i="8"/>
  <c r="Q6" i="8"/>
  <c r="R6" i="8"/>
  <c r="S6" i="8"/>
  <c r="T6" i="8"/>
  <c r="U6" i="8"/>
  <c r="V6" i="8"/>
  <c r="W6" i="8"/>
  <c r="X6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BB8" i="9" l="1"/>
  <c r="BB9" i="9" s="1"/>
  <c r="BB10" i="9" s="1"/>
  <c r="BB11" i="9" s="1"/>
  <c r="BB12" i="9" s="1"/>
  <c r="BB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BB26" i="9" s="1"/>
  <c r="BB27" i="9" s="1"/>
  <c r="BB28" i="9" s="1"/>
  <c r="BB29" i="9" s="1"/>
  <c r="BB30" i="9" s="1"/>
  <c r="BB31" i="9" s="1"/>
  <c r="BB32" i="9" s="1"/>
  <c r="BB33" i="9" s="1"/>
  <c r="BD8" i="9"/>
  <c r="BD9" i="9" s="1"/>
  <c r="BD10" i="9" s="1"/>
  <c r="BD11" i="9" s="1"/>
  <c r="BD12" i="9" s="1"/>
  <c r="BD13" i="9" s="1"/>
  <c r="BD14" i="9" s="1"/>
  <c r="BD15" i="9" s="1"/>
  <c r="BD16" i="9" s="1"/>
  <c r="BD17" i="9" s="1"/>
  <c r="BD18" i="9" s="1"/>
  <c r="BD19" i="9" s="1"/>
  <c r="BD20" i="9" s="1"/>
  <c r="BD21" i="9" s="1"/>
  <c r="BD22" i="9" s="1"/>
  <c r="BD23" i="9" s="1"/>
  <c r="BD24" i="9" s="1"/>
  <c r="BD25" i="9" s="1"/>
  <c r="BD26" i="9" s="1"/>
  <c r="BD27" i="9" s="1"/>
  <c r="BD28" i="9" s="1"/>
  <c r="BD29" i="9" s="1"/>
  <c r="BD30" i="9" s="1"/>
  <c r="BD31" i="9" s="1"/>
  <c r="BD32" i="9" s="1"/>
  <c r="BD33" i="9" s="1"/>
  <c r="D3" i="1"/>
  <c r="F3" i="1"/>
  <c r="G3" i="1"/>
  <c r="H3" i="1"/>
  <c r="I3" i="1"/>
  <c r="J3" i="1"/>
  <c r="J10" i="1" s="1"/>
  <c r="K3" i="1"/>
  <c r="L3" i="1"/>
  <c r="L10" i="1" s="1"/>
  <c r="M3" i="1"/>
  <c r="M10" i="1" s="1"/>
  <c r="N3" i="1"/>
  <c r="N10" i="1" s="1"/>
  <c r="O3" i="1"/>
  <c r="O10" i="1" s="1"/>
  <c r="P3" i="1"/>
  <c r="Q3" i="1"/>
  <c r="R3" i="1"/>
  <c r="S3" i="1"/>
  <c r="S10" i="1" s="1"/>
  <c r="T3" i="1"/>
  <c r="U3" i="1"/>
  <c r="V3" i="1"/>
  <c r="V10" i="1" s="1"/>
  <c r="E3" i="1"/>
  <c r="E5" i="1" s="1"/>
  <c r="G4" i="1" l="1"/>
  <c r="R4" i="1"/>
  <c r="R10" i="1"/>
  <c r="U15" i="1"/>
  <c r="U18" i="1" s="1"/>
  <c r="U10" i="1"/>
  <c r="Q4" i="1"/>
  <c r="Q10" i="1"/>
  <c r="P11" i="1"/>
  <c r="P10" i="1"/>
  <c r="D5" i="1"/>
  <c r="D6" i="1" s="1"/>
  <c r="T12" i="1"/>
  <c r="T10" i="1"/>
  <c r="K12" i="1"/>
  <c r="K10" i="1"/>
  <c r="K11" i="1"/>
  <c r="Q12" i="1"/>
  <c r="P4" i="1"/>
  <c r="T4" i="1"/>
  <c r="H4" i="1"/>
  <c r="N5" i="1"/>
  <c r="N6" i="1"/>
  <c r="L5" i="1"/>
  <c r="L6" i="1"/>
  <c r="P5" i="1"/>
  <c r="P6" i="1"/>
  <c r="H5" i="1"/>
  <c r="H6" i="1" s="1"/>
  <c r="O5" i="1"/>
  <c r="O6" i="1"/>
  <c r="G5" i="1"/>
  <c r="G6" i="1" s="1"/>
  <c r="V5" i="1"/>
  <c r="V6" i="1"/>
  <c r="U6" i="1"/>
  <c r="T5" i="1"/>
  <c r="T6" i="1"/>
  <c r="K5" i="1"/>
  <c r="K6" i="1"/>
  <c r="J5" i="1"/>
  <c r="J6" i="1"/>
  <c r="O11" i="1"/>
  <c r="F5" i="1"/>
  <c r="F6" i="1" s="1"/>
  <c r="M15" i="1"/>
  <c r="M6" i="1"/>
  <c r="O12" i="1"/>
  <c r="S5" i="1"/>
  <c r="S6" i="1"/>
  <c r="R5" i="1"/>
  <c r="R6" i="1"/>
  <c r="N4" i="1"/>
  <c r="Q5" i="1"/>
  <c r="Q6" i="1"/>
  <c r="I5" i="1"/>
  <c r="I6" i="1" s="1"/>
  <c r="E6" i="1"/>
  <c r="S12" i="1"/>
  <c r="R15" i="1"/>
  <c r="R12" i="1"/>
  <c r="R11" i="1"/>
  <c r="J4" i="1"/>
  <c r="S11" i="1"/>
  <c r="K4" i="1"/>
  <c r="S4" i="1"/>
  <c r="J15" i="1"/>
  <c r="E4" i="1"/>
  <c r="J12" i="1"/>
  <c r="J11" i="1"/>
  <c r="O4" i="1"/>
  <c r="P12" i="1"/>
  <c r="V4" i="1"/>
  <c r="L4" i="1"/>
  <c r="U4" i="1"/>
  <c r="U5" i="1"/>
  <c r="M4" i="1"/>
  <c r="M5" i="1"/>
  <c r="Q15" i="1"/>
  <c r="Q18" i="1" s="1"/>
  <c r="I15" i="1"/>
  <c r="P15" i="1"/>
  <c r="P18" i="1" s="1"/>
  <c r="N12" i="1"/>
  <c r="V11" i="1"/>
  <c r="L11" i="1"/>
  <c r="O15" i="1"/>
  <c r="O18" i="1" s="1"/>
  <c r="G15" i="1"/>
  <c r="N11" i="1"/>
  <c r="H15" i="1"/>
  <c r="V12" i="1"/>
  <c r="L12" i="1"/>
  <c r="T11" i="1"/>
  <c r="I4" i="1"/>
  <c r="V15" i="1"/>
  <c r="V18" i="1" s="1"/>
  <c r="N15" i="1"/>
  <c r="N18" i="1" s="1"/>
  <c r="F15" i="1"/>
  <c r="T15" i="1"/>
  <c r="T18" i="1" s="1"/>
  <c r="L15" i="1"/>
  <c r="L18" i="1" s="1"/>
  <c r="Q11" i="1"/>
  <c r="F4" i="1"/>
  <c r="S15" i="1"/>
  <c r="S18" i="1" s="1"/>
  <c r="K15" i="1"/>
  <c r="K18" i="1" s="1"/>
  <c r="D4" i="1"/>
  <c r="U12" i="1"/>
  <c r="M12" i="1"/>
  <c r="U11" i="1"/>
  <c r="M11" i="1"/>
  <c r="R16" i="1" l="1"/>
  <c r="R18" i="1"/>
  <c r="J33" i="1"/>
  <c r="J18" i="1"/>
  <c r="M23" i="1"/>
  <c r="M18" i="1"/>
  <c r="I10" i="1"/>
  <c r="H10" i="1"/>
  <c r="G10" i="1"/>
  <c r="F10" i="1"/>
  <c r="D10" i="1"/>
  <c r="E10" i="1"/>
  <c r="M17" i="1"/>
  <c r="U16" i="1"/>
  <c r="U22" i="1"/>
  <c r="U33" i="1"/>
  <c r="U23" i="1"/>
  <c r="U24" i="1"/>
  <c r="U17" i="1"/>
  <c r="R23" i="1"/>
  <c r="R33" i="1"/>
  <c r="R24" i="1"/>
  <c r="M24" i="1"/>
  <c r="M16" i="1"/>
  <c r="S22" i="1"/>
  <c r="T22" i="1"/>
  <c r="R17" i="1"/>
  <c r="R22" i="1"/>
  <c r="K22" i="1"/>
  <c r="N22" i="1"/>
  <c r="P22" i="1"/>
  <c r="J24" i="1"/>
  <c r="V22" i="1"/>
  <c r="L22" i="1"/>
  <c r="J16" i="1"/>
  <c r="J22" i="1"/>
  <c r="Q22" i="1"/>
  <c r="O22" i="1"/>
  <c r="M33" i="1"/>
  <c r="M22" i="1"/>
  <c r="J17" i="1"/>
  <c r="J23" i="1"/>
  <c r="V16" i="1"/>
  <c r="V17" i="1"/>
  <c r="V24" i="1"/>
  <c r="V33" i="1"/>
  <c r="V23" i="1"/>
  <c r="P17" i="1"/>
  <c r="P33" i="1"/>
  <c r="P16" i="1"/>
  <c r="P24" i="1"/>
  <c r="P23" i="1"/>
  <c r="S17" i="1"/>
  <c r="S24" i="1"/>
  <c r="S23" i="1"/>
  <c r="S33" i="1"/>
  <c r="S16" i="1"/>
  <c r="L17" i="1"/>
  <c r="L16" i="1"/>
  <c r="L24" i="1"/>
  <c r="L23" i="1"/>
  <c r="L33" i="1"/>
  <c r="G17" i="1"/>
  <c r="G18" i="1" s="1"/>
  <c r="G16" i="1"/>
  <c r="I16" i="1"/>
  <c r="I17" i="1"/>
  <c r="I18" i="1" s="1"/>
  <c r="T17" i="1"/>
  <c r="T24" i="1"/>
  <c r="T23" i="1"/>
  <c r="T33" i="1"/>
  <c r="T16" i="1"/>
  <c r="O17" i="1"/>
  <c r="O16" i="1"/>
  <c r="O23" i="1"/>
  <c r="O24" i="1"/>
  <c r="O33" i="1"/>
  <c r="Q16" i="1"/>
  <c r="Q17" i="1"/>
  <c r="Q33" i="1"/>
  <c r="Q23" i="1"/>
  <c r="Q24" i="1"/>
  <c r="K17" i="1"/>
  <c r="K24" i="1"/>
  <c r="K23" i="1"/>
  <c r="K33" i="1"/>
  <c r="K16" i="1"/>
  <c r="F16" i="1"/>
  <c r="F17" i="1"/>
  <c r="F18" i="1" s="1"/>
  <c r="H17" i="1"/>
  <c r="H18" i="1" s="1"/>
  <c r="H16" i="1"/>
  <c r="N16" i="1"/>
  <c r="N17" i="1"/>
  <c r="N24" i="1"/>
  <c r="N23" i="1"/>
  <c r="N33" i="1"/>
  <c r="J5" i="4"/>
  <c r="K3" i="4"/>
  <c r="I11" i="1" l="1"/>
  <c r="I12" i="1" s="1"/>
  <c r="K14" i="8"/>
  <c r="I22" i="1"/>
  <c r="H22" i="1"/>
  <c r="J14" i="8"/>
  <c r="H11" i="1"/>
  <c r="H12" i="1" s="1"/>
  <c r="G11" i="1"/>
  <c r="G12" i="1" s="1"/>
  <c r="I14" i="8"/>
  <c r="G22" i="1"/>
  <c r="F11" i="1"/>
  <c r="F12" i="1" s="1"/>
  <c r="H14" i="8"/>
  <c r="F22" i="1"/>
  <c r="E11" i="1"/>
  <c r="G14" i="8"/>
  <c r="D17" i="4"/>
  <c r="D15" i="4"/>
  <c r="C19" i="4"/>
  <c r="I23" i="1" l="1"/>
  <c r="I24" i="1" s="1"/>
  <c r="K16" i="8"/>
  <c r="J16" i="8"/>
  <c r="H23" i="1"/>
  <c r="H24" i="1" s="1"/>
  <c r="G23" i="1"/>
  <c r="G24" i="1" s="1"/>
  <c r="I16" i="8"/>
  <c r="F23" i="1"/>
  <c r="F24" i="1" s="1"/>
  <c r="H16" i="8"/>
  <c r="E12" i="1"/>
  <c r="U19" i="7"/>
  <c r="D11" i="1"/>
  <c r="F14" i="8"/>
  <c r="D15" i="1"/>
  <c r="E15" i="1"/>
  <c r="F38" i="1"/>
  <c r="I27" i="1"/>
  <c r="J27" i="1"/>
  <c r="J29" i="1" s="1"/>
  <c r="K27" i="1"/>
  <c r="K29" i="1" s="1"/>
  <c r="L38" i="1"/>
  <c r="M38" i="1"/>
  <c r="N38" i="1"/>
  <c r="P38" i="1"/>
  <c r="Q27" i="1"/>
  <c r="Q29" i="1" s="1"/>
  <c r="R27" i="1"/>
  <c r="R29" i="1" s="1"/>
  <c r="S38" i="1"/>
  <c r="T38" i="1"/>
  <c r="U38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D12" i="1" l="1"/>
  <c r="U13" i="7"/>
  <c r="D17" i="1"/>
  <c r="D18" i="1" s="1"/>
  <c r="D16" i="1"/>
  <c r="K28" i="1"/>
  <c r="K34" i="1"/>
  <c r="K35" i="1"/>
  <c r="Q28" i="1"/>
  <c r="Q34" i="1"/>
  <c r="Q35" i="1"/>
  <c r="E17" i="1"/>
  <c r="E18" i="1" s="1"/>
  <c r="E16" i="1"/>
  <c r="J28" i="1"/>
  <c r="J34" i="1"/>
  <c r="J35" i="1"/>
  <c r="R28" i="1"/>
  <c r="R34" i="1"/>
  <c r="R35" i="1"/>
  <c r="I28" i="1"/>
  <c r="I33" i="1" s="1"/>
  <c r="H27" i="1"/>
  <c r="H28" i="1" s="1"/>
  <c r="P27" i="1"/>
  <c r="P29" i="1" s="1"/>
  <c r="I38" i="1"/>
  <c r="N27" i="1"/>
  <c r="N29" i="1" s="1"/>
  <c r="H38" i="1"/>
  <c r="F27" i="1"/>
  <c r="Q38" i="1"/>
  <c r="O38" i="1"/>
  <c r="V27" i="1"/>
  <c r="V29" i="1" s="1"/>
  <c r="M27" i="1"/>
  <c r="M29" i="1" s="1"/>
  <c r="D38" i="1"/>
  <c r="D27" i="1"/>
  <c r="K38" i="1"/>
  <c r="E38" i="1"/>
  <c r="U27" i="1"/>
  <c r="U29" i="1" s="1"/>
  <c r="E27" i="1"/>
  <c r="S27" i="1"/>
  <c r="S29" i="1" s="1"/>
  <c r="V38" i="1"/>
  <c r="G38" i="1"/>
  <c r="O27" i="1"/>
  <c r="O29" i="1" s="1"/>
  <c r="G27" i="1"/>
  <c r="R38" i="1"/>
  <c r="J38" i="1"/>
  <c r="T27" i="1"/>
  <c r="T29" i="1" s="1"/>
  <c r="L27" i="1"/>
  <c r="L29" i="1" s="1"/>
  <c r="H40" i="1"/>
  <c r="F39" i="1"/>
  <c r="G39" i="1"/>
  <c r="H39" i="1"/>
  <c r="I39" i="1"/>
  <c r="J39" i="1"/>
  <c r="K39" i="1"/>
  <c r="L39" i="1"/>
  <c r="N39" i="1"/>
  <c r="O39" i="1"/>
  <c r="P39" i="1"/>
  <c r="R39" i="1"/>
  <c r="S39" i="1"/>
  <c r="T39" i="1"/>
  <c r="V39" i="1"/>
  <c r="I41" i="1" l="1"/>
  <c r="K18" i="8"/>
  <c r="I34" i="1"/>
  <c r="I35" i="1" s="1"/>
  <c r="I29" i="1"/>
  <c r="D28" i="1"/>
  <c r="D29" i="1" s="1"/>
  <c r="D22" i="1"/>
  <c r="F16" i="8" s="1"/>
  <c r="E22" i="1"/>
  <c r="N28" i="1"/>
  <c r="N35" i="1"/>
  <c r="N34" i="1"/>
  <c r="M28" i="1"/>
  <c r="M34" i="1"/>
  <c r="M35" i="1"/>
  <c r="L28" i="1"/>
  <c r="L34" i="1"/>
  <c r="L35" i="1"/>
  <c r="T28" i="1"/>
  <c r="T34" i="1"/>
  <c r="T35" i="1"/>
  <c r="S28" i="1"/>
  <c r="S34" i="1"/>
  <c r="S35" i="1"/>
  <c r="V28" i="1"/>
  <c r="V34" i="1"/>
  <c r="V35" i="1"/>
  <c r="P28" i="1"/>
  <c r="P34" i="1"/>
  <c r="P35" i="1"/>
  <c r="E28" i="1"/>
  <c r="H33" i="1"/>
  <c r="J18" i="8" s="1"/>
  <c r="G28" i="1"/>
  <c r="O28" i="1"/>
  <c r="O34" i="1"/>
  <c r="O35" i="1"/>
  <c r="U28" i="1"/>
  <c r="U34" i="1"/>
  <c r="U35" i="1"/>
  <c r="F28" i="1"/>
  <c r="F33" i="1" s="1"/>
  <c r="G40" i="1"/>
  <c r="O40" i="1"/>
  <c r="J40" i="1"/>
  <c r="I40" i="1"/>
  <c r="Q40" i="1"/>
  <c r="P40" i="1"/>
  <c r="R40" i="1"/>
  <c r="V40" i="1"/>
  <c r="N40" i="1"/>
  <c r="U40" i="1"/>
  <c r="M40" i="1"/>
  <c r="Q39" i="1"/>
  <c r="M39" i="1"/>
  <c r="E39" i="1"/>
  <c r="U39" i="1"/>
  <c r="D39" i="1"/>
  <c r="H34" i="1" l="1"/>
  <c r="H35" i="1" s="1"/>
  <c r="H41" i="1"/>
  <c r="H29" i="1"/>
  <c r="G33" i="1"/>
  <c r="G29" i="1"/>
  <c r="F29" i="1"/>
  <c r="F41" i="1"/>
  <c r="H18" i="8"/>
  <c r="F34" i="1"/>
  <c r="F35" i="1" s="1"/>
  <c r="E33" i="1"/>
  <c r="E41" i="1" s="1"/>
  <c r="E29" i="1"/>
  <c r="D40" i="1"/>
  <c r="D23" i="1"/>
  <c r="E23" i="1"/>
  <c r="G16" i="8"/>
  <c r="E40" i="1"/>
  <c r="D33" i="1"/>
  <c r="F18" i="8" s="1"/>
  <c r="L40" i="1"/>
  <c r="F40" i="1"/>
  <c r="S40" i="1"/>
  <c r="T40" i="1"/>
  <c r="K40" i="1"/>
  <c r="I18" i="8" l="1"/>
  <c r="G41" i="1"/>
  <c r="G34" i="1"/>
  <c r="G35" i="1" s="1"/>
  <c r="G18" i="8"/>
  <c r="E34" i="1"/>
  <c r="U21" i="7" s="1"/>
  <c r="E24" i="1"/>
  <c r="U20" i="7"/>
  <c r="D24" i="1"/>
  <c r="U14" i="7"/>
  <c r="D41" i="1"/>
  <c r="D34" i="1"/>
  <c r="E12" i="8"/>
  <c r="E31" i="8"/>
  <c r="C3" i="1"/>
  <c r="E35" i="1" l="1"/>
  <c r="C5" i="1"/>
  <c r="C38" i="1"/>
  <c r="D5" i="4" s="1"/>
  <c r="G5" i="11"/>
  <c r="E5" i="11"/>
  <c r="F5" i="11"/>
  <c r="AC15" i="11"/>
  <c r="M15" i="11"/>
  <c r="AC5" i="11"/>
  <c r="U15" i="11"/>
  <c r="Z15" i="11"/>
  <c r="C15" i="11"/>
  <c r="Z10" i="11"/>
  <c r="J10" i="11"/>
  <c r="N10" i="11"/>
  <c r="AJ10" i="11"/>
  <c r="AZ15" i="11"/>
  <c r="AZ10" i="11"/>
  <c r="R15" i="11"/>
  <c r="O15" i="11"/>
  <c r="V5" i="11"/>
  <c r="E15" i="11"/>
  <c r="W15" i="11"/>
  <c r="AL15" i="11"/>
  <c r="AU10" i="11"/>
  <c r="AT5" i="11"/>
  <c r="BC15" i="11"/>
  <c r="G15" i="11"/>
  <c r="AK10" i="11"/>
  <c r="B10" i="11"/>
  <c r="T15" i="11"/>
  <c r="T10" i="11"/>
  <c r="AY15" i="11"/>
  <c r="BA10" i="11"/>
  <c r="AI15" i="11"/>
  <c r="BB5" i="11"/>
  <c r="L15" i="11"/>
  <c r="BB10" i="11"/>
  <c r="AX5" i="11"/>
  <c r="E10" i="11"/>
  <c r="B15" i="11"/>
  <c r="O5" i="11"/>
  <c r="Z5" i="11"/>
  <c r="AB5" i="11"/>
  <c r="V10" i="11"/>
  <c r="G10" i="11"/>
  <c r="J15" i="11"/>
  <c r="W10" i="11"/>
  <c r="AQ10" i="11"/>
  <c r="AI10" i="11"/>
  <c r="AS15" i="11"/>
  <c r="BA5" i="11"/>
  <c r="AE15" i="11"/>
  <c r="C10" i="11"/>
  <c r="F10" i="11"/>
  <c r="AK15" i="11"/>
  <c r="U5" i="11"/>
  <c r="AJ5" i="11"/>
  <c r="W5" i="11"/>
  <c r="AR5" i="11"/>
  <c r="BC5" i="11"/>
  <c r="F15" i="11"/>
  <c r="AL10" i="11"/>
  <c r="S10" i="11"/>
  <c r="AL5" i="11"/>
  <c r="AM10" i="11"/>
  <c r="AX15" i="11"/>
  <c r="AP10" i="11"/>
  <c r="AD15" i="11"/>
  <c r="AI5" i="11"/>
  <c r="N15" i="11"/>
  <c r="AK5" i="11"/>
  <c r="R10" i="11"/>
  <c r="AA10" i="11"/>
  <c r="AR15" i="11"/>
  <c r="AB10" i="11"/>
  <c r="AJ15" i="11"/>
  <c r="AP5" i="11"/>
  <c r="D10" i="11"/>
  <c r="AE5" i="11"/>
  <c r="AM15" i="11"/>
  <c r="AC10" i="11"/>
  <c r="AU15" i="11"/>
  <c r="AT10" i="11"/>
  <c r="K15" i="11"/>
  <c r="AH10" i="11"/>
  <c r="AM5" i="11"/>
  <c r="AD5" i="11"/>
  <c r="AX10" i="11"/>
  <c r="AS10" i="11"/>
  <c r="AT15" i="11"/>
  <c r="AZ5" i="11"/>
  <c r="AB15" i="11"/>
  <c r="AH5" i="11"/>
  <c r="D15" i="11"/>
  <c r="M10" i="11"/>
  <c r="L10" i="11"/>
  <c r="AY10" i="11"/>
  <c r="AR10" i="11"/>
  <c r="N5" i="11"/>
  <c r="AD10" i="11"/>
  <c r="AH15" i="11"/>
  <c r="U10" i="11"/>
  <c r="V15" i="11"/>
  <c r="AA5" i="11"/>
  <c r="AQ15" i="11"/>
  <c r="AY5" i="11"/>
  <c r="AA15" i="11"/>
  <c r="AS5" i="11"/>
  <c r="S15" i="11"/>
  <c r="BA15" i="11"/>
  <c r="K10" i="11"/>
  <c r="BB15" i="11"/>
  <c r="AE10" i="11"/>
  <c r="AP15" i="11"/>
  <c r="BC10" i="11"/>
  <c r="M5" i="11"/>
  <c r="O10" i="11"/>
  <c r="AQ5" i="11"/>
  <c r="AU5" i="11"/>
  <c r="R5" i="11"/>
  <c r="J5" i="11"/>
  <c r="K5" i="11"/>
  <c r="C15" i="1"/>
  <c r="W16" i="1" s="1"/>
  <c r="L5" i="11"/>
  <c r="T5" i="11"/>
  <c r="S5" i="11"/>
  <c r="D35" i="1"/>
  <c r="U15" i="7"/>
  <c r="C27" i="1"/>
  <c r="W4" i="1"/>
  <c r="BD5" i="11" l="1"/>
  <c r="AN5" i="11"/>
  <c r="X5" i="11"/>
  <c r="AV5" i="11"/>
  <c r="AF5" i="11"/>
  <c r="H5" i="11"/>
  <c r="P5" i="11"/>
  <c r="W5" i="1"/>
  <c r="C6" i="1"/>
  <c r="W6" i="1" s="1"/>
  <c r="C17" i="1"/>
  <c r="X10" i="11"/>
  <c r="BD15" i="11"/>
  <c r="AV10" i="11"/>
  <c r="AF15" i="11"/>
  <c r="P15" i="11"/>
  <c r="H15" i="11"/>
  <c r="AN10" i="11"/>
  <c r="AV15" i="11"/>
  <c r="AF10" i="11"/>
  <c r="BD10" i="11"/>
  <c r="X15" i="11"/>
  <c r="P10" i="11"/>
  <c r="AN15" i="11"/>
  <c r="H10" i="11"/>
  <c r="C28" i="1"/>
  <c r="C29" i="1" s="1"/>
  <c r="W17" i="1" l="1"/>
  <c r="C18" i="1"/>
  <c r="W18" i="1" s="1"/>
  <c r="C10" i="1"/>
  <c r="W28" i="1"/>
  <c r="C33" i="1"/>
  <c r="E18" i="8" s="1"/>
  <c r="W10" i="1" l="1"/>
  <c r="E14" i="8"/>
  <c r="B5" i="11"/>
  <c r="C11" i="1"/>
  <c r="U7" i="7" s="1"/>
  <c r="V7" i="7" s="1"/>
  <c r="W7" i="7" s="1"/>
  <c r="C39" i="1"/>
  <c r="C22" i="1"/>
  <c r="E16" i="8" s="1"/>
  <c r="C5" i="11" s="1"/>
  <c r="W33" i="1"/>
  <c r="D5" i="11"/>
  <c r="C41" i="1"/>
  <c r="C34" i="1"/>
  <c r="U9" i="7" s="1"/>
  <c r="V9" i="7" s="1"/>
  <c r="W9" i="7" s="1"/>
  <c r="C12" i="1" l="1"/>
  <c r="W12" i="1" s="1"/>
  <c r="W11" i="1"/>
  <c r="W22" i="1"/>
  <c r="C40" i="1"/>
  <c r="C23" i="1"/>
  <c r="U8" i="7" s="1"/>
  <c r="V8" i="7" s="1"/>
  <c r="W8" i="7" s="1"/>
  <c r="W34" i="1"/>
  <c r="C35" i="1"/>
  <c r="W35" i="1" s="1"/>
  <c r="C24" i="1" l="1"/>
  <c r="W24" i="1" s="1"/>
  <c r="W23" i="1"/>
</calcChain>
</file>

<file path=xl/sharedStrings.xml><?xml version="1.0" encoding="utf-8"?>
<sst xmlns="http://schemas.openxmlformats.org/spreadsheetml/2006/main" count="807" uniqueCount="203">
  <si>
    <t>Metal</t>
  </si>
  <si>
    <t>Cristal</t>
  </si>
  <si>
    <t>Deuteriu</t>
  </si>
  <si>
    <t>Baza</t>
  </si>
  <si>
    <t>1h</t>
  </si>
  <si>
    <t>1z</t>
  </si>
  <si>
    <t>1w</t>
  </si>
  <si>
    <t>Mina</t>
  </si>
  <si>
    <t>Total</t>
  </si>
  <si>
    <t>Vanator usor</t>
  </si>
  <si>
    <t>Vanator greu</t>
  </si>
  <si>
    <t>Crucisator</t>
  </si>
  <si>
    <t>Nava de razboi</t>
  </si>
  <si>
    <t>Interceptor</t>
  </si>
  <si>
    <t>Bombardier</t>
  </si>
  <si>
    <t>Distrugator</t>
  </si>
  <si>
    <t>R.I.P.</t>
  </si>
  <si>
    <t>Transportor mic</t>
  </si>
  <si>
    <t>Transportor mare</t>
  </si>
  <si>
    <t>Reciclator</t>
  </si>
  <si>
    <t>Sonda de spionaj</t>
  </si>
  <si>
    <t>Lansator de rachete</t>
  </si>
  <si>
    <t>Laser usor</t>
  </si>
  <si>
    <t>Laser greu</t>
  </si>
  <si>
    <t>Tun Gauss</t>
  </si>
  <si>
    <t>Tun magnetic</t>
  </si>
  <si>
    <t>Turela cu plasma</t>
  </si>
  <si>
    <t>Scut mic</t>
  </si>
  <si>
    <t>Scut mare</t>
  </si>
  <si>
    <t>Racheta anti-balistica</t>
  </si>
  <si>
    <t>Racheta Interplanetara</t>
  </si>
  <si>
    <t>Quantity</t>
  </si>
  <si>
    <t>Planet</t>
  </si>
  <si>
    <t>Resource</t>
  </si>
  <si>
    <t>Time [h]</t>
  </si>
  <si>
    <t>Resources</t>
  </si>
  <si>
    <t>Ship</t>
  </si>
  <si>
    <t>Ships</t>
  </si>
  <si>
    <t>Campuri</t>
  </si>
  <si>
    <t>Mina de metal</t>
  </si>
  <si>
    <t>Uzina Solara</t>
  </si>
  <si>
    <t>Mina de Metal</t>
  </si>
  <si>
    <t>Mina de Cristal</t>
  </si>
  <si>
    <t>Depozit de Metal</t>
  </si>
  <si>
    <t>Depozit de Cristal</t>
  </si>
  <si>
    <t>Bazin de Deuteriu</t>
  </si>
  <si>
    <t>Uzina de Roboti</t>
  </si>
  <si>
    <t>Santier Naval</t>
  </si>
  <si>
    <t>Laborator de Cercetari</t>
  </si>
  <si>
    <t>Siloz de Rachete</t>
  </si>
  <si>
    <t>Uzina de Naniti</t>
  </si>
  <si>
    <t>Doc Spatial</t>
  </si>
  <si>
    <t>Teh. Energiei</t>
  </si>
  <si>
    <t>Teh. Laserelor</t>
  </si>
  <si>
    <t>Astrofizica</t>
  </si>
  <si>
    <t>R.C.I.</t>
  </si>
  <si>
    <t>Teh. Gravitron</t>
  </si>
  <si>
    <t>Motor pe Combustie</t>
  </si>
  <si>
    <t>Motor Hiperspatial</t>
  </si>
  <si>
    <t>Motor cu Impuls</t>
  </si>
  <si>
    <t>Numarul planetei</t>
  </si>
  <si>
    <t>Defence</t>
  </si>
  <si>
    <t>Unit</t>
  </si>
  <si>
    <t>Nivel</t>
  </si>
  <si>
    <t>Protejat</t>
  </si>
  <si>
    <t>Procent</t>
  </si>
  <si>
    <t>Deuterium</t>
  </si>
  <si>
    <t>Depozit + seif</t>
  </si>
  <si>
    <t>Capacitate</t>
  </si>
  <si>
    <t>Siloz</t>
  </si>
  <si>
    <t>Numele planetei</t>
  </si>
  <si>
    <t>General Info</t>
  </si>
  <si>
    <t>Exchange rates</t>
  </si>
  <si>
    <t>Pozitie</t>
  </si>
  <si>
    <t>Prod/h</t>
  </si>
  <si>
    <t>Sintetizator de Deuteriu</t>
  </si>
  <si>
    <t>Temperatura</t>
  </si>
  <si>
    <t>minima</t>
  </si>
  <si>
    <t>maxima</t>
  </si>
  <si>
    <t>Formator de Sol</t>
  </si>
  <si>
    <t>Facilities</t>
  </si>
  <si>
    <t>Teh. Ionilor</t>
  </si>
  <si>
    <t>Teh. Hiperspatiala</t>
  </si>
  <si>
    <t>Teh. Plasmei</t>
  </si>
  <si>
    <t>Cercetari de baza</t>
  </si>
  <si>
    <t>Teh. Spionajului</t>
  </si>
  <si>
    <t>Teh. Calculatoarelor</t>
  </si>
  <si>
    <t>Cercetari avansate</t>
  </si>
  <si>
    <t>Cercetari pentru motoare</t>
  </si>
  <si>
    <t>Teh. Armelor</t>
  </si>
  <si>
    <t>Teh. Scutului</t>
  </si>
  <si>
    <t>Teh. Armurilor</t>
  </si>
  <si>
    <t>Cercetari pentru lupta</t>
  </si>
  <si>
    <t>Tehnologia Energiei</t>
  </si>
  <si>
    <t>Tehnologia Laserelor</t>
  </si>
  <si>
    <t>Tehnologia Ionilor</t>
  </si>
  <si>
    <t>Tehnologia Plasmei</t>
  </si>
  <si>
    <t>Tehnologia Spionajului</t>
  </si>
  <si>
    <t>Tehnologia Gravitron</t>
  </si>
  <si>
    <t>Tehnologia Armelor</t>
  </si>
  <si>
    <t>Tehnologia Scutului</t>
  </si>
  <si>
    <t>Energie</t>
  </si>
  <si>
    <t>Sint. de Deuteriu</t>
  </si>
  <si>
    <t>Ptr. nivel</t>
  </si>
  <si>
    <t>Reactor de Fuziune</t>
  </si>
  <si>
    <t>Dep. Metal</t>
  </si>
  <si>
    <t>Dep. de Cristal</t>
  </si>
  <si>
    <t>Hangarul Aliantei</t>
  </si>
  <si>
    <t>Reactor Fuziune</t>
  </si>
  <si>
    <t>Consum deut</t>
  </si>
  <si>
    <t>Plasma Teh</t>
  </si>
  <si>
    <t>Trans nec</t>
  </si>
  <si>
    <t>pp</t>
  </si>
  <si>
    <t>c1</t>
  </si>
  <si>
    <t>c2</t>
  </si>
  <si>
    <t>cr</t>
  </si>
  <si>
    <t>de</t>
  </si>
  <si>
    <t>me</t>
  </si>
  <si>
    <t>protejat</t>
  </si>
  <si>
    <t>prod zil</t>
  </si>
  <si>
    <t>calcul</t>
  </si>
  <si>
    <t>Crystal Clear</t>
  </si>
  <si>
    <t>Planeta # 1</t>
  </si>
  <si>
    <t>Planeta # 2</t>
  </si>
  <si>
    <t>Planeta # 3</t>
  </si>
  <si>
    <t>Planeta # 4</t>
  </si>
  <si>
    <t>Planeta # 5</t>
  </si>
  <si>
    <t>Planeta # 6</t>
  </si>
  <si>
    <t>Planeta # 7</t>
  </si>
  <si>
    <t>Planeta # 8</t>
  </si>
  <si>
    <t>Planeta # 9</t>
  </si>
  <si>
    <t>Planeta # 10</t>
  </si>
  <si>
    <t>Planeta # 11</t>
  </si>
  <si>
    <t>Planeta # 12</t>
  </si>
  <si>
    <t>Planeta # 13</t>
  </si>
  <si>
    <t>Planeta # 14</t>
  </si>
  <si>
    <t>Planeta # 15</t>
  </si>
  <si>
    <t>Planeta # 16</t>
  </si>
  <si>
    <t>Planeta # 17</t>
  </si>
  <si>
    <t>Planeta # 18</t>
  </si>
  <si>
    <t>Planeta # 19</t>
  </si>
  <si>
    <t>Planeta # 20</t>
  </si>
  <si>
    <t>Ocupate</t>
  </si>
  <si>
    <t>Racheta Anti-Balistica</t>
  </si>
  <si>
    <t>Scut Planetar Mare</t>
  </si>
  <si>
    <t>Scut Planetar Mic</t>
  </si>
  <si>
    <t>Turela cu Plasma</t>
  </si>
  <si>
    <t>Tun Magnetic</t>
  </si>
  <si>
    <t>Laser Greu</t>
  </si>
  <si>
    <t>Laser Usor</t>
  </si>
  <si>
    <t>Lansator de Rachete</t>
  </si>
  <si>
    <t xml:space="preserve">Puterea Atacului </t>
  </si>
  <si>
    <t>Forta Scutului</t>
  </si>
  <si>
    <t>Integritate Structurala</t>
  </si>
  <si>
    <t>Structura</t>
  </si>
  <si>
    <t>Satelit solar</t>
  </si>
  <si>
    <t>Proba de spionaj</t>
  </si>
  <si>
    <t>Nava de colonizare</t>
  </si>
  <si>
    <t>Armurilor</t>
  </si>
  <si>
    <t>RIP</t>
  </si>
  <si>
    <t>Scutului</t>
  </si>
  <si>
    <t>Armelor</t>
  </si>
  <si>
    <t>Hiperspatial</t>
  </si>
  <si>
    <t>Impuls</t>
  </si>
  <si>
    <t>Combustie</t>
  </si>
  <si>
    <t>Cercetare</t>
  </si>
  <si>
    <t>Consumul de combustibil</t>
  </si>
  <si>
    <t>Capacitatea Cargo</t>
  </si>
  <si>
    <t>Viteza</t>
  </si>
  <si>
    <t>Puterea Atacului</t>
  </si>
  <si>
    <t>Nava</t>
  </si>
  <si>
    <t>c</t>
  </si>
  <si>
    <t>i</t>
  </si>
  <si>
    <t>h</t>
  </si>
  <si>
    <t>Geolog</t>
  </si>
  <si>
    <t>Echipa de Com</t>
  </si>
  <si>
    <t>Articole</t>
  </si>
  <si>
    <t>nivel</t>
  </si>
  <si>
    <t>Deut</t>
  </si>
  <si>
    <t>Cargo</t>
  </si>
  <si>
    <t>…</t>
  </si>
  <si>
    <t>baza</t>
  </si>
  <si>
    <t>"+hyp"</t>
  </si>
  <si>
    <t>Energie total</t>
  </si>
  <si>
    <t>Diferenta</t>
  </si>
  <si>
    <t>cu formator</t>
  </si>
  <si>
    <t>Reactor</t>
  </si>
  <si>
    <t>energ need</t>
  </si>
  <si>
    <t>energ by sat</t>
  </si>
  <si>
    <t>sat need</t>
  </si>
  <si>
    <t>secs</t>
  </si>
  <si>
    <t>mins</t>
  </si>
  <si>
    <t>hrs</t>
  </si>
  <si>
    <t>time for 1 sat</t>
  </si>
  <si>
    <t>Energy</t>
  </si>
  <si>
    <t>Points</t>
  </si>
  <si>
    <t>Construction time</t>
  </si>
  <si>
    <t>Homeworld</t>
  </si>
  <si>
    <t>1.434.4</t>
  </si>
  <si>
    <t>Production</t>
  </si>
  <si>
    <t>Time</t>
  </si>
  <si>
    <t>10s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</si>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</sst>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6" formatCode="#,##0.000_);\(#,##0.000\)"/>
    <numFmt numFmtId="175" formatCode="#,##0.000000000000_);\(#,##0.000000000000\)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0" applyNumberFormat="0" applyAlignment="0" applyProtection="0"/>
  </cellStyleXfs>
  <cellXfs count="29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2" borderId="6" xfId="1" applyBorder="1" applyAlignment="1">
      <alignment horizontal="center" vertical="center"/>
    </xf>
    <xf numFmtId="0" fontId="3" fillId="4" borderId="8" xfId="3" applyBorder="1" applyAlignment="1">
      <alignment horizontal="center" vertical="center"/>
    </xf>
    <xf numFmtId="0" fontId="3" fillId="4" borderId="10" xfId="3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3" fillId="4" borderId="18" xfId="3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1" fillId="2" borderId="39" xfId="1" applyBorder="1" applyAlignment="1">
      <alignment horizontal="center" vertical="center"/>
    </xf>
    <xf numFmtId="0" fontId="7" fillId="0" borderId="38" xfId="0" applyFont="1" applyFill="1" applyBorder="1" applyAlignment="1">
      <alignment vertical="center" textRotation="90" wrapText="1"/>
    </xf>
    <xf numFmtId="0" fontId="0" fillId="0" borderId="38" xfId="0" applyFill="1" applyBorder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37" fontId="0" fillId="0" borderId="7" xfId="0" applyNumberFormat="1" applyBorder="1" applyAlignment="1">
      <alignment horizontal="center" vertical="center"/>
    </xf>
    <xf numFmtId="37" fontId="0" fillId="0" borderId="1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37" fontId="0" fillId="0" borderId="2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7" fontId="0" fillId="0" borderId="0" xfId="0" applyNumberFormat="1" applyBorder="1" applyAlignment="1">
      <alignment horizontal="center" vertical="center"/>
    </xf>
    <xf numFmtId="37" fontId="0" fillId="0" borderId="19" xfId="0" applyNumberFormat="1" applyBorder="1" applyAlignment="1">
      <alignment horizontal="center" vertical="center"/>
    </xf>
    <xf numFmtId="37" fontId="0" fillId="0" borderId="17" xfId="0" applyNumberFormat="1" applyBorder="1" applyAlignment="1">
      <alignment horizontal="center" vertical="center"/>
    </xf>
    <xf numFmtId="37" fontId="0" fillId="0" borderId="18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37" fontId="0" fillId="0" borderId="3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37" fontId="0" fillId="0" borderId="6" xfId="0" applyNumberFormat="1" applyBorder="1" applyAlignment="1">
      <alignment horizontal="center" vertical="center"/>
    </xf>
    <xf numFmtId="37" fontId="0" fillId="0" borderId="9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37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37" fontId="0" fillId="0" borderId="5" xfId="0" applyNumberFormat="1" applyBorder="1" applyAlignment="1">
      <alignment horizontal="center" vertical="center"/>
    </xf>
    <xf numFmtId="37" fontId="0" fillId="0" borderId="8" xfId="0" applyNumberFormat="1" applyBorder="1" applyAlignment="1">
      <alignment horizontal="center" vertical="center"/>
    </xf>
    <xf numFmtId="37" fontId="0" fillId="0" borderId="11" xfId="0" applyNumberFormat="1" applyBorder="1" applyAlignment="1">
      <alignment horizontal="center" vertical="center"/>
    </xf>
    <xf numFmtId="0" fontId="3" fillId="4" borderId="7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0" fillId="0" borderId="17" xfId="0" applyBorder="1"/>
    <xf numFmtId="0" fontId="0" fillId="0" borderId="35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37" fontId="4" fillId="5" borderId="7" xfId="1" applyNumberFormat="1" applyFont="1" applyFill="1" applyBorder="1" applyAlignment="1">
      <alignment horizontal="center" vertical="center"/>
    </xf>
    <xf numFmtId="37" fontId="4" fillId="6" borderId="7" xfId="2" applyNumberFormat="1" applyFont="1" applyFill="1" applyBorder="1" applyAlignment="1">
      <alignment horizontal="center" vertical="center"/>
    </xf>
    <xf numFmtId="37" fontId="4" fillId="6" borderId="8" xfId="2" applyNumberFormat="1" applyFont="1" applyFill="1" applyBorder="1" applyAlignment="1">
      <alignment horizontal="center" vertical="center"/>
    </xf>
    <xf numFmtId="37" fontId="4" fillId="6" borderId="10" xfId="2" applyNumberFormat="1" applyFont="1" applyFill="1" applyBorder="1" applyAlignment="1">
      <alignment horizontal="center" vertical="center"/>
    </xf>
    <xf numFmtId="37" fontId="0" fillId="0" borderId="21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/>
    </xf>
    <xf numFmtId="37" fontId="0" fillId="0" borderId="0" xfId="0" applyNumberFormat="1" applyAlignment="1">
      <alignment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37" fontId="0" fillId="0" borderId="2" xfId="0" applyNumberFormat="1" applyBorder="1" applyAlignment="1">
      <alignment horizontal="center" vertical="center"/>
    </xf>
    <xf numFmtId="37" fontId="0" fillId="0" borderId="2" xfId="0" applyNumberFormat="1" applyBorder="1" applyAlignment="1">
      <alignment vertical="center" wrapText="1"/>
    </xf>
    <xf numFmtId="3" fontId="4" fillId="5" borderId="7" xfId="1" applyNumberFormat="1" applyFont="1" applyFill="1" applyBorder="1" applyAlignment="1">
      <alignment horizontal="center" vertical="center"/>
    </xf>
    <xf numFmtId="3" fontId="4" fillId="6" borderId="7" xfId="2" applyNumberFormat="1" applyFont="1" applyFill="1" applyBorder="1" applyAlignment="1">
      <alignment horizontal="center" vertical="center"/>
    </xf>
    <xf numFmtId="3" fontId="4" fillId="6" borderId="10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textRotation="90"/>
    </xf>
    <xf numFmtId="0" fontId="0" fillId="0" borderId="7" xfId="0" applyFill="1" applyBorder="1" applyAlignment="1">
      <alignment horizontal="center" vertical="center" textRotation="90"/>
    </xf>
    <xf numFmtId="0" fontId="0" fillId="0" borderId="7" xfId="0" applyFont="1" applyFill="1" applyBorder="1" applyAlignment="1">
      <alignment horizontal="center" vertical="center" textRotation="90"/>
    </xf>
    <xf numFmtId="0" fontId="0" fillId="0" borderId="9" xfId="0" applyFont="1" applyFill="1" applyBorder="1" applyAlignment="1">
      <alignment horizontal="center" vertical="center" textRotation="90"/>
    </xf>
    <xf numFmtId="0" fontId="0" fillId="0" borderId="10" xfId="0" applyFill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11" borderId="2" xfId="0" applyFill="1" applyBorder="1" applyAlignment="1">
      <alignment horizontal="center" vertical="center" wrapText="1"/>
    </xf>
    <xf numFmtId="0" fontId="0" fillId="11" borderId="40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37" fontId="0" fillId="11" borderId="6" xfId="0" applyNumberForma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37" fontId="0" fillId="11" borderId="7" xfId="0" applyNumberFormat="1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horizontal="center" vertical="center"/>
    </xf>
    <xf numFmtId="0" fontId="0" fillId="5" borderId="8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37" fontId="0" fillId="5" borderId="8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37" fontId="0" fillId="5" borderId="7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13" borderId="2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3" fillId="4" borderId="11" xfId="3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8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37" fontId="0" fillId="0" borderId="7" xfId="0" applyNumberFormat="1" applyFill="1" applyBorder="1" applyAlignment="1">
      <alignment horizontal="center" vertical="center"/>
    </xf>
    <xf numFmtId="37" fontId="0" fillId="0" borderId="8" xfId="0" applyNumberFormat="1" applyFill="1" applyBorder="1" applyAlignment="1">
      <alignment horizontal="center" vertical="center"/>
    </xf>
    <xf numFmtId="37" fontId="0" fillId="0" borderId="10" xfId="0" applyNumberFormat="1" applyFill="1" applyBorder="1" applyAlignment="1">
      <alignment horizontal="center" vertical="center"/>
    </xf>
    <xf numFmtId="37" fontId="0" fillId="0" borderId="11" xfId="0" applyNumberForma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3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3" fontId="3" fillId="4" borderId="8" xfId="3" applyNumberForma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textRotation="90"/>
    </xf>
    <xf numFmtId="0" fontId="7" fillId="0" borderId="23" xfId="0" applyFont="1" applyBorder="1" applyAlignment="1">
      <alignment horizontal="center" vertical="center" textRotation="90"/>
    </xf>
    <xf numFmtId="0" fontId="7" fillId="0" borderId="24" xfId="0" applyFont="1" applyBorder="1" applyAlignment="1">
      <alignment horizontal="center" vertical="center" textRotation="90"/>
    </xf>
    <xf numFmtId="0" fontId="6" fillId="0" borderId="34" xfId="0" applyFont="1" applyBorder="1" applyAlignment="1">
      <alignment horizontal="center" vertical="center" textRotation="90" wrapText="1"/>
    </xf>
    <xf numFmtId="0" fontId="6" fillId="0" borderId="35" xfId="0" applyFont="1" applyBorder="1" applyAlignment="1">
      <alignment horizontal="center" vertical="center" textRotation="90" wrapText="1"/>
    </xf>
    <xf numFmtId="0" fontId="7" fillId="0" borderId="34" xfId="0" applyFont="1" applyBorder="1" applyAlignment="1">
      <alignment horizontal="center" vertical="center" textRotation="90" wrapText="1"/>
    </xf>
    <xf numFmtId="0" fontId="7" fillId="0" borderId="35" xfId="0" applyFont="1" applyBorder="1" applyAlignment="1">
      <alignment horizontal="center" vertical="center" textRotation="90" wrapText="1"/>
    </xf>
    <xf numFmtId="0" fontId="7" fillId="0" borderId="32" xfId="0" applyFont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90"/>
    </xf>
    <xf numFmtId="0" fontId="7" fillId="0" borderId="34" xfId="0" applyFont="1" applyBorder="1" applyAlignment="1">
      <alignment horizontal="center" vertical="center" textRotation="90"/>
    </xf>
    <xf numFmtId="0" fontId="7" fillId="0" borderId="35" xfId="0" applyFont="1" applyBorder="1" applyAlignment="1">
      <alignment horizontal="center" vertical="center" textRotation="90"/>
    </xf>
    <xf numFmtId="0" fontId="7" fillId="0" borderId="32" xfId="0" applyFont="1" applyBorder="1" applyAlignment="1">
      <alignment horizontal="center" vertical="center" textRotation="9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90" wrapText="1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 textRotation="90"/>
    </xf>
    <xf numFmtId="37" fontId="0" fillId="0" borderId="2" xfId="0" applyNumberFormat="1" applyBorder="1" applyAlignment="1">
      <alignment horizontal="center" vertical="center" wrapText="1"/>
    </xf>
    <xf numFmtId="37" fontId="0" fillId="0" borderId="2" xfId="0" applyNumberFormat="1" applyBorder="1" applyAlignment="1">
      <alignment horizontal="center" vertical="center"/>
    </xf>
    <xf numFmtId="37" fontId="0" fillId="0" borderId="0" xfId="0" quotePrefix="1" applyNumberFormat="1" applyBorder="1" applyAlignment="1">
      <alignment horizontal="center" vertical="center"/>
    </xf>
    <xf numFmtId="39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75" fontId="0" fillId="0" borderId="0" xfId="0" applyNumberFormat="1" applyBorder="1" applyAlignment="1">
      <alignment horizontal="center" vertical="center"/>
    </xf>
  </cellXfs>
  <cellStyles count="4">
    <cellStyle name="Calculation" xfId="2" builtinId="22"/>
    <cellStyle name="Check Cell" xfId="3" builtinId="23" customBuiltin="1"/>
    <cellStyle name="Input" xfId="1" builtinId="20"/>
    <cellStyle name="Normal" xfId="0" builtinId="0"/>
  </cellStyles>
  <dxfs count="22"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2" tint="-0.24994659260841701"/>
        </patternFill>
      </fill>
      <border>
        <vertical/>
        <horizontal/>
      </border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0"/>
  <sheetViews>
    <sheetView workbookViewId="0">
      <selection activeCell="L20" sqref="L20"/>
    </sheetView>
  </sheetViews>
  <sheetFormatPr defaultRowHeight="15" x14ac:dyDescent="0.25"/>
  <cols>
    <col min="1" max="1" width="9.140625" style="1"/>
    <col min="2" max="2" width="5.7109375" style="1" customWidth="1"/>
    <col min="3" max="3" width="20.140625" style="1" bestFit="1" customWidth="1"/>
    <col min="4" max="4" width="14" style="1" bestFit="1" customWidth="1"/>
    <col min="5" max="5" width="10.7109375" style="1" bestFit="1" customWidth="1"/>
    <col min="6" max="7" width="12" style="1" bestFit="1" customWidth="1"/>
    <col min="8" max="8" width="7.140625" style="1" customWidth="1"/>
    <col min="9" max="9" width="11.140625" style="1" bestFit="1" customWidth="1"/>
    <col min="10" max="10" width="11.7109375" style="1" bestFit="1" customWidth="1"/>
    <col min="11" max="11" width="12" style="1" bestFit="1" customWidth="1"/>
    <col min="12" max="12" width="10.85546875" style="1" bestFit="1" customWidth="1"/>
    <col min="13" max="18" width="9.140625" style="1"/>
    <col min="19" max="19" width="9" style="1" bestFit="1" customWidth="1"/>
    <col min="20" max="20" width="8" style="1" bestFit="1" customWidth="1"/>
    <col min="21" max="16384" width="9.140625" style="1"/>
  </cols>
  <sheetData>
    <row r="1" spans="2:22" ht="15.75" thickBot="1" x14ac:dyDescent="0.3"/>
    <row r="2" spans="2:22" ht="16.5" customHeight="1" thickTop="1" thickBot="1" x14ac:dyDescent="0.3">
      <c r="B2" s="251" t="s">
        <v>35</v>
      </c>
      <c r="C2" s="12" t="s">
        <v>31</v>
      </c>
      <c r="D2" s="184" t="s">
        <v>33</v>
      </c>
      <c r="E2"/>
      <c r="F2"/>
      <c r="G2" s="42"/>
      <c r="H2" s="253" t="s">
        <v>72</v>
      </c>
      <c r="I2" s="17" t="s">
        <v>0</v>
      </c>
      <c r="J2" s="17" t="s">
        <v>0</v>
      </c>
      <c r="K2" s="13" t="s">
        <v>1</v>
      </c>
      <c r="L2" s="14" t="s">
        <v>66</v>
      </c>
    </row>
    <row r="3" spans="2:22" ht="15.75" thickBot="1" x14ac:dyDescent="0.3">
      <c r="B3" s="252"/>
      <c r="C3" s="49">
        <v>7500</v>
      </c>
      <c r="D3" s="190" t="s">
        <v>1</v>
      </c>
      <c r="E3"/>
      <c r="F3"/>
      <c r="G3" s="42"/>
      <c r="H3" s="254"/>
      <c r="I3" s="102">
        <v>2.2999999999999998</v>
      </c>
      <c r="J3" s="52">
        <v>3500000</v>
      </c>
      <c r="K3" s="98">
        <f>J3/I5</f>
        <v>2692307.692307692</v>
      </c>
      <c r="L3" s="50">
        <f>J3/I3</f>
        <v>1521739.1304347827</v>
      </c>
    </row>
    <row r="4" spans="2:22" ht="16.5" thickTop="1" thickBot="1" x14ac:dyDescent="0.3">
      <c r="B4" s="252"/>
      <c r="C4" s="3" t="s">
        <v>32</v>
      </c>
      <c r="D4" s="5" t="s">
        <v>34</v>
      </c>
      <c r="E4"/>
      <c r="F4"/>
      <c r="G4" s="42"/>
      <c r="H4" s="254"/>
      <c r="I4" s="13" t="s">
        <v>1</v>
      </c>
      <c r="J4" s="18" t="s">
        <v>0</v>
      </c>
      <c r="K4" s="4" t="s">
        <v>1</v>
      </c>
      <c r="L4" s="5" t="s">
        <v>66</v>
      </c>
    </row>
    <row r="5" spans="2:22" ht="15.75" thickBot="1" x14ac:dyDescent="0.3">
      <c r="B5" s="252"/>
      <c r="C5" s="72" t="s">
        <v>121</v>
      </c>
      <c r="D5" s="191" t="e">
        <f>C3/(INDEX(Resources!C39:V41,MATCH(Calculator!D3,Resources!B39:B41,0),MATCH(Calculator!C5,Resources!C38:V38,0)))</f>
        <v>#N/A</v>
      </c>
      <c r="E5"/>
      <c r="F5"/>
      <c r="G5" s="42"/>
      <c r="H5" s="254"/>
      <c r="I5" s="102">
        <v>1.3</v>
      </c>
      <c r="J5" s="100">
        <f>K5*I5</f>
        <v>975000</v>
      </c>
      <c r="K5" s="6">
        <v>750000</v>
      </c>
      <c r="L5" s="50">
        <f>K5/I5</f>
        <v>576923.07692307688</v>
      </c>
    </row>
    <row r="6" spans="2:22" ht="16.5" thickTop="1" thickBot="1" x14ac:dyDescent="0.3">
      <c r="B6" s="73"/>
      <c r="C6" s="74"/>
      <c r="D6" s="74"/>
      <c r="E6" s="44"/>
      <c r="F6" s="44"/>
      <c r="G6" s="44"/>
      <c r="H6" s="254"/>
      <c r="I6" s="14" t="s">
        <v>66</v>
      </c>
      <c r="J6" s="101" t="s">
        <v>0</v>
      </c>
      <c r="K6" s="4" t="s">
        <v>1</v>
      </c>
      <c r="L6" s="5" t="s">
        <v>66</v>
      </c>
    </row>
    <row r="7" spans="2:22" ht="16.5" thickTop="1" thickBot="1" x14ac:dyDescent="0.3">
      <c r="B7" s="248" t="s">
        <v>37</v>
      </c>
      <c r="C7" s="17" t="s">
        <v>36</v>
      </c>
      <c r="D7" s="14" t="s">
        <v>1</v>
      </c>
      <c r="H7" s="255"/>
      <c r="I7" s="103">
        <v>1</v>
      </c>
      <c r="J7" s="53">
        <f>L7*I3</f>
        <v>4600000</v>
      </c>
      <c r="K7" s="51">
        <f>L7*I5</f>
        <v>2600000</v>
      </c>
      <c r="L7" s="99">
        <v>2000000</v>
      </c>
    </row>
    <row r="8" spans="2:22" ht="15.75" thickBot="1" x14ac:dyDescent="0.3">
      <c r="B8" s="249"/>
      <c r="C8" s="52" t="s">
        <v>155</v>
      </c>
      <c r="D8" s="247">
        <f>C10*(INDEX('Ships&amp;Defence'!C3:E15,MATCH(Calculator!C8,'Ships&amp;Defence'!B3:B15,0),MATCH(D7,'Ships&amp;Defence'!C2:E2,0)))</f>
        <v>10000000</v>
      </c>
      <c r="H8" s="48"/>
      <c r="I8" s="48"/>
    </row>
    <row r="9" spans="2:22" ht="15.75" thickBot="1" x14ac:dyDescent="0.3">
      <c r="B9" s="249"/>
      <c r="C9" s="18" t="s">
        <v>31</v>
      </c>
      <c r="D9" s="5" t="s">
        <v>66</v>
      </c>
    </row>
    <row r="10" spans="2:22" ht="15.75" thickBot="1" x14ac:dyDescent="0.3">
      <c r="B10" s="249"/>
      <c r="C10" s="52">
        <v>5000</v>
      </c>
      <c r="D10" s="247">
        <f>C10*(INDEX('Ships&amp;Defence'!C3:E15,MATCH(Calculator!C8,'Ships&amp;Defence'!B3:B15,0),MATCH(D9,'Ships&amp;Defence'!C2:E2,0)))</f>
        <v>2500000</v>
      </c>
    </row>
    <row r="11" spans="2:22" ht="15.75" thickBot="1" x14ac:dyDescent="0.3">
      <c r="B11" s="249"/>
      <c r="C11" s="18" t="s">
        <v>0</v>
      </c>
      <c r="D11" s="163" t="s">
        <v>179</v>
      </c>
      <c r="L11" s="126"/>
      <c r="M11" s="126"/>
      <c r="N11" s="126"/>
      <c r="O11" s="126"/>
    </row>
    <row r="12" spans="2:22" ht="15.75" thickBot="1" x14ac:dyDescent="0.3">
      <c r="B12" s="250"/>
      <c r="C12" s="53">
        <f>C10*(INDEX('Ships&amp;Defence'!C3:E15,MATCH(Calculator!C8,'Ships&amp;Defence'!B3:B15,0),MATCH(C11,'Ships&amp;Defence'!C2:E2,0)))</f>
        <v>0</v>
      </c>
      <c r="D12" s="191">
        <f>C10*(INDEX('Ships&amp;Defence'!Q3:Q16,MATCH(Calculator!C8,'Ships&amp;Defence'!L3:L16,0),MATCH(D11,'Ships&amp;Defence'!Q2,0)))</f>
        <v>0</v>
      </c>
      <c r="Q12" s="126"/>
    </row>
    <row r="13" spans="2:22" ht="16.5" thickTop="1" thickBot="1" x14ac:dyDescent="0.3">
      <c r="P13" s="126"/>
      <c r="Q13" s="126"/>
    </row>
    <row r="14" spans="2:22" ht="16.5" thickTop="1" thickBot="1" x14ac:dyDescent="0.3">
      <c r="B14" s="248" t="s">
        <v>61</v>
      </c>
      <c r="C14" s="17" t="s">
        <v>62</v>
      </c>
      <c r="D14" s="14" t="s">
        <v>1</v>
      </c>
      <c r="I14" s="1" t="s">
        <v>187</v>
      </c>
      <c r="J14" s="1" t="s">
        <v>188</v>
      </c>
      <c r="K14" s="1" t="s">
        <v>189</v>
      </c>
      <c r="L14" s="1" t="s">
        <v>193</v>
      </c>
      <c r="M14" s="1" t="s">
        <v>190</v>
      </c>
      <c r="N14" s="1" t="s">
        <v>191</v>
      </c>
      <c r="O14" s="1" t="s">
        <v>192</v>
      </c>
      <c r="P14" s="126"/>
      <c r="Q14" s="126"/>
    </row>
    <row r="15" spans="2:22" ht="15.75" thickBot="1" x14ac:dyDescent="0.3">
      <c r="B15" s="249"/>
      <c r="C15" s="52" t="s">
        <v>25</v>
      </c>
      <c r="D15" s="50">
        <f>C17*(INDEX('Ships&amp;Defence'!H3:J12,MATCH(Calculator!C15,'Ships&amp;Defence'!G3:G12,0),MATCH(D14,'Ships&amp;Defence'!H2:J2,0)))</f>
        <v>60000</v>
      </c>
      <c r="I15" s="1">
        <v>300000</v>
      </c>
      <c r="J15" s="1">
        <v>60</v>
      </c>
      <c r="K15" s="126">
        <f>I15/J15</f>
        <v>5000</v>
      </c>
      <c r="L15" s="126">
        <v>7</v>
      </c>
      <c r="M15" s="126">
        <f>K15*L15</f>
        <v>35000</v>
      </c>
      <c r="N15" s="126">
        <f>M15/60</f>
        <v>583.33333333333337</v>
      </c>
      <c r="O15" s="126">
        <f>N15/60</f>
        <v>9.7222222222222232</v>
      </c>
      <c r="U15" s="126"/>
      <c r="V15" s="126"/>
    </row>
    <row r="16" spans="2:22" ht="15.75" thickBot="1" x14ac:dyDescent="0.3">
      <c r="B16" s="249"/>
      <c r="C16" s="18" t="s">
        <v>31</v>
      </c>
      <c r="D16" s="5" t="s">
        <v>66</v>
      </c>
    </row>
    <row r="17" spans="2:24" ht="15.75" thickBot="1" x14ac:dyDescent="0.3">
      <c r="B17" s="249"/>
      <c r="C17" s="52">
        <v>10</v>
      </c>
      <c r="D17" s="50">
        <f>C17*(INDEX('Ships&amp;Defence'!H3:J12,MATCH(Calculator!C15,'Ships&amp;Defence'!G3:G12,0),MATCH(D16,'Ships&amp;Defence'!H2:J2,0)))</f>
        <v>0</v>
      </c>
    </row>
    <row r="18" spans="2:24" ht="15.75" thickBot="1" x14ac:dyDescent="0.3">
      <c r="B18" s="249"/>
      <c r="C18" s="18" t="s">
        <v>0</v>
      </c>
      <c r="D18" s="54" t="str">
        <f>IF(OR(C15='Ships&amp;Defence'!G11,C15='Ships&amp;Defence'!G12),"Locuri ocupate","")</f>
        <v/>
      </c>
    </row>
    <row r="19" spans="2:24" ht="15.75" thickBot="1" x14ac:dyDescent="0.3">
      <c r="B19" s="250"/>
      <c r="C19" s="53">
        <f>C17*(INDEX('Ships&amp;Defence'!H3:J12,MATCH(Calculator!C15,'Ships&amp;Defence'!G3:G12,0),MATCH(C18,'Ships&amp;Defence'!H2:J2,0)))</f>
        <v>20000</v>
      </c>
      <c r="D19" s="41" t="str">
        <f>IF(C15='Ships&amp;Defence'!G11,1*Calculator!C17,IF(Calculator!C15='Ships&amp;Defence'!G12,2*Calculator!C17,""))</f>
        <v/>
      </c>
    </row>
    <row r="20" spans="2:24" ht="15.75" thickTop="1" x14ac:dyDescent="0.25">
      <c r="I20" s="75"/>
    </row>
    <row r="21" spans="2:24" x14ac:dyDescent="0.25">
      <c r="I21" s="75"/>
      <c r="L21" s="75"/>
    </row>
    <row r="22" spans="2:24" x14ac:dyDescent="0.25">
      <c r="I22" s="75"/>
      <c r="L22" s="75"/>
    </row>
    <row r="24" spans="2:24" x14ac:dyDescent="0.25">
      <c r="V24" s="164"/>
      <c r="W24" s="164"/>
      <c r="X24" s="164"/>
    </row>
    <row r="25" spans="2:24" x14ac:dyDescent="0.25">
      <c r="V25" s="164"/>
      <c r="W25" s="164"/>
      <c r="X25" s="164"/>
    </row>
    <row r="26" spans="2:24" x14ac:dyDescent="0.25">
      <c r="V26" s="164"/>
      <c r="W26" s="164"/>
      <c r="X26" s="164"/>
    </row>
    <row r="27" spans="2:24" x14ac:dyDescent="0.25">
      <c r="V27" s="164"/>
      <c r="W27" s="164"/>
      <c r="X27" s="164"/>
    </row>
    <row r="28" spans="2:24" x14ac:dyDescent="0.25">
      <c r="V28" s="164"/>
      <c r="W28" s="164"/>
      <c r="X28" s="164"/>
    </row>
    <row r="29" spans="2:24" x14ac:dyDescent="0.25">
      <c r="V29" s="164"/>
      <c r="W29" s="164"/>
      <c r="X29" s="164"/>
    </row>
    <row r="30" spans="2:24" x14ac:dyDescent="0.25">
      <c r="V30" s="164"/>
      <c r="W30" s="164"/>
      <c r="X30" s="164"/>
    </row>
  </sheetData>
  <mergeCells count="4">
    <mergeCell ref="B7:B12"/>
    <mergeCell ref="B2:B5"/>
    <mergeCell ref="B14:B19"/>
    <mergeCell ref="H2:H7"/>
  </mergeCells>
  <conditionalFormatting sqref="D18">
    <cfRule type="expression" dxfId="21" priority="4">
      <formula>$D$18&lt;&gt;""</formula>
    </cfRule>
  </conditionalFormatting>
  <conditionalFormatting sqref="D19">
    <cfRule type="expression" dxfId="20" priority="3">
      <formula>$D$18&lt;&gt;""</formula>
    </cfRule>
  </conditionalFormatting>
  <conditionalFormatting sqref="D9:D10">
    <cfRule type="expression" dxfId="19" priority="2">
      <formula>$D$10=0</formula>
    </cfRule>
  </conditionalFormatting>
  <conditionalFormatting sqref="C11:C12">
    <cfRule type="expression" dxfId="18" priority="1">
      <formula>$C$12=0</formula>
    </cfRule>
  </conditionalFormatting>
  <dataValidations disablePrompts="1" count="2">
    <dataValidation type="list" allowBlank="1" showInputMessage="1" showErrorMessage="1" sqref="D3">
      <formula1>"Metal,Cristal,Deuteriu"</formula1>
    </dataValidation>
    <dataValidation type="list" allowBlank="1" showInputMessage="1" showErrorMessage="1" sqref="D4">
      <formula1>"Time [sec], Time [min], Time [h], Time [d], Time [w]"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Resources!$C$3:$V$3</xm:f>
          </x14:formula1>
          <xm:sqref>C5</xm:sqref>
        </x14:dataValidation>
        <x14:dataValidation type="list" allowBlank="1" showInputMessage="1" showErrorMessage="1">
          <x14:formula1>
            <xm:f>'Ships&amp;Defence'!$B$3:$B$15</xm:f>
          </x14:formula1>
          <xm:sqref>C8</xm:sqref>
        </x14:dataValidation>
        <x14:dataValidation type="list" allowBlank="1" showInputMessage="1" showErrorMessage="1">
          <x14:formula1>
            <xm:f>'Ships&amp;Defence'!$G$3:$G$12</xm:f>
          </x14:formula1>
          <xm:sqref>C15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0"/>
  <sheetViews>
    <sheetView tabSelected="1" workbookViewId="0">
      <selection activeCell="F6" sqref="F6"/>
    </sheetView>
  </sheetViews>
  <sheetFormatPr defaultRowHeight="15" x14ac:dyDescent="0.25"/>
  <cols>
    <col min="1" max="1" width="9.140625" style="75"/>
    <col min="2" max="2" width="5.85546875" style="75" bestFit="1" customWidth="1"/>
    <col min="3" max="4" width="9.85546875" style="75" bestFit="1" customWidth="1"/>
    <col min="5" max="6" width="9.85546875" style="75" customWidth="1"/>
    <col min="7" max="8" width="17.140625" style="75" customWidth="1"/>
    <col min="9" max="9" width="9.140625" style="75"/>
    <col min="10" max="10" width="5.85546875" style="75" bestFit="1" customWidth="1"/>
    <col min="11" max="12" width="10.85546875" style="75" bestFit="1" customWidth="1"/>
    <col min="13" max="13" width="12.28515625" style="75" bestFit="1" customWidth="1"/>
    <col min="14" max="14" width="10.85546875" style="75" customWidth="1"/>
    <col min="15" max="15" width="9.140625" style="75"/>
    <col min="16" max="16" width="5.85546875" style="75" bestFit="1" customWidth="1"/>
    <col min="17" max="17" width="10.85546875" style="75" bestFit="1" customWidth="1"/>
    <col min="18" max="18" width="9.85546875" style="75" bestFit="1" customWidth="1"/>
    <col min="19" max="19" width="9.140625" style="75"/>
    <col min="20" max="20" width="5.85546875" style="75" bestFit="1" customWidth="1"/>
    <col min="21" max="22" width="9.85546875" style="75" bestFit="1" customWidth="1"/>
    <col min="23" max="23" width="9.85546875" style="75" customWidth="1"/>
    <col min="24" max="24" width="19.7109375" style="75" customWidth="1"/>
    <col min="25" max="25" width="9.85546875" style="75" customWidth="1"/>
    <col min="26" max="26" width="9.140625" style="75"/>
    <col min="27" max="27" width="5.85546875" style="75" customWidth="1"/>
    <col min="28" max="29" width="8.28515625" style="75" bestFit="1" customWidth="1"/>
    <col min="30" max="30" width="8.85546875" style="75" bestFit="1" customWidth="1"/>
    <col min="31" max="31" width="9.140625" style="75"/>
    <col min="32" max="32" width="5.85546875" style="75" customWidth="1"/>
    <col min="33" max="33" width="15.5703125" style="75" bestFit="1" customWidth="1"/>
    <col min="34" max="34" width="9.140625" style="75"/>
    <col min="35" max="35" width="5.85546875" style="75" customWidth="1"/>
    <col min="36" max="37" width="15.5703125" style="75" bestFit="1" customWidth="1"/>
    <col min="38" max="38" width="9.140625" style="75"/>
    <col min="39" max="39" width="5.85546875" style="75" customWidth="1"/>
    <col min="40" max="41" width="15.5703125" style="75" bestFit="1" customWidth="1"/>
    <col min="42" max="43" width="9.140625" style="75"/>
    <col min="44" max="44" width="15.5703125" style="75" bestFit="1" customWidth="1"/>
    <col min="45" max="45" width="14.5703125" style="75" bestFit="1" customWidth="1"/>
    <col min="46" max="46" width="15.5703125" style="75" bestFit="1" customWidth="1"/>
    <col min="47" max="48" width="9.140625" style="75"/>
    <col min="49" max="51" width="15.5703125" style="75" bestFit="1" customWidth="1"/>
    <col min="52" max="52" width="9.85546875" style="75" bestFit="1" customWidth="1"/>
    <col min="53" max="53" width="9.140625" style="75"/>
    <col min="54" max="56" width="15.5703125" style="75" bestFit="1" customWidth="1"/>
    <col min="57" max="57" width="9.140625" style="75"/>
    <col min="58" max="58" width="5.85546875" style="75" customWidth="1"/>
    <col min="59" max="60" width="15.5703125" style="75" bestFit="1" customWidth="1"/>
    <col min="61" max="62" width="9.140625" style="75"/>
    <col min="63" max="64" width="18.28515625" style="75" bestFit="1" customWidth="1"/>
    <col min="65" max="65" width="15.5703125" style="75" bestFit="1" customWidth="1"/>
    <col min="66" max="67" width="9.140625" style="75"/>
    <col min="68" max="69" width="19.28515625" style="75" bestFit="1" customWidth="1"/>
    <col min="70" max="70" width="18.28515625" style="75" bestFit="1" customWidth="1"/>
    <col min="71" max="72" width="9.140625" style="75"/>
    <col min="73" max="74" width="19.28515625" style="75" bestFit="1" customWidth="1"/>
    <col min="75" max="75" width="18.28515625" style="75" bestFit="1" customWidth="1"/>
    <col min="76" max="77" width="9.140625" style="75"/>
    <col min="78" max="78" width="29.28515625" style="75" bestFit="1" customWidth="1"/>
    <col min="79" max="79" width="28.28515625" style="75" bestFit="1" customWidth="1"/>
    <col min="80" max="80" width="18.28515625" style="75" bestFit="1" customWidth="1"/>
    <col min="81" max="16384" width="9.140625" style="75"/>
  </cols>
  <sheetData>
    <row r="1" spans="2:80" ht="15.75" thickBot="1" x14ac:dyDescent="0.3">
      <c r="AE1" s="75">
        <v>32</v>
      </c>
    </row>
    <row r="2" spans="2:80" ht="15" customHeight="1" thickTop="1" thickBot="1" x14ac:dyDescent="0.3">
      <c r="B2" s="292" t="s">
        <v>103</v>
      </c>
      <c r="C2" s="293" t="s">
        <v>41</v>
      </c>
      <c r="D2" s="293"/>
      <c r="E2" s="82"/>
      <c r="F2" s="82"/>
      <c r="G2" s="82">
        <v>120</v>
      </c>
      <c r="H2" s="82"/>
      <c r="J2" s="292" t="s">
        <v>103</v>
      </c>
      <c r="K2" s="293" t="s">
        <v>42</v>
      </c>
      <c r="L2" s="293"/>
      <c r="M2" s="82"/>
      <c r="N2" s="82"/>
      <c r="O2" s="117"/>
      <c r="P2" s="292" t="s">
        <v>103</v>
      </c>
      <c r="Q2" s="292" t="s">
        <v>102</v>
      </c>
      <c r="R2" s="292"/>
      <c r="T2" s="292" t="s">
        <v>103</v>
      </c>
      <c r="U2" s="293" t="s">
        <v>40</v>
      </c>
      <c r="V2" s="293"/>
      <c r="W2" s="82"/>
      <c r="X2" s="82"/>
      <c r="Y2" s="82"/>
      <c r="AA2" s="292" t="s">
        <v>103</v>
      </c>
      <c r="AB2" s="293" t="s">
        <v>104</v>
      </c>
      <c r="AC2" s="293"/>
      <c r="AD2" s="293"/>
      <c r="AE2" s="75">
        <v>69</v>
      </c>
      <c r="AF2" s="292" t="s">
        <v>103</v>
      </c>
      <c r="AG2" s="121" t="s">
        <v>105</v>
      </c>
      <c r="AH2" s="117"/>
      <c r="AI2" s="292" t="s">
        <v>103</v>
      </c>
      <c r="AJ2" s="292" t="s">
        <v>106</v>
      </c>
      <c r="AK2" s="292"/>
      <c r="AM2" s="292" t="s">
        <v>103</v>
      </c>
      <c r="AN2" s="292" t="s">
        <v>45</v>
      </c>
      <c r="AO2" s="292"/>
      <c r="AQ2" s="292" t="s">
        <v>103</v>
      </c>
      <c r="AR2" s="293" t="s">
        <v>46</v>
      </c>
      <c r="AS2" s="293"/>
      <c r="AT2" s="293"/>
      <c r="AV2" s="292" t="s">
        <v>103</v>
      </c>
      <c r="AW2" s="293" t="s">
        <v>47</v>
      </c>
      <c r="AX2" s="293"/>
      <c r="AY2" s="293"/>
      <c r="BA2" s="292" t="s">
        <v>103</v>
      </c>
      <c r="BB2" s="293" t="s">
        <v>48</v>
      </c>
      <c r="BC2" s="293"/>
      <c r="BD2" s="293"/>
      <c r="BF2" s="292" t="s">
        <v>103</v>
      </c>
      <c r="BG2" s="292" t="s">
        <v>107</v>
      </c>
      <c r="BH2" s="292"/>
      <c r="BJ2" s="292" t="s">
        <v>103</v>
      </c>
      <c r="BK2" s="293" t="s">
        <v>49</v>
      </c>
      <c r="BL2" s="293"/>
      <c r="BM2" s="293"/>
      <c r="BO2" s="292" t="s">
        <v>103</v>
      </c>
      <c r="BP2" s="293" t="s">
        <v>50</v>
      </c>
      <c r="BQ2" s="293"/>
      <c r="BR2" s="293"/>
      <c r="BT2" s="292" t="s">
        <v>103</v>
      </c>
      <c r="BU2" s="293" t="s">
        <v>79</v>
      </c>
      <c r="BV2" s="293"/>
      <c r="BW2" s="293"/>
      <c r="BY2" s="292" t="s">
        <v>103</v>
      </c>
      <c r="BZ2" s="293" t="s">
        <v>51</v>
      </c>
      <c r="CA2" s="293"/>
      <c r="CB2" s="293"/>
    </row>
    <row r="3" spans="2:80" ht="16.5" thickTop="1" thickBot="1" x14ac:dyDescent="0.3">
      <c r="B3" s="292"/>
      <c r="C3" s="120" t="s">
        <v>0</v>
      </c>
      <c r="D3" s="120" t="s">
        <v>1</v>
      </c>
      <c r="E3" s="82" t="s">
        <v>194</v>
      </c>
      <c r="F3" s="82" t="s">
        <v>195</v>
      </c>
      <c r="G3" s="82" t="s">
        <v>199</v>
      </c>
      <c r="H3" s="82" t="s">
        <v>196</v>
      </c>
      <c r="J3" s="292"/>
      <c r="K3" s="120" t="s">
        <v>0</v>
      </c>
      <c r="L3" s="120" t="s">
        <v>1</v>
      </c>
      <c r="M3" s="82" t="s">
        <v>183</v>
      </c>
      <c r="N3" s="82" t="s">
        <v>184</v>
      </c>
      <c r="P3" s="292"/>
      <c r="Q3" s="120" t="s">
        <v>0</v>
      </c>
      <c r="R3" s="120" t="s">
        <v>1</v>
      </c>
      <c r="T3" s="292"/>
      <c r="U3" s="120" t="s">
        <v>0</v>
      </c>
      <c r="V3" s="120" t="s">
        <v>1</v>
      </c>
      <c r="W3" s="82" t="s">
        <v>194</v>
      </c>
      <c r="X3" s="82" t="s">
        <v>200</v>
      </c>
      <c r="Y3" s="82" t="s">
        <v>202</v>
      </c>
      <c r="AA3" s="292"/>
      <c r="AB3" s="120" t="s">
        <v>0</v>
      </c>
      <c r="AC3" s="120" t="s">
        <v>1</v>
      </c>
      <c r="AD3" s="120" t="s">
        <v>2</v>
      </c>
      <c r="AF3" s="292"/>
      <c r="AG3" s="120" t="s">
        <v>0</v>
      </c>
      <c r="AI3" s="292"/>
      <c r="AJ3" s="120" t="s">
        <v>0</v>
      </c>
      <c r="AK3" s="120" t="s">
        <v>1</v>
      </c>
      <c r="AM3" s="292"/>
      <c r="AN3" s="120" t="s">
        <v>0</v>
      </c>
      <c r="AO3" s="120" t="s">
        <v>1</v>
      </c>
      <c r="AQ3" s="292"/>
      <c r="AR3" s="120" t="s">
        <v>0</v>
      </c>
      <c r="AS3" s="120" t="s">
        <v>1</v>
      </c>
      <c r="AT3" s="120" t="s">
        <v>2</v>
      </c>
      <c r="AV3" s="292"/>
      <c r="AW3" s="120" t="s">
        <v>0</v>
      </c>
      <c r="AX3" s="120" t="s">
        <v>1</v>
      </c>
      <c r="AY3" s="120" t="s">
        <v>2</v>
      </c>
      <c r="BA3" s="292"/>
      <c r="BB3" s="120" t="s">
        <v>0</v>
      </c>
      <c r="BC3" s="120" t="s">
        <v>1</v>
      </c>
      <c r="BD3" s="120" t="s">
        <v>2</v>
      </c>
      <c r="BF3" s="292"/>
      <c r="BG3" s="120" t="s">
        <v>0</v>
      </c>
      <c r="BH3" s="120" t="s">
        <v>1</v>
      </c>
      <c r="BJ3" s="292"/>
      <c r="BK3" s="120" t="s">
        <v>0</v>
      </c>
      <c r="BL3" s="120" t="s">
        <v>1</v>
      </c>
      <c r="BM3" s="120" t="s">
        <v>2</v>
      </c>
      <c r="BO3" s="292"/>
      <c r="BP3" s="120" t="s">
        <v>0</v>
      </c>
      <c r="BQ3" s="120" t="s">
        <v>1</v>
      </c>
      <c r="BR3" s="120" t="s">
        <v>2</v>
      </c>
      <c r="BT3" s="292"/>
      <c r="BU3" s="120" t="s">
        <v>1</v>
      </c>
      <c r="BV3" s="120" t="s">
        <v>2</v>
      </c>
      <c r="BW3" s="120" t="s">
        <v>101</v>
      </c>
      <c r="BY3" s="292"/>
      <c r="BZ3" s="120" t="s">
        <v>0</v>
      </c>
      <c r="CA3" s="120" t="s">
        <v>2</v>
      </c>
      <c r="CB3" s="120" t="s">
        <v>101</v>
      </c>
    </row>
    <row r="4" spans="2:80" ht="16.5" thickTop="1" thickBot="1" x14ac:dyDescent="0.3">
      <c r="B4" s="88">
        <v>1</v>
      </c>
      <c r="C4" s="93">
        <f>INT(60*(1.5^(B4-1)))</f>
        <v>60</v>
      </c>
      <c r="D4" s="95">
        <f>INT(15*(1.5^(B4-1)))</f>
        <v>15</v>
      </c>
      <c r="E4" s="295">
        <v>11</v>
      </c>
      <c r="F4" s="82"/>
      <c r="G4" s="294">
        <v>252</v>
      </c>
      <c r="H4" s="82">
        <v>7</v>
      </c>
      <c r="J4" s="88">
        <v>1</v>
      </c>
      <c r="K4" s="93">
        <f>INT(48*(1.6^0))</f>
        <v>48</v>
      </c>
      <c r="L4" s="95">
        <f>INT(24*(1.6^0))</f>
        <v>24</v>
      </c>
      <c r="M4" s="82">
        <f>ROUNDUP(10*J4*(1.1^J4),0)</f>
        <v>11</v>
      </c>
      <c r="N4" s="82">
        <v>0</v>
      </c>
      <c r="P4" s="88">
        <v>1</v>
      </c>
      <c r="Q4" s="93">
        <f>INT(225*(1.5^0))</f>
        <v>225</v>
      </c>
      <c r="R4" s="95">
        <f>INT(75*(1.5^0))</f>
        <v>75</v>
      </c>
      <c r="T4" s="88">
        <v>1</v>
      </c>
      <c r="U4" s="93">
        <f>INT(75*(1.5^0))</f>
        <v>75</v>
      </c>
      <c r="V4" s="95">
        <f>INT(30*(1.5^0))</f>
        <v>30</v>
      </c>
      <c r="W4" s="82">
        <v>22</v>
      </c>
      <c r="X4" s="82" t="s">
        <v>201</v>
      </c>
      <c r="Y4" s="82">
        <v>0</v>
      </c>
      <c r="AA4" s="88">
        <v>1</v>
      </c>
      <c r="AB4" s="93">
        <v>900</v>
      </c>
      <c r="AC4" s="93">
        <v>360</v>
      </c>
      <c r="AD4" s="95">
        <v>180</v>
      </c>
      <c r="AF4" s="88">
        <v>1</v>
      </c>
      <c r="AG4" s="95">
        <v>1000</v>
      </c>
      <c r="AI4" s="88">
        <v>1</v>
      </c>
      <c r="AJ4" s="93">
        <v>1000</v>
      </c>
      <c r="AK4" s="95">
        <v>500</v>
      </c>
      <c r="AM4" s="88">
        <v>1</v>
      </c>
      <c r="AN4" s="93">
        <v>1000</v>
      </c>
      <c r="AO4" s="95">
        <v>1000</v>
      </c>
      <c r="AQ4" s="88">
        <v>1</v>
      </c>
      <c r="AR4" s="93">
        <v>400</v>
      </c>
      <c r="AS4" s="93">
        <v>120</v>
      </c>
      <c r="AT4" s="95">
        <v>200</v>
      </c>
      <c r="AV4" s="88">
        <v>1</v>
      </c>
      <c r="AW4" s="93">
        <v>400</v>
      </c>
      <c r="AX4" s="93">
        <v>200</v>
      </c>
      <c r="AY4" s="95">
        <v>100</v>
      </c>
      <c r="BA4" s="88">
        <v>1</v>
      </c>
      <c r="BB4" s="93">
        <v>200</v>
      </c>
      <c r="BC4" s="93">
        <v>400</v>
      </c>
      <c r="BD4" s="95">
        <v>200</v>
      </c>
      <c r="BF4" s="88">
        <v>1</v>
      </c>
      <c r="BG4" s="93">
        <v>20000</v>
      </c>
      <c r="BH4" s="95">
        <v>40000</v>
      </c>
      <c r="BJ4" s="88">
        <v>1</v>
      </c>
      <c r="BK4" s="93">
        <v>20000</v>
      </c>
      <c r="BL4" s="93">
        <v>20000</v>
      </c>
      <c r="BM4" s="95">
        <v>1000</v>
      </c>
      <c r="BO4" s="88">
        <v>1</v>
      </c>
      <c r="BP4" s="93">
        <v>1000000</v>
      </c>
      <c r="BQ4" s="93">
        <v>500000</v>
      </c>
      <c r="BR4" s="95">
        <v>100000</v>
      </c>
      <c r="BT4" s="88">
        <v>1</v>
      </c>
      <c r="BU4" s="93">
        <v>50000</v>
      </c>
      <c r="BV4" s="93">
        <v>100000</v>
      </c>
      <c r="BW4" s="95">
        <v>1000</v>
      </c>
      <c r="BY4" s="88">
        <v>1</v>
      </c>
      <c r="BZ4" s="93">
        <v>200</v>
      </c>
      <c r="CA4" s="93">
        <v>50</v>
      </c>
      <c r="CB4" s="95">
        <v>50</v>
      </c>
    </row>
    <row r="5" spans="2:80" ht="15.75" thickBot="1" x14ac:dyDescent="0.3">
      <c r="B5" s="90">
        <v>2</v>
      </c>
      <c r="C5" s="76">
        <f t="shared" ref="C5:C33" si="0">INT(60*(1.5^(B5-1)))</f>
        <v>90</v>
      </c>
      <c r="D5" s="96">
        <f t="shared" ref="D5:D33" si="1">INT(15*(1.5^(B5-1)))</f>
        <v>22</v>
      </c>
      <c r="E5" s="295">
        <v>24</v>
      </c>
      <c r="F5" s="82"/>
      <c r="G5" s="82">
        <v>410</v>
      </c>
      <c r="H5" s="82">
        <v>13</v>
      </c>
      <c r="J5" s="90">
        <v>2</v>
      </c>
      <c r="K5" s="76">
        <f>INT(48*(1.6^J4))</f>
        <v>76</v>
      </c>
      <c r="L5" s="96">
        <f>INT(24*(1.6^J4))</f>
        <v>38</v>
      </c>
      <c r="M5" s="82">
        <f t="shared" ref="M5:M33" si="2">ROUNDUP(10*J5*(1.1^J5),0)</f>
        <v>25</v>
      </c>
      <c r="N5" s="82">
        <f>M5-M4</f>
        <v>14</v>
      </c>
      <c r="P5" s="90">
        <v>2</v>
      </c>
      <c r="Q5" s="76">
        <f>INT(225*(1.5^P4))</f>
        <v>337</v>
      </c>
      <c r="R5" s="96">
        <f>INT(75*(1.5^P4))</f>
        <v>112</v>
      </c>
      <c r="T5" s="90">
        <v>2</v>
      </c>
      <c r="U5" s="76">
        <f>INT(75*(1.5^T4))</f>
        <v>112</v>
      </c>
      <c r="V5" s="96">
        <f>INT(30*(1.5^T4))</f>
        <v>45</v>
      </c>
      <c r="W5" s="82">
        <v>48</v>
      </c>
      <c r="X5" s="82">
        <v>18</v>
      </c>
      <c r="Y5" s="82"/>
      <c r="AA5" s="90">
        <v>2</v>
      </c>
      <c r="AB5" s="76">
        <v>1620</v>
      </c>
      <c r="AC5" s="76">
        <v>648</v>
      </c>
      <c r="AD5" s="96">
        <v>324</v>
      </c>
      <c r="AF5" s="90">
        <v>2</v>
      </c>
      <c r="AG5" s="96">
        <f>AG4*2</f>
        <v>2000</v>
      </c>
      <c r="AI5" s="90">
        <v>2</v>
      </c>
      <c r="AJ5" s="76">
        <f>AJ4*2</f>
        <v>2000</v>
      </c>
      <c r="AK5" s="96">
        <f>AK4*2</f>
        <v>1000</v>
      </c>
      <c r="AM5" s="90">
        <v>2</v>
      </c>
      <c r="AN5" s="76">
        <f>AN4*2</f>
        <v>2000</v>
      </c>
      <c r="AO5" s="96">
        <f>AO4*2</f>
        <v>2000</v>
      </c>
      <c r="AQ5" s="90">
        <v>2</v>
      </c>
      <c r="AR5" s="76">
        <f>AR4*2</f>
        <v>800</v>
      </c>
      <c r="AS5" s="76">
        <f>AS4*2</f>
        <v>240</v>
      </c>
      <c r="AT5" s="96">
        <f>AT4*2</f>
        <v>400</v>
      </c>
      <c r="AV5" s="90">
        <v>2</v>
      </c>
      <c r="AW5" s="76">
        <f>AW4*2</f>
        <v>800</v>
      </c>
      <c r="AX5" s="76">
        <f t="shared" ref="AX5:AY5" si="3">AX4*2</f>
        <v>400</v>
      </c>
      <c r="AY5" s="96">
        <f t="shared" si="3"/>
        <v>200</v>
      </c>
      <c r="BA5" s="90">
        <v>2</v>
      </c>
      <c r="BB5" s="76">
        <f>BB4*2</f>
        <v>400</v>
      </c>
      <c r="BC5" s="76">
        <f>BC4*2</f>
        <v>800</v>
      </c>
      <c r="BD5" s="96">
        <f t="shared" ref="BD5" si="4">BD4*2</f>
        <v>400</v>
      </c>
      <c r="BF5" s="90">
        <v>2</v>
      </c>
      <c r="BG5" s="76"/>
      <c r="BH5" s="96"/>
      <c r="BJ5" s="90">
        <v>2</v>
      </c>
      <c r="BK5" s="232">
        <f>BK4*2</f>
        <v>40000</v>
      </c>
      <c r="BL5" s="232">
        <f>BL4*2</f>
        <v>40000</v>
      </c>
      <c r="BM5" s="233">
        <f t="shared" ref="BM5:BM33" si="5">BM4*2</f>
        <v>2000</v>
      </c>
      <c r="BO5" s="90">
        <v>2</v>
      </c>
      <c r="BP5" s="232">
        <f>BP4*2</f>
        <v>2000000</v>
      </c>
      <c r="BQ5" s="232">
        <f>BQ4*2</f>
        <v>1000000</v>
      </c>
      <c r="BR5" s="233">
        <f t="shared" ref="BR5:BR33" si="6">BR4*2</f>
        <v>200000</v>
      </c>
      <c r="BT5" s="90">
        <v>2</v>
      </c>
      <c r="BU5" s="232">
        <f>BU4*2</f>
        <v>100000</v>
      </c>
      <c r="BV5" s="232">
        <f>BV4*2</f>
        <v>200000</v>
      </c>
      <c r="BW5" s="233">
        <f t="shared" ref="BW5:BW33" si="7">BW4*2</f>
        <v>2000</v>
      </c>
      <c r="BY5" s="90">
        <v>2</v>
      </c>
      <c r="BZ5" s="232">
        <f>BZ4*5</f>
        <v>1000</v>
      </c>
      <c r="CA5" s="232">
        <f>CA4*5</f>
        <v>250</v>
      </c>
      <c r="CB5" s="233">
        <f>CB4*2.5</f>
        <v>125</v>
      </c>
    </row>
    <row r="6" spans="2:80" ht="15.75" thickBot="1" x14ac:dyDescent="0.3">
      <c r="B6" s="90">
        <v>3</v>
      </c>
      <c r="C6" s="76">
        <f t="shared" si="0"/>
        <v>135</v>
      </c>
      <c r="D6" s="96">
        <f t="shared" si="1"/>
        <v>33</v>
      </c>
      <c r="E6" s="295">
        <v>39</v>
      </c>
      <c r="F6" s="82"/>
      <c r="G6" s="82"/>
      <c r="H6" s="82">
        <v>24</v>
      </c>
      <c r="J6" s="90">
        <v>3</v>
      </c>
      <c r="K6" s="76">
        <f t="shared" ref="K6:K33" si="8">INT(48*(1.6^J5))</f>
        <v>122</v>
      </c>
      <c r="L6" s="96">
        <f t="shared" ref="L6:L33" si="9">INT(24*(1.6^J5))</f>
        <v>61</v>
      </c>
      <c r="M6" s="82">
        <f t="shared" si="2"/>
        <v>40</v>
      </c>
      <c r="N6" s="82">
        <f t="shared" ref="N6:N33" si="10">M6-M5</f>
        <v>15</v>
      </c>
      <c r="P6" s="90">
        <v>3</v>
      </c>
      <c r="Q6" s="76">
        <f t="shared" ref="Q6:Q33" si="11">INT(225*(1.5^P5))</f>
        <v>506</v>
      </c>
      <c r="R6" s="96">
        <f t="shared" ref="R6:R33" si="12">INT(75*(1.5^P5))</f>
        <v>168</v>
      </c>
      <c r="T6" s="90">
        <v>3</v>
      </c>
      <c r="U6" s="76">
        <f t="shared" ref="U6:U33" si="13">INT(75*(1.5^T5))</f>
        <v>168</v>
      </c>
      <c r="V6" s="96">
        <f t="shared" ref="V6:V33" si="14">INT(30*(1.5^T5))</f>
        <v>67</v>
      </c>
      <c r="W6" s="82">
        <v>79</v>
      </c>
      <c r="X6" s="82">
        <v>34</v>
      </c>
      <c r="Y6" s="82"/>
      <c r="AA6" s="90">
        <v>3</v>
      </c>
      <c r="AB6" s="76"/>
      <c r="AC6" s="76"/>
      <c r="AD6" s="96"/>
      <c r="AF6" s="90">
        <v>3</v>
      </c>
      <c r="AG6" s="96">
        <f t="shared" ref="AG6:AG33" si="15">AG5*2</f>
        <v>4000</v>
      </c>
      <c r="AI6" s="90">
        <v>3</v>
      </c>
      <c r="AJ6" s="76">
        <f t="shared" ref="AJ6:AJ7" si="16">AJ5*2</f>
        <v>4000</v>
      </c>
      <c r="AK6" s="96">
        <f>AK5*2</f>
        <v>2000</v>
      </c>
      <c r="AM6" s="90">
        <v>3</v>
      </c>
      <c r="AN6" s="76">
        <f t="shared" ref="AN6:AN33" si="17">AN5*2</f>
        <v>4000</v>
      </c>
      <c r="AO6" s="96">
        <f>AO5*2</f>
        <v>4000</v>
      </c>
      <c r="AQ6" s="90">
        <v>3</v>
      </c>
      <c r="AR6" s="76">
        <f t="shared" ref="AR6:AR8" si="18">AR5*2</f>
        <v>1600</v>
      </c>
      <c r="AS6" s="76">
        <f t="shared" ref="AS6:AS7" si="19">AS5*2</f>
        <v>480</v>
      </c>
      <c r="AT6" s="96">
        <f t="shared" ref="AT6:AT7" si="20">AT5*2</f>
        <v>800</v>
      </c>
      <c r="AV6" s="90">
        <v>3</v>
      </c>
      <c r="AW6" s="76">
        <f t="shared" ref="AW6:AW33" si="21">AW5*2</f>
        <v>1600</v>
      </c>
      <c r="AX6" s="76">
        <f t="shared" ref="AX6:AX33" si="22">AX5*2</f>
        <v>800</v>
      </c>
      <c r="AY6" s="96">
        <f t="shared" ref="AY6:AY32" si="23">AY5*2</f>
        <v>400</v>
      </c>
      <c r="BA6" s="90">
        <v>3</v>
      </c>
      <c r="BB6" s="76">
        <f t="shared" ref="BB6:BB33" si="24">BB5*2</f>
        <v>800</v>
      </c>
      <c r="BC6" s="76">
        <f t="shared" ref="BC6:BC33" si="25">BC5*2</f>
        <v>1600</v>
      </c>
      <c r="BD6" s="96">
        <f t="shared" ref="BD6:BD33" si="26">BD5*2</f>
        <v>800</v>
      </c>
      <c r="BF6" s="90">
        <v>3</v>
      </c>
      <c r="BG6" s="76"/>
      <c r="BH6" s="96"/>
      <c r="BJ6" s="90">
        <v>3</v>
      </c>
      <c r="BK6" s="232">
        <f t="shared" ref="BK6:BK33" si="27">BK5*2</f>
        <v>80000</v>
      </c>
      <c r="BL6" s="232">
        <f t="shared" ref="BL6:BL33" si="28">BL5*2</f>
        <v>80000</v>
      </c>
      <c r="BM6" s="233">
        <f t="shared" si="5"/>
        <v>4000</v>
      </c>
      <c r="BO6" s="90">
        <v>3</v>
      </c>
      <c r="BP6" s="232">
        <f t="shared" ref="BP6:BP33" si="29">BP5*2</f>
        <v>4000000</v>
      </c>
      <c r="BQ6" s="232">
        <f t="shared" ref="BQ6:BQ33" si="30">BQ5*2</f>
        <v>2000000</v>
      </c>
      <c r="BR6" s="233">
        <f t="shared" si="6"/>
        <v>400000</v>
      </c>
      <c r="BT6" s="90">
        <v>3</v>
      </c>
      <c r="BU6" s="232">
        <f t="shared" ref="BU6:BU33" si="31">BU5*2</f>
        <v>200000</v>
      </c>
      <c r="BV6" s="232">
        <f t="shared" ref="BV6:BV33" si="32">BV5*2</f>
        <v>400000</v>
      </c>
      <c r="BW6" s="233">
        <f t="shared" si="7"/>
        <v>4000</v>
      </c>
      <c r="BY6" s="90">
        <v>3</v>
      </c>
      <c r="BZ6" s="232">
        <f t="shared" ref="BZ6:BZ33" si="33">BZ5*5</f>
        <v>5000</v>
      </c>
      <c r="CA6" s="232">
        <f t="shared" ref="CA6:CA33" si="34">CA5*5</f>
        <v>1250</v>
      </c>
      <c r="CB6" s="233">
        <f t="shared" ref="CB6:CB33" si="35">CB5*2.5</f>
        <v>312.5</v>
      </c>
    </row>
    <row r="7" spans="2:80" ht="15.75" thickBot="1" x14ac:dyDescent="0.3">
      <c r="B7" s="90">
        <v>4</v>
      </c>
      <c r="C7" s="76">
        <f t="shared" si="0"/>
        <v>202</v>
      </c>
      <c r="D7" s="96">
        <f t="shared" si="1"/>
        <v>50</v>
      </c>
      <c r="E7" s="295">
        <v>58</v>
      </c>
      <c r="F7" s="82"/>
      <c r="G7" s="82"/>
      <c r="H7" s="82">
        <v>31.6666666666667</v>
      </c>
      <c r="J7" s="90">
        <v>4</v>
      </c>
      <c r="K7" s="76">
        <f t="shared" si="8"/>
        <v>196</v>
      </c>
      <c r="L7" s="96">
        <f t="shared" si="9"/>
        <v>98</v>
      </c>
      <c r="M7" s="82">
        <f t="shared" si="2"/>
        <v>59</v>
      </c>
      <c r="N7" s="82">
        <f t="shared" si="10"/>
        <v>19</v>
      </c>
      <c r="P7" s="90">
        <v>4</v>
      </c>
      <c r="Q7" s="76">
        <f t="shared" si="11"/>
        <v>759</v>
      </c>
      <c r="R7" s="96">
        <f t="shared" si="12"/>
        <v>253</v>
      </c>
      <c r="T7" s="90">
        <v>4</v>
      </c>
      <c r="U7" s="76">
        <f t="shared" si="13"/>
        <v>253</v>
      </c>
      <c r="V7" s="96">
        <f t="shared" si="14"/>
        <v>101</v>
      </c>
      <c r="W7" s="82">
        <v>117</v>
      </c>
      <c r="X7" s="297">
        <f>((U7+V7)/(2500*(1+0)*(2^0)*0.80914286))*360</f>
        <v>62.999999777542371</v>
      </c>
      <c r="Y7" s="82">
        <v>63</v>
      </c>
      <c r="AA7" s="90">
        <v>4</v>
      </c>
      <c r="AB7" s="76"/>
      <c r="AC7" s="76"/>
      <c r="AD7" s="96"/>
      <c r="AF7" s="90">
        <v>4</v>
      </c>
      <c r="AG7" s="96">
        <f t="shared" si="15"/>
        <v>8000</v>
      </c>
      <c r="AI7" s="90">
        <v>4</v>
      </c>
      <c r="AJ7" s="76">
        <f t="shared" si="16"/>
        <v>8000</v>
      </c>
      <c r="AK7" s="96">
        <f t="shared" ref="AK7:AK33" si="36">AK6*2</f>
        <v>4000</v>
      </c>
      <c r="AM7" s="90">
        <v>4</v>
      </c>
      <c r="AN7" s="76">
        <f t="shared" si="17"/>
        <v>8000</v>
      </c>
      <c r="AO7" s="96">
        <f t="shared" ref="AO7:AO33" si="37">AO6*2</f>
        <v>8000</v>
      </c>
      <c r="AQ7" s="90">
        <v>4</v>
      </c>
      <c r="AR7" s="76">
        <f t="shared" si="18"/>
        <v>3200</v>
      </c>
      <c r="AS7" s="76">
        <f t="shared" si="19"/>
        <v>960</v>
      </c>
      <c r="AT7" s="96">
        <f t="shared" si="20"/>
        <v>1600</v>
      </c>
      <c r="AV7" s="90">
        <v>4</v>
      </c>
      <c r="AW7" s="76">
        <f t="shared" si="21"/>
        <v>3200</v>
      </c>
      <c r="AX7" s="76">
        <f t="shared" si="22"/>
        <v>1600</v>
      </c>
      <c r="AY7" s="96">
        <f t="shared" si="23"/>
        <v>800</v>
      </c>
      <c r="BA7" s="90">
        <v>4</v>
      </c>
      <c r="BB7" s="76">
        <f t="shared" si="24"/>
        <v>1600</v>
      </c>
      <c r="BC7" s="76">
        <f t="shared" si="25"/>
        <v>3200</v>
      </c>
      <c r="BD7" s="96">
        <f t="shared" si="26"/>
        <v>1600</v>
      </c>
      <c r="BF7" s="90">
        <v>4</v>
      </c>
      <c r="BG7" s="76"/>
      <c r="BH7" s="96"/>
      <c r="BJ7" s="90">
        <v>4</v>
      </c>
      <c r="BK7" s="232">
        <f t="shared" si="27"/>
        <v>160000</v>
      </c>
      <c r="BL7" s="232">
        <f t="shared" si="28"/>
        <v>160000</v>
      </c>
      <c r="BM7" s="233">
        <f t="shared" si="5"/>
        <v>8000</v>
      </c>
      <c r="BO7" s="90">
        <v>4</v>
      </c>
      <c r="BP7" s="232">
        <f t="shared" si="29"/>
        <v>8000000</v>
      </c>
      <c r="BQ7" s="232">
        <f t="shared" si="30"/>
        <v>4000000</v>
      </c>
      <c r="BR7" s="233">
        <f t="shared" si="6"/>
        <v>800000</v>
      </c>
      <c r="BT7" s="90">
        <v>4</v>
      </c>
      <c r="BU7" s="232">
        <f t="shared" si="31"/>
        <v>400000</v>
      </c>
      <c r="BV7" s="232">
        <f t="shared" si="32"/>
        <v>800000</v>
      </c>
      <c r="BW7" s="233">
        <f t="shared" si="7"/>
        <v>8000</v>
      </c>
      <c r="BY7" s="90">
        <v>4</v>
      </c>
      <c r="BZ7" s="232">
        <f t="shared" si="33"/>
        <v>25000</v>
      </c>
      <c r="CA7" s="232">
        <f t="shared" si="34"/>
        <v>6250</v>
      </c>
      <c r="CB7" s="233">
        <f t="shared" si="35"/>
        <v>781.25</v>
      </c>
    </row>
    <row r="8" spans="2:80" ht="15.75" thickBot="1" x14ac:dyDescent="0.3">
      <c r="B8" s="90">
        <v>5</v>
      </c>
      <c r="C8" s="76">
        <f t="shared" si="0"/>
        <v>303</v>
      </c>
      <c r="D8" s="96">
        <f t="shared" si="1"/>
        <v>75</v>
      </c>
      <c r="E8" s="295">
        <v>79</v>
      </c>
      <c r="F8" s="82"/>
      <c r="G8" s="82"/>
      <c r="H8" s="82">
        <v>40.1666666666667</v>
      </c>
      <c r="J8" s="90">
        <v>5</v>
      </c>
      <c r="K8" s="76">
        <f t="shared" si="8"/>
        <v>314</v>
      </c>
      <c r="L8" s="96">
        <f t="shared" si="9"/>
        <v>157</v>
      </c>
      <c r="M8" s="82">
        <f t="shared" si="2"/>
        <v>81</v>
      </c>
      <c r="N8" s="82">
        <f t="shared" si="10"/>
        <v>22</v>
      </c>
      <c r="P8" s="90">
        <v>5</v>
      </c>
      <c r="Q8" s="76">
        <f t="shared" si="11"/>
        <v>1139</v>
      </c>
      <c r="R8" s="96">
        <f t="shared" si="12"/>
        <v>379</v>
      </c>
      <c r="T8" s="90">
        <v>5</v>
      </c>
      <c r="U8" s="76">
        <f t="shared" si="13"/>
        <v>379</v>
      </c>
      <c r="V8" s="96">
        <f t="shared" si="14"/>
        <v>151</v>
      </c>
      <c r="W8" s="82"/>
      <c r="X8" s="296">
        <f>((U8+V8)/(2500*(1+0)*(2^0)*1.5))*60*60</f>
        <v>508.8</v>
      </c>
      <c r="Y8" s="82"/>
      <c r="AA8" s="90">
        <v>5</v>
      </c>
      <c r="AB8" s="76"/>
      <c r="AC8" s="76"/>
      <c r="AD8" s="96"/>
      <c r="AF8" s="90">
        <v>5</v>
      </c>
      <c r="AG8" s="96">
        <f t="shared" si="15"/>
        <v>16000</v>
      </c>
      <c r="AI8" s="90">
        <v>5</v>
      </c>
      <c r="AJ8" s="76">
        <f t="shared" ref="AJ8:AJ33" si="38">AJ7*2</f>
        <v>16000</v>
      </c>
      <c r="AK8" s="96">
        <f t="shared" si="36"/>
        <v>8000</v>
      </c>
      <c r="AM8" s="90">
        <v>5</v>
      </c>
      <c r="AN8" s="76">
        <f t="shared" si="17"/>
        <v>16000</v>
      </c>
      <c r="AO8" s="96">
        <f t="shared" si="37"/>
        <v>16000</v>
      </c>
      <c r="AQ8" s="90">
        <v>5</v>
      </c>
      <c r="AR8" s="76">
        <f t="shared" si="18"/>
        <v>6400</v>
      </c>
      <c r="AS8" s="76">
        <f>AS7*2</f>
        <v>1920</v>
      </c>
      <c r="AT8" s="96">
        <f>AT7*2</f>
        <v>3200</v>
      </c>
      <c r="AV8" s="90">
        <v>5</v>
      </c>
      <c r="AW8" s="76">
        <f t="shared" si="21"/>
        <v>6400</v>
      </c>
      <c r="AX8" s="76">
        <f t="shared" si="22"/>
        <v>3200</v>
      </c>
      <c r="AY8" s="96">
        <f t="shared" si="23"/>
        <v>1600</v>
      </c>
      <c r="BA8" s="90">
        <v>5</v>
      </c>
      <c r="BB8" s="76">
        <f t="shared" si="24"/>
        <v>3200</v>
      </c>
      <c r="BC8" s="76">
        <f t="shared" si="25"/>
        <v>6400</v>
      </c>
      <c r="BD8" s="96">
        <f t="shared" si="26"/>
        <v>3200</v>
      </c>
      <c r="BF8" s="90">
        <v>5</v>
      </c>
      <c r="BG8" s="76"/>
      <c r="BH8" s="96"/>
      <c r="BJ8" s="90">
        <v>5</v>
      </c>
      <c r="BK8" s="232">
        <f t="shared" si="27"/>
        <v>320000</v>
      </c>
      <c r="BL8" s="232">
        <f t="shared" si="28"/>
        <v>320000</v>
      </c>
      <c r="BM8" s="233">
        <f t="shared" si="5"/>
        <v>16000</v>
      </c>
      <c r="BO8" s="90">
        <v>5</v>
      </c>
      <c r="BP8" s="232">
        <f t="shared" si="29"/>
        <v>16000000</v>
      </c>
      <c r="BQ8" s="232">
        <f t="shared" si="30"/>
        <v>8000000</v>
      </c>
      <c r="BR8" s="233">
        <f t="shared" si="6"/>
        <v>1600000</v>
      </c>
      <c r="BT8" s="90">
        <v>5</v>
      </c>
      <c r="BU8" s="232">
        <f t="shared" si="31"/>
        <v>800000</v>
      </c>
      <c r="BV8" s="232">
        <f t="shared" si="32"/>
        <v>1600000</v>
      </c>
      <c r="BW8" s="233">
        <f t="shared" si="7"/>
        <v>16000</v>
      </c>
      <c r="BY8" s="90">
        <v>5</v>
      </c>
      <c r="BZ8" s="232">
        <f t="shared" si="33"/>
        <v>125000</v>
      </c>
      <c r="CA8" s="232">
        <f t="shared" si="34"/>
        <v>31250</v>
      </c>
      <c r="CB8" s="233">
        <f t="shared" si="35"/>
        <v>1953.125</v>
      </c>
    </row>
    <row r="9" spans="2:80" ht="15.75" thickBot="1" x14ac:dyDescent="0.3">
      <c r="B9" s="90">
        <v>6</v>
      </c>
      <c r="C9" s="76">
        <f t="shared" si="0"/>
        <v>455</v>
      </c>
      <c r="D9" s="96">
        <f t="shared" si="1"/>
        <v>113</v>
      </c>
      <c r="E9" s="295">
        <v>93.2</v>
      </c>
      <c r="F9" s="82"/>
      <c r="G9" s="82"/>
      <c r="H9" s="82">
        <v>48.6666666666667</v>
      </c>
      <c r="J9" s="90">
        <v>6</v>
      </c>
      <c r="K9" s="76">
        <f t="shared" si="8"/>
        <v>503</v>
      </c>
      <c r="L9" s="96">
        <f t="shared" si="9"/>
        <v>251</v>
      </c>
      <c r="M9" s="82">
        <f t="shared" si="2"/>
        <v>107</v>
      </c>
      <c r="N9" s="82">
        <f t="shared" si="10"/>
        <v>26</v>
      </c>
      <c r="P9" s="90">
        <v>6</v>
      </c>
      <c r="Q9" s="76">
        <f t="shared" si="11"/>
        <v>1708</v>
      </c>
      <c r="R9" s="96">
        <f t="shared" si="12"/>
        <v>569</v>
      </c>
      <c r="T9" s="90">
        <v>6</v>
      </c>
      <c r="U9" s="76">
        <f t="shared" si="13"/>
        <v>569</v>
      </c>
      <c r="V9" s="96">
        <f t="shared" si="14"/>
        <v>227</v>
      </c>
      <c r="W9" s="82"/>
      <c r="X9" s="295">
        <f t="shared" ref="X8:X13" si="39">((U9+V9)/(2500*(1+0)*(2^0)*1.5))*60*60</f>
        <v>764.16</v>
      </c>
      <c r="Y9" s="82"/>
      <c r="AA9" s="90">
        <v>6</v>
      </c>
      <c r="AB9" s="76"/>
      <c r="AC9" s="76"/>
      <c r="AD9" s="96"/>
      <c r="AF9" s="90">
        <v>6</v>
      </c>
      <c r="AG9" s="96">
        <f t="shared" si="15"/>
        <v>32000</v>
      </c>
      <c r="AI9" s="90">
        <v>6</v>
      </c>
      <c r="AJ9" s="76">
        <f t="shared" si="38"/>
        <v>32000</v>
      </c>
      <c r="AK9" s="96">
        <f t="shared" si="36"/>
        <v>16000</v>
      </c>
      <c r="AM9" s="90">
        <v>6</v>
      </c>
      <c r="AN9" s="76">
        <f t="shared" si="17"/>
        <v>32000</v>
      </c>
      <c r="AO9" s="96">
        <f t="shared" si="37"/>
        <v>32000</v>
      </c>
      <c r="AQ9" s="90">
        <v>6</v>
      </c>
      <c r="AR9" s="76">
        <f t="shared" ref="AR9:AR33" si="40">AR8*2</f>
        <v>12800</v>
      </c>
      <c r="AS9" s="76">
        <f t="shared" ref="AS9:AS33" si="41">AS8*2</f>
        <v>3840</v>
      </c>
      <c r="AT9" s="96">
        <f t="shared" ref="AT9:AT33" si="42">AT8*2</f>
        <v>6400</v>
      </c>
      <c r="AV9" s="90">
        <v>6</v>
      </c>
      <c r="AW9" s="76">
        <f t="shared" si="21"/>
        <v>12800</v>
      </c>
      <c r="AX9" s="76">
        <f t="shared" si="22"/>
        <v>6400</v>
      </c>
      <c r="AY9" s="96">
        <f t="shared" si="23"/>
        <v>3200</v>
      </c>
      <c r="BA9" s="90">
        <v>6</v>
      </c>
      <c r="BB9" s="76">
        <f t="shared" ref="BB9:BD10" si="43">BB8*2</f>
        <v>6400</v>
      </c>
      <c r="BC9" s="76">
        <f t="shared" si="43"/>
        <v>12800</v>
      </c>
      <c r="BD9" s="96">
        <f t="shared" si="43"/>
        <v>6400</v>
      </c>
      <c r="BF9" s="90">
        <v>6</v>
      </c>
      <c r="BG9" s="76"/>
      <c r="BH9" s="96"/>
      <c r="BJ9" s="90">
        <v>6</v>
      </c>
      <c r="BK9" s="232">
        <f t="shared" si="27"/>
        <v>640000</v>
      </c>
      <c r="BL9" s="232">
        <f t="shared" si="28"/>
        <v>640000</v>
      </c>
      <c r="BM9" s="233">
        <f t="shared" si="5"/>
        <v>32000</v>
      </c>
      <c r="BO9" s="90">
        <v>6</v>
      </c>
      <c r="BP9" s="232">
        <f t="shared" si="29"/>
        <v>32000000</v>
      </c>
      <c r="BQ9" s="232">
        <f t="shared" si="30"/>
        <v>16000000</v>
      </c>
      <c r="BR9" s="233">
        <f t="shared" si="6"/>
        <v>3200000</v>
      </c>
      <c r="BT9" s="90">
        <v>6</v>
      </c>
      <c r="BU9" s="232">
        <f t="shared" si="31"/>
        <v>1600000</v>
      </c>
      <c r="BV9" s="232">
        <f t="shared" si="32"/>
        <v>3200000</v>
      </c>
      <c r="BW9" s="233">
        <f t="shared" si="7"/>
        <v>32000</v>
      </c>
      <c r="BY9" s="90">
        <v>6</v>
      </c>
      <c r="BZ9" s="232">
        <f t="shared" si="33"/>
        <v>625000</v>
      </c>
      <c r="CA9" s="232">
        <f t="shared" si="34"/>
        <v>156250</v>
      </c>
      <c r="CB9" s="233">
        <f t="shared" si="35"/>
        <v>4882.8125</v>
      </c>
    </row>
    <row r="10" spans="2:80" ht="15.75" thickBot="1" x14ac:dyDescent="0.3">
      <c r="B10" s="90">
        <v>7</v>
      </c>
      <c r="C10" s="76">
        <f t="shared" si="0"/>
        <v>683</v>
      </c>
      <c r="D10" s="96">
        <f t="shared" si="1"/>
        <v>170</v>
      </c>
      <c r="E10" s="295">
        <v>26.2</v>
      </c>
      <c r="F10" s="82"/>
      <c r="G10" s="82"/>
      <c r="H10" s="82">
        <v>57.1666666666667</v>
      </c>
      <c r="J10" s="90">
        <v>7</v>
      </c>
      <c r="K10" s="76">
        <f t="shared" si="8"/>
        <v>805</v>
      </c>
      <c r="L10" s="96">
        <f t="shared" si="9"/>
        <v>402</v>
      </c>
      <c r="M10" s="82">
        <f t="shared" si="2"/>
        <v>137</v>
      </c>
      <c r="N10" s="82">
        <f t="shared" si="10"/>
        <v>30</v>
      </c>
      <c r="P10" s="90">
        <v>7</v>
      </c>
      <c r="Q10" s="76">
        <f t="shared" si="11"/>
        <v>2562</v>
      </c>
      <c r="R10" s="96">
        <f t="shared" si="12"/>
        <v>854</v>
      </c>
      <c r="T10" s="90">
        <v>7</v>
      </c>
      <c r="U10" s="76">
        <f t="shared" si="13"/>
        <v>854</v>
      </c>
      <c r="V10" s="96">
        <f t="shared" si="14"/>
        <v>341</v>
      </c>
      <c r="W10" s="82"/>
      <c r="X10" s="295">
        <f t="shared" si="39"/>
        <v>1147.1999999999998</v>
      </c>
      <c r="Y10" s="82"/>
      <c r="AA10" s="90">
        <v>7</v>
      </c>
      <c r="AB10" s="76"/>
      <c r="AC10" s="76"/>
      <c r="AD10" s="96"/>
      <c r="AF10" s="90">
        <v>7</v>
      </c>
      <c r="AG10" s="96">
        <f t="shared" si="15"/>
        <v>64000</v>
      </c>
      <c r="AI10" s="90">
        <v>7</v>
      </c>
      <c r="AJ10" s="76">
        <f t="shared" si="38"/>
        <v>64000</v>
      </c>
      <c r="AK10" s="96">
        <f t="shared" si="36"/>
        <v>32000</v>
      </c>
      <c r="AM10" s="90">
        <v>7</v>
      </c>
      <c r="AN10" s="76">
        <f t="shared" si="17"/>
        <v>64000</v>
      </c>
      <c r="AO10" s="96">
        <f t="shared" si="37"/>
        <v>64000</v>
      </c>
      <c r="AQ10" s="90">
        <v>7</v>
      </c>
      <c r="AR10" s="76">
        <f t="shared" si="40"/>
        <v>25600</v>
      </c>
      <c r="AS10" s="76">
        <f t="shared" si="41"/>
        <v>7680</v>
      </c>
      <c r="AT10" s="96">
        <f t="shared" si="42"/>
        <v>12800</v>
      </c>
      <c r="AV10" s="90">
        <v>7</v>
      </c>
      <c r="AW10" s="76">
        <f t="shared" si="21"/>
        <v>25600</v>
      </c>
      <c r="AX10" s="76">
        <f t="shared" si="22"/>
        <v>12800</v>
      </c>
      <c r="AY10" s="96">
        <f t="shared" si="23"/>
        <v>6400</v>
      </c>
      <c r="BA10" s="90">
        <v>7</v>
      </c>
      <c r="BB10" s="76">
        <f t="shared" si="43"/>
        <v>12800</v>
      </c>
      <c r="BC10" s="76">
        <f t="shared" si="43"/>
        <v>25600</v>
      </c>
      <c r="BD10" s="96">
        <f t="shared" si="43"/>
        <v>12800</v>
      </c>
      <c r="BF10" s="90">
        <v>7</v>
      </c>
      <c r="BG10" s="76"/>
      <c r="BH10" s="96"/>
      <c r="BJ10" s="90">
        <v>7</v>
      </c>
      <c r="BK10" s="232">
        <f t="shared" si="27"/>
        <v>1280000</v>
      </c>
      <c r="BL10" s="232">
        <f t="shared" si="28"/>
        <v>1280000</v>
      </c>
      <c r="BM10" s="233">
        <f t="shared" si="5"/>
        <v>64000</v>
      </c>
      <c r="BO10" s="90">
        <v>7</v>
      </c>
      <c r="BP10" s="232">
        <f t="shared" si="29"/>
        <v>64000000</v>
      </c>
      <c r="BQ10" s="232">
        <f t="shared" si="30"/>
        <v>32000000</v>
      </c>
      <c r="BR10" s="233">
        <f t="shared" si="6"/>
        <v>6400000</v>
      </c>
      <c r="BT10" s="90">
        <v>7</v>
      </c>
      <c r="BU10" s="232">
        <f t="shared" si="31"/>
        <v>3200000</v>
      </c>
      <c r="BV10" s="232">
        <f t="shared" si="32"/>
        <v>6400000</v>
      </c>
      <c r="BW10" s="233">
        <f t="shared" si="7"/>
        <v>64000</v>
      </c>
      <c r="BY10" s="90">
        <v>7</v>
      </c>
      <c r="BZ10" s="232">
        <f t="shared" si="33"/>
        <v>3125000</v>
      </c>
      <c r="CA10" s="232">
        <f t="shared" si="34"/>
        <v>781250</v>
      </c>
      <c r="CB10" s="233">
        <f t="shared" si="35"/>
        <v>12207.03125</v>
      </c>
    </row>
    <row r="11" spans="2:80" ht="15.75" thickBot="1" x14ac:dyDescent="0.3">
      <c r="B11" s="90">
        <v>8</v>
      </c>
      <c r="C11" s="76">
        <f t="shared" si="0"/>
        <v>1025</v>
      </c>
      <c r="D11" s="96">
        <f t="shared" si="1"/>
        <v>256</v>
      </c>
      <c r="E11" s="295">
        <v>28.8</v>
      </c>
      <c r="F11" s="82"/>
      <c r="G11" s="82"/>
      <c r="H11" s="82">
        <v>65.6666666666667</v>
      </c>
      <c r="J11" s="90">
        <v>8</v>
      </c>
      <c r="K11" s="76">
        <f t="shared" si="8"/>
        <v>1288</v>
      </c>
      <c r="L11" s="96">
        <f t="shared" si="9"/>
        <v>644</v>
      </c>
      <c r="M11" s="82">
        <f t="shared" si="2"/>
        <v>172</v>
      </c>
      <c r="N11" s="82">
        <f t="shared" si="10"/>
        <v>35</v>
      </c>
      <c r="P11" s="90">
        <v>8</v>
      </c>
      <c r="Q11" s="76">
        <f t="shared" si="11"/>
        <v>3844</v>
      </c>
      <c r="R11" s="96">
        <f t="shared" si="12"/>
        <v>1281</v>
      </c>
      <c r="T11" s="90">
        <v>8</v>
      </c>
      <c r="U11" s="76">
        <f t="shared" si="13"/>
        <v>1281</v>
      </c>
      <c r="V11" s="96">
        <f t="shared" si="14"/>
        <v>512</v>
      </c>
      <c r="W11" s="82"/>
      <c r="X11" s="295">
        <f t="shared" si="39"/>
        <v>1721.2800000000002</v>
      </c>
      <c r="Y11" s="82"/>
      <c r="AA11" s="90">
        <v>8</v>
      </c>
      <c r="AB11" s="76"/>
      <c r="AC11" s="76"/>
      <c r="AD11" s="96"/>
      <c r="AF11" s="90">
        <v>8</v>
      </c>
      <c r="AG11" s="96">
        <f t="shared" si="15"/>
        <v>128000</v>
      </c>
      <c r="AI11" s="90">
        <v>8</v>
      </c>
      <c r="AJ11" s="76">
        <f t="shared" si="38"/>
        <v>128000</v>
      </c>
      <c r="AK11" s="96">
        <f t="shared" si="36"/>
        <v>64000</v>
      </c>
      <c r="AM11" s="90">
        <v>8</v>
      </c>
      <c r="AN11" s="76">
        <f t="shared" si="17"/>
        <v>128000</v>
      </c>
      <c r="AO11" s="96">
        <f t="shared" si="37"/>
        <v>128000</v>
      </c>
      <c r="AQ11" s="90">
        <v>8</v>
      </c>
      <c r="AR11" s="76">
        <f t="shared" si="40"/>
        <v>51200</v>
      </c>
      <c r="AS11" s="76">
        <f t="shared" si="41"/>
        <v>15360</v>
      </c>
      <c r="AT11" s="96">
        <f t="shared" si="42"/>
        <v>25600</v>
      </c>
      <c r="AV11" s="90">
        <v>8</v>
      </c>
      <c r="AW11" s="76">
        <f t="shared" si="21"/>
        <v>51200</v>
      </c>
      <c r="AX11" s="76">
        <f t="shared" si="22"/>
        <v>25600</v>
      </c>
      <c r="AY11" s="96">
        <f t="shared" si="23"/>
        <v>12800</v>
      </c>
      <c r="BA11" s="90">
        <v>8</v>
      </c>
      <c r="BB11" s="76">
        <f t="shared" si="24"/>
        <v>25600</v>
      </c>
      <c r="BC11" s="76">
        <f t="shared" si="25"/>
        <v>51200</v>
      </c>
      <c r="BD11" s="96">
        <f t="shared" si="26"/>
        <v>25600</v>
      </c>
      <c r="BF11" s="90">
        <v>8</v>
      </c>
      <c r="BG11" s="76"/>
      <c r="BH11" s="96"/>
      <c r="BJ11" s="90">
        <v>8</v>
      </c>
      <c r="BK11" s="232">
        <f t="shared" si="27"/>
        <v>2560000</v>
      </c>
      <c r="BL11" s="232">
        <f t="shared" si="28"/>
        <v>2560000</v>
      </c>
      <c r="BM11" s="233">
        <f t="shared" si="5"/>
        <v>128000</v>
      </c>
      <c r="BO11" s="90">
        <v>8</v>
      </c>
      <c r="BP11" s="232">
        <f t="shared" si="29"/>
        <v>128000000</v>
      </c>
      <c r="BQ11" s="232">
        <f t="shared" si="30"/>
        <v>64000000</v>
      </c>
      <c r="BR11" s="233">
        <f t="shared" si="6"/>
        <v>12800000</v>
      </c>
      <c r="BT11" s="90">
        <v>8</v>
      </c>
      <c r="BU11" s="232">
        <f t="shared" si="31"/>
        <v>6400000</v>
      </c>
      <c r="BV11" s="232">
        <f t="shared" si="32"/>
        <v>12800000</v>
      </c>
      <c r="BW11" s="233">
        <f t="shared" si="7"/>
        <v>128000</v>
      </c>
      <c r="BY11" s="90">
        <v>8</v>
      </c>
      <c r="BZ11" s="232">
        <f t="shared" si="33"/>
        <v>15625000</v>
      </c>
      <c r="CA11" s="232">
        <f t="shared" si="34"/>
        <v>3906250</v>
      </c>
      <c r="CB11" s="233">
        <f t="shared" si="35"/>
        <v>30517.578125</v>
      </c>
    </row>
    <row r="12" spans="2:80" ht="15.75" thickBot="1" x14ac:dyDescent="0.3">
      <c r="B12" s="90">
        <v>9</v>
      </c>
      <c r="C12" s="76">
        <f t="shared" si="0"/>
        <v>1537</v>
      </c>
      <c r="D12" s="96">
        <f t="shared" si="1"/>
        <v>384</v>
      </c>
      <c r="E12" s="295">
        <v>31.4</v>
      </c>
      <c r="F12" s="82"/>
      <c r="G12" s="82"/>
      <c r="H12" s="82">
        <v>74.1666666666667</v>
      </c>
      <c r="J12" s="90">
        <v>9</v>
      </c>
      <c r="K12" s="76">
        <f t="shared" si="8"/>
        <v>2061</v>
      </c>
      <c r="L12" s="96">
        <f t="shared" si="9"/>
        <v>1030</v>
      </c>
      <c r="M12" s="82">
        <f t="shared" si="2"/>
        <v>213</v>
      </c>
      <c r="N12" s="82">
        <f t="shared" si="10"/>
        <v>41</v>
      </c>
      <c r="P12" s="90">
        <v>9</v>
      </c>
      <c r="Q12" s="76">
        <f t="shared" si="11"/>
        <v>5766</v>
      </c>
      <c r="R12" s="96">
        <f t="shared" si="12"/>
        <v>1922</v>
      </c>
      <c r="T12" s="90">
        <v>9</v>
      </c>
      <c r="U12" s="76">
        <f t="shared" si="13"/>
        <v>1922</v>
      </c>
      <c r="V12" s="96">
        <f t="shared" si="14"/>
        <v>768</v>
      </c>
      <c r="W12" s="82"/>
      <c r="X12" s="295">
        <f t="shared" si="39"/>
        <v>2582.4000000000005</v>
      </c>
      <c r="Y12" s="82"/>
      <c r="AA12" s="90">
        <v>9</v>
      </c>
      <c r="AB12" s="76"/>
      <c r="AC12" s="76"/>
      <c r="AD12" s="96"/>
      <c r="AF12" s="90">
        <v>9</v>
      </c>
      <c r="AG12" s="96">
        <f t="shared" si="15"/>
        <v>256000</v>
      </c>
      <c r="AI12" s="90">
        <v>9</v>
      </c>
      <c r="AJ12" s="76">
        <f t="shared" si="38"/>
        <v>256000</v>
      </c>
      <c r="AK12" s="96">
        <f t="shared" si="36"/>
        <v>128000</v>
      </c>
      <c r="AM12" s="90">
        <v>9</v>
      </c>
      <c r="AN12" s="76">
        <f t="shared" si="17"/>
        <v>256000</v>
      </c>
      <c r="AO12" s="96">
        <f t="shared" si="37"/>
        <v>256000</v>
      </c>
      <c r="AQ12" s="90">
        <v>9</v>
      </c>
      <c r="AR12" s="76">
        <f t="shared" si="40"/>
        <v>102400</v>
      </c>
      <c r="AS12" s="76">
        <f t="shared" si="41"/>
        <v>30720</v>
      </c>
      <c r="AT12" s="96">
        <f t="shared" si="42"/>
        <v>51200</v>
      </c>
      <c r="AV12" s="90">
        <v>9</v>
      </c>
      <c r="AW12" s="76">
        <f t="shared" si="21"/>
        <v>102400</v>
      </c>
      <c r="AX12" s="76">
        <f t="shared" si="22"/>
        <v>51200</v>
      </c>
      <c r="AY12" s="96">
        <f t="shared" si="23"/>
        <v>25600</v>
      </c>
      <c r="BA12" s="90">
        <v>9</v>
      </c>
      <c r="BB12" s="76">
        <f t="shared" si="24"/>
        <v>51200</v>
      </c>
      <c r="BC12" s="76">
        <f t="shared" si="25"/>
        <v>102400</v>
      </c>
      <c r="BD12" s="96">
        <f t="shared" si="26"/>
        <v>51200</v>
      </c>
      <c r="BF12" s="90">
        <v>9</v>
      </c>
      <c r="BG12" s="76"/>
      <c r="BH12" s="96"/>
      <c r="BJ12" s="90">
        <v>9</v>
      </c>
      <c r="BK12" s="232">
        <f t="shared" si="27"/>
        <v>5120000</v>
      </c>
      <c r="BL12" s="232">
        <f t="shared" si="28"/>
        <v>5120000</v>
      </c>
      <c r="BM12" s="233">
        <f t="shared" si="5"/>
        <v>256000</v>
      </c>
      <c r="BO12" s="90">
        <v>9</v>
      </c>
      <c r="BP12" s="232">
        <f t="shared" si="29"/>
        <v>256000000</v>
      </c>
      <c r="BQ12" s="232">
        <f t="shared" si="30"/>
        <v>128000000</v>
      </c>
      <c r="BR12" s="233">
        <f t="shared" si="6"/>
        <v>25600000</v>
      </c>
      <c r="BT12" s="90">
        <v>9</v>
      </c>
      <c r="BU12" s="232">
        <f t="shared" si="31"/>
        <v>12800000</v>
      </c>
      <c r="BV12" s="232">
        <f t="shared" si="32"/>
        <v>25600000</v>
      </c>
      <c r="BW12" s="233">
        <f t="shared" si="7"/>
        <v>256000</v>
      </c>
      <c r="BY12" s="90">
        <v>9</v>
      </c>
      <c r="BZ12" s="232">
        <f t="shared" si="33"/>
        <v>78125000</v>
      </c>
      <c r="CA12" s="232">
        <f t="shared" si="34"/>
        <v>19531250</v>
      </c>
      <c r="CB12" s="233">
        <f t="shared" si="35"/>
        <v>76293.9453125</v>
      </c>
    </row>
    <row r="13" spans="2:80" ht="15.75" thickBot="1" x14ac:dyDescent="0.3">
      <c r="B13" s="90">
        <v>10</v>
      </c>
      <c r="C13" s="76">
        <f t="shared" si="0"/>
        <v>2306</v>
      </c>
      <c r="D13" s="96">
        <f t="shared" si="1"/>
        <v>576</v>
      </c>
      <c r="E13" s="295">
        <v>34</v>
      </c>
      <c r="F13" s="82"/>
      <c r="G13" s="82"/>
      <c r="H13" s="82">
        <v>82.6666666666667</v>
      </c>
      <c r="J13" s="90">
        <v>10</v>
      </c>
      <c r="K13" s="76">
        <f t="shared" si="8"/>
        <v>3298</v>
      </c>
      <c r="L13" s="96">
        <f t="shared" si="9"/>
        <v>1649</v>
      </c>
      <c r="M13" s="82">
        <f t="shared" si="2"/>
        <v>260</v>
      </c>
      <c r="N13" s="82">
        <f t="shared" si="10"/>
        <v>47</v>
      </c>
      <c r="P13" s="90">
        <v>10</v>
      </c>
      <c r="Q13" s="76">
        <f t="shared" si="11"/>
        <v>8649</v>
      </c>
      <c r="R13" s="96">
        <f t="shared" si="12"/>
        <v>2883</v>
      </c>
      <c r="T13" s="90">
        <v>10</v>
      </c>
      <c r="U13" s="76">
        <f t="shared" si="13"/>
        <v>2883</v>
      </c>
      <c r="V13" s="96">
        <f t="shared" si="14"/>
        <v>1153</v>
      </c>
      <c r="W13" s="82"/>
      <c r="X13" s="295">
        <f t="shared" si="39"/>
        <v>3874.5600000000004</v>
      </c>
      <c r="Y13" s="82"/>
      <c r="AA13" s="90">
        <v>10</v>
      </c>
      <c r="AB13" s="76"/>
      <c r="AC13" s="76"/>
      <c r="AD13" s="96"/>
      <c r="AF13" s="90">
        <v>10</v>
      </c>
      <c r="AG13" s="96">
        <f t="shared" si="15"/>
        <v>512000</v>
      </c>
      <c r="AI13" s="90">
        <v>10</v>
      </c>
      <c r="AJ13" s="76">
        <f t="shared" si="38"/>
        <v>512000</v>
      </c>
      <c r="AK13" s="96">
        <f t="shared" si="36"/>
        <v>256000</v>
      </c>
      <c r="AM13" s="90">
        <v>10</v>
      </c>
      <c r="AN13" s="76">
        <f t="shared" si="17"/>
        <v>512000</v>
      </c>
      <c r="AO13" s="96">
        <f t="shared" si="37"/>
        <v>512000</v>
      </c>
      <c r="AQ13" s="90">
        <v>10</v>
      </c>
      <c r="AR13" s="76">
        <f t="shared" si="40"/>
        <v>204800</v>
      </c>
      <c r="AS13" s="76">
        <f t="shared" si="41"/>
        <v>61440</v>
      </c>
      <c r="AT13" s="96">
        <f t="shared" si="42"/>
        <v>102400</v>
      </c>
      <c r="AV13" s="90">
        <v>10</v>
      </c>
      <c r="AW13" s="76">
        <f t="shared" si="21"/>
        <v>204800</v>
      </c>
      <c r="AX13" s="76">
        <f t="shared" si="22"/>
        <v>102400</v>
      </c>
      <c r="AY13" s="96">
        <f t="shared" si="23"/>
        <v>51200</v>
      </c>
      <c r="BA13" s="90">
        <v>10</v>
      </c>
      <c r="BB13" s="76">
        <f t="shared" si="24"/>
        <v>102400</v>
      </c>
      <c r="BC13" s="76">
        <f t="shared" si="25"/>
        <v>204800</v>
      </c>
      <c r="BD13" s="96">
        <f t="shared" si="26"/>
        <v>102400</v>
      </c>
      <c r="BF13" s="90">
        <v>10</v>
      </c>
      <c r="BG13" s="76"/>
      <c r="BH13" s="96"/>
      <c r="BJ13" s="90">
        <v>10</v>
      </c>
      <c r="BK13" s="232">
        <f t="shared" si="27"/>
        <v>10240000</v>
      </c>
      <c r="BL13" s="232">
        <f t="shared" si="28"/>
        <v>10240000</v>
      </c>
      <c r="BM13" s="233">
        <f t="shared" si="5"/>
        <v>512000</v>
      </c>
      <c r="BO13" s="90">
        <v>10</v>
      </c>
      <c r="BP13" s="232">
        <f t="shared" si="29"/>
        <v>512000000</v>
      </c>
      <c r="BQ13" s="232">
        <f t="shared" si="30"/>
        <v>256000000</v>
      </c>
      <c r="BR13" s="233">
        <f t="shared" si="6"/>
        <v>51200000</v>
      </c>
      <c r="BT13" s="90">
        <v>10</v>
      </c>
      <c r="BU13" s="232">
        <f t="shared" si="31"/>
        <v>25600000</v>
      </c>
      <c r="BV13" s="232">
        <f t="shared" si="32"/>
        <v>51200000</v>
      </c>
      <c r="BW13" s="233">
        <f t="shared" si="7"/>
        <v>512000</v>
      </c>
      <c r="BY13" s="90">
        <v>10</v>
      </c>
      <c r="BZ13" s="232">
        <f t="shared" si="33"/>
        <v>390625000</v>
      </c>
      <c r="CA13" s="232">
        <f t="shared" si="34"/>
        <v>97656250</v>
      </c>
      <c r="CB13" s="233">
        <f t="shared" si="35"/>
        <v>190734.86328125</v>
      </c>
    </row>
    <row r="14" spans="2:80" ht="15.75" thickBot="1" x14ac:dyDescent="0.3">
      <c r="B14" s="90">
        <v>11</v>
      </c>
      <c r="C14" s="76">
        <f t="shared" si="0"/>
        <v>3459</v>
      </c>
      <c r="D14" s="96">
        <f t="shared" si="1"/>
        <v>864</v>
      </c>
      <c r="E14" s="295">
        <v>36.6</v>
      </c>
      <c r="F14" s="82"/>
      <c r="G14" s="82"/>
      <c r="H14" s="82">
        <v>91.1666666666667</v>
      </c>
      <c r="J14" s="90">
        <v>11</v>
      </c>
      <c r="K14" s="76">
        <f t="shared" si="8"/>
        <v>5277</v>
      </c>
      <c r="L14" s="96">
        <f t="shared" si="9"/>
        <v>2638</v>
      </c>
      <c r="M14" s="82">
        <f t="shared" si="2"/>
        <v>314</v>
      </c>
      <c r="N14" s="82">
        <f t="shared" si="10"/>
        <v>54</v>
      </c>
      <c r="P14" s="90">
        <v>11</v>
      </c>
      <c r="Q14" s="76">
        <f t="shared" si="11"/>
        <v>12974</v>
      </c>
      <c r="R14" s="96">
        <f t="shared" si="12"/>
        <v>4324</v>
      </c>
      <c r="T14" s="90">
        <v>11</v>
      </c>
      <c r="U14" s="76">
        <f t="shared" si="13"/>
        <v>4324</v>
      </c>
      <c r="V14" s="96">
        <f t="shared" si="14"/>
        <v>1729</v>
      </c>
      <c r="W14" s="82"/>
      <c r="X14" s="82"/>
      <c r="Y14" s="82"/>
      <c r="AA14" s="90">
        <v>11</v>
      </c>
      <c r="AB14" s="76">
        <v>321342</v>
      </c>
      <c r="AC14" s="76">
        <v>128536</v>
      </c>
      <c r="AD14" s="96">
        <v>64268</v>
      </c>
      <c r="AF14" s="90">
        <v>11</v>
      </c>
      <c r="AG14" s="96">
        <f t="shared" si="15"/>
        <v>1024000</v>
      </c>
      <c r="AI14" s="90">
        <v>11</v>
      </c>
      <c r="AJ14" s="76">
        <f t="shared" si="38"/>
        <v>1024000</v>
      </c>
      <c r="AK14" s="96">
        <f t="shared" si="36"/>
        <v>512000</v>
      </c>
      <c r="AM14" s="90">
        <v>11</v>
      </c>
      <c r="AN14" s="76">
        <f t="shared" si="17"/>
        <v>1024000</v>
      </c>
      <c r="AO14" s="96">
        <f t="shared" si="37"/>
        <v>1024000</v>
      </c>
      <c r="AQ14" s="90">
        <v>11</v>
      </c>
      <c r="AR14" s="76">
        <f t="shared" si="40"/>
        <v>409600</v>
      </c>
      <c r="AS14" s="76">
        <f t="shared" si="41"/>
        <v>122880</v>
      </c>
      <c r="AT14" s="96">
        <f t="shared" si="42"/>
        <v>204800</v>
      </c>
      <c r="AV14" s="90">
        <v>11</v>
      </c>
      <c r="AW14" s="76">
        <f t="shared" si="21"/>
        <v>409600</v>
      </c>
      <c r="AX14" s="76">
        <f t="shared" si="22"/>
        <v>204800</v>
      </c>
      <c r="AY14" s="96">
        <f t="shared" si="23"/>
        <v>102400</v>
      </c>
      <c r="BA14" s="90">
        <v>11</v>
      </c>
      <c r="BB14" s="76">
        <f t="shared" si="24"/>
        <v>204800</v>
      </c>
      <c r="BC14" s="76">
        <f t="shared" si="25"/>
        <v>409600</v>
      </c>
      <c r="BD14" s="96">
        <f t="shared" si="26"/>
        <v>204800</v>
      </c>
      <c r="BF14" s="90">
        <v>11</v>
      </c>
      <c r="BG14" s="76"/>
      <c r="BH14" s="96"/>
      <c r="BJ14" s="90">
        <v>11</v>
      </c>
      <c r="BK14" s="232">
        <f t="shared" si="27"/>
        <v>20480000</v>
      </c>
      <c r="BL14" s="232">
        <f t="shared" si="28"/>
        <v>20480000</v>
      </c>
      <c r="BM14" s="233">
        <f t="shared" si="5"/>
        <v>1024000</v>
      </c>
      <c r="BO14" s="90">
        <v>11</v>
      </c>
      <c r="BP14" s="232">
        <f t="shared" si="29"/>
        <v>1024000000</v>
      </c>
      <c r="BQ14" s="232">
        <f t="shared" si="30"/>
        <v>512000000</v>
      </c>
      <c r="BR14" s="233">
        <f t="shared" si="6"/>
        <v>102400000</v>
      </c>
      <c r="BT14" s="90">
        <v>11</v>
      </c>
      <c r="BU14" s="232">
        <f t="shared" si="31"/>
        <v>51200000</v>
      </c>
      <c r="BV14" s="232">
        <f t="shared" si="32"/>
        <v>102400000</v>
      </c>
      <c r="BW14" s="233">
        <f t="shared" si="7"/>
        <v>1024000</v>
      </c>
      <c r="BY14" s="90">
        <v>11</v>
      </c>
      <c r="BZ14" s="232">
        <f t="shared" si="33"/>
        <v>1953125000</v>
      </c>
      <c r="CA14" s="232">
        <f t="shared" si="34"/>
        <v>488281250</v>
      </c>
      <c r="CB14" s="233">
        <f t="shared" si="35"/>
        <v>476837.158203125</v>
      </c>
    </row>
    <row r="15" spans="2:80" ht="15.75" thickBot="1" x14ac:dyDescent="0.3">
      <c r="B15" s="90">
        <v>12</v>
      </c>
      <c r="C15" s="76">
        <f t="shared" si="0"/>
        <v>5189</v>
      </c>
      <c r="D15" s="96">
        <f t="shared" si="1"/>
        <v>1297</v>
      </c>
      <c r="E15" s="295">
        <v>39.200000000000003</v>
      </c>
      <c r="F15" s="82"/>
      <c r="G15" s="82"/>
      <c r="H15" s="82">
        <v>99.6666666666667</v>
      </c>
      <c r="J15" s="90">
        <v>12</v>
      </c>
      <c r="K15" s="76">
        <f t="shared" si="8"/>
        <v>8444</v>
      </c>
      <c r="L15" s="96">
        <f t="shared" si="9"/>
        <v>4222</v>
      </c>
      <c r="M15" s="82">
        <f t="shared" si="2"/>
        <v>377</v>
      </c>
      <c r="N15" s="82">
        <f t="shared" si="10"/>
        <v>63</v>
      </c>
      <c r="P15" s="90">
        <v>12</v>
      </c>
      <c r="Q15" s="76">
        <f t="shared" si="11"/>
        <v>19461</v>
      </c>
      <c r="R15" s="96">
        <f t="shared" si="12"/>
        <v>6487</v>
      </c>
      <c r="T15" s="90">
        <v>12</v>
      </c>
      <c r="U15" s="76">
        <f t="shared" si="13"/>
        <v>6487</v>
      </c>
      <c r="V15" s="96">
        <f t="shared" si="14"/>
        <v>2594</v>
      </c>
      <c r="W15" s="82"/>
      <c r="X15" s="82"/>
      <c r="Y15" s="82"/>
      <c r="AA15" s="90">
        <v>12</v>
      </c>
      <c r="AB15" s="76"/>
      <c r="AC15" s="76"/>
      <c r="AD15" s="96"/>
      <c r="AF15" s="90">
        <v>12</v>
      </c>
      <c r="AG15" s="96">
        <f t="shared" si="15"/>
        <v>2048000</v>
      </c>
      <c r="AI15" s="90">
        <v>12</v>
      </c>
      <c r="AJ15" s="76">
        <f t="shared" si="38"/>
        <v>2048000</v>
      </c>
      <c r="AK15" s="96">
        <f t="shared" si="36"/>
        <v>1024000</v>
      </c>
      <c r="AM15" s="90">
        <v>12</v>
      </c>
      <c r="AN15" s="76">
        <f t="shared" si="17"/>
        <v>2048000</v>
      </c>
      <c r="AO15" s="96">
        <f t="shared" si="37"/>
        <v>2048000</v>
      </c>
      <c r="AQ15" s="90">
        <v>12</v>
      </c>
      <c r="AR15" s="76">
        <f t="shared" si="40"/>
        <v>819200</v>
      </c>
      <c r="AS15" s="76">
        <f t="shared" si="41"/>
        <v>245760</v>
      </c>
      <c r="AT15" s="96">
        <f t="shared" si="42"/>
        <v>409600</v>
      </c>
      <c r="AV15" s="90">
        <v>12</v>
      </c>
      <c r="AW15" s="76">
        <f t="shared" si="21"/>
        <v>819200</v>
      </c>
      <c r="AX15" s="76">
        <f t="shared" si="22"/>
        <v>409600</v>
      </c>
      <c r="AY15" s="96">
        <f t="shared" si="23"/>
        <v>204800</v>
      </c>
      <c r="BA15" s="90">
        <v>12</v>
      </c>
      <c r="BB15" s="76">
        <f t="shared" si="24"/>
        <v>409600</v>
      </c>
      <c r="BC15" s="76">
        <f t="shared" si="25"/>
        <v>819200</v>
      </c>
      <c r="BD15" s="96">
        <f t="shared" si="26"/>
        <v>409600</v>
      </c>
      <c r="BF15" s="90">
        <v>12</v>
      </c>
      <c r="BG15" s="76"/>
      <c r="BH15" s="96"/>
      <c r="BJ15" s="90">
        <v>12</v>
      </c>
      <c r="BK15" s="232">
        <f t="shared" si="27"/>
        <v>40960000</v>
      </c>
      <c r="BL15" s="232">
        <f t="shared" si="28"/>
        <v>40960000</v>
      </c>
      <c r="BM15" s="233">
        <f t="shared" si="5"/>
        <v>2048000</v>
      </c>
      <c r="BO15" s="90">
        <v>12</v>
      </c>
      <c r="BP15" s="232">
        <f t="shared" si="29"/>
        <v>2048000000</v>
      </c>
      <c r="BQ15" s="232">
        <f t="shared" si="30"/>
        <v>1024000000</v>
      </c>
      <c r="BR15" s="233">
        <f t="shared" si="6"/>
        <v>204800000</v>
      </c>
      <c r="BT15" s="90">
        <v>12</v>
      </c>
      <c r="BU15" s="232">
        <f t="shared" si="31"/>
        <v>102400000</v>
      </c>
      <c r="BV15" s="232">
        <f t="shared" si="32"/>
        <v>204800000</v>
      </c>
      <c r="BW15" s="233">
        <f t="shared" si="7"/>
        <v>2048000</v>
      </c>
      <c r="BY15" s="90">
        <v>12</v>
      </c>
      <c r="BZ15" s="232">
        <f t="shared" si="33"/>
        <v>9765625000</v>
      </c>
      <c r="CA15" s="232">
        <f t="shared" si="34"/>
        <v>2441406250</v>
      </c>
      <c r="CB15" s="233">
        <f t="shared" si="35"/>
        <v>1192092.8955078125</v>
      </c>
    </row>
    <row r="16" spans="2:80" ht="15.75" thickBot="1" x14ac:dyDescent="0.3">
      <c r="B16" s="90">
        <v>13</v>
      </c>
      <c r="C16" s="76">
        <f t="shared" si="0"/>
        <v>7784</v>
      </c>
      <c r="D16" s="96">
        <f t="shared" si="1"/>
        <v>1946</v>
      </c>
      <c r="E16" s="295">
        <v>41.8</v>
      </c>
      <c r="F16" s="82"/>
      <c r="G16" s="82"/>
      <c r="H16" s="82">
        <v>108.166666666667</v>
      </c>
      <c r="J16" s="90">
        <v>13</v>
      </c>
      <c r="K16" s="76">
        <f t="shared" si="8"/>
        <v>13510</v>
      </c>
      <c r="L16" s="96">
        <f t="shared" si="9"/>
        <v>6755</v>
      </c>
      <c r="M16" s="82">
        <f t="shared" si="2"/>
        <v>449</v>
      </c>
      <c r="N16" s="82">
        <f t="shared" si="10"/>
        <v>72</v>
      </c>
      <c r="P16" s="90">
        <v>13</v>
      </c>
      <c r="Q16" s="76">
        <f t="shared" si="11"/>
        <v>29192</v>
      </c>
      <c r="R16" s="96">
        <f t="shared" si="12"/>
        <v>9730</v>
      </c>
      <c r="T16" s="90">
        <v>13</v>
      </c>
      <c r="U16" s="76">
        <f t="shared" si="13"/>
        <v>9730</v>
      </c>
      <c r="V16" s="96">
        <f t="shared" si="14"/>
        <v>3892</v>
      </c>
      <c r="W16" s="82"/>
      <c r="X16" s="82"/>
      <c r="Y16" s="82"/>
      <c r="AA16" s="90">
        <v>13</v>
      </c>
      <c r="AB16" s="76"/>
      <c r="AC16" s="76"/>
      <c r="AD16" s="96"/>
      <c r="AF16" s="90">
        <v>13</v>
      </c>
      <c r="AG16" s="96">
        <f t="shared" si="15"/>
        <v>4096000</v>
      </c>
      <c r="AI16" s="90">
        <v>13</v>
      </c>
      <c r="AJ16" s="76">
        <f t="shared" si="38"/>
        <v>4096000</v>
      </c>
      <c r="AK16" s="96">
        <f t="shared" si="36"/>
        <v>2048000</v>
      </c>
      <c r="AM16" s="90">
        <v>13</v>
      </c>
      <c r="AN16" s="76">
        <f t="shared" si="17"/>
        <v>4096000</v>
      </c>
      <c r="AO16" s="96">
        <f t="shared" si="37"/>
        <v>4096000</v>
      </c>
      <c r="AQ16" s="90">
        <v>13</v>
      </c>
      <c r="AR16" s="76">
        <f t="shared" si="40"/>
        <v>1638400</v>
      </c>
      <c r="AS16" s="76">
        <f t="shared" si="41"/>
        <v>491520</v>
      </c>
      <c r="AT16" s="96">
        <f t="shared" si="42"/>
        <v>819200</v>
      </c>
      <c r="AV16" s="90">
        <v>13</v>
      </c>
      <c r="AW16" s="76">
        <f t="shared" si="21"/>
        <v>1638400</v>
      </c>
      <c r="AX16" s="76">
        <f t="shared" si="22"/>
        <v>819200</v>
      </c>
      <c r="AY16" s="96">
        <f t="shared" si="23"/>
        <v>409600</v>
      </c>
      <c r="BA16" s="90">
        <v>13</v>
      </c>
      <c r="BB16" s="76">
        <f t="shared" si="24"/>
        <v>819200</v>
      </c>
      <c r="BC16" s="76">
        <f t="shared" si="25"/>
        <v>1638400</v>
      </c>
      <c r="BD16" s="96">
        <f t="shared" si="26"/>
        <v>819200</v>
      </c>
      <c r="BF16" s="90">
        <v>13</v>
      </c>
      <c r="BG16" s="76"/>
      <c r="BH16" s="96"/>
      <c r="BJ16" s="90">
        <v>13</v>
      </c>
      <c r="BK16" s="232">
        <f t="shared" si="27"/>
        <v>81920000</v>
      </c>
      <c r="BL16" s="232">
        <f t="shared" si="28"/>
        <v>81920000</v>
      </c>
      <c r="BM16" s="233">
        <f t="shared" si="5"/>
        <v>4096000</v>
      </c>
      <c r="BO16" s="90">
        <v>13</v>
      </c>
      <c r="BP16" s="232">
        <f t="shared" si="29"/>
        <v>4096000000</v>
      </c>
      <c r="BQ16" s="232">
        <f t="shared" si="30"/>
        <v>2048000000</v>
      </c>
      <c r="BR16" s="233">
        <f t="shared" si="6"/>
        <v>409600000</v>
      </c>
      <c r="BT16" s="90">
        <v>13</v>
      </c>
      <c r="BU16" s="232">
        <f t="shared" si="31"/>
        <v>204800000</v>
      </c>
      <c r="BV16" s="232">
        <f t="shared" si="32"/>
        <v>409600000</v>
      </c>
      <c r="BW16" s="233">
        <f t="shared" si="7"/>
        <v>4096000</v>
      </c>
      <c r="BY16" s="90">
        <v>13</v>
      </c>
      <c r="BZ16" s="232">
        <f t="shared" si="33"/>
        <v>48828125000</v>
      </c>
      <c r="CA16" s="232">
        <f t="shared" si="34"/>
        <v>12207031250</v>
      </c>
      <c r="CB16" s="233">
        <f t="shared" si="35"/>
        <v>2980232.2387695313</v>
      </c>
    </row>
    <row r="17" spans="2:80" ht="15.75" thickBot="1" x14ac:dyDescent="0.3">
      <c r="B17" s="90">
        <v>14</v>
      </c>
      <c r="C17" s="76">
        <f t="shared" si="0"/>
        <v>11677</v>
      </c>
      <c r="D17" s="96">
        <f t="shared" si="1"/>
        <v>2919</v>
      </c>
      <c r="E17" s="295">
        <v>44.4</v>
      </c>
      <c r="F17" s="82"/>
      <c r="G17" s="82"/>
      <c r="H17" s="82">
        <v>116.666666666667</v>
      </c>
      <c r="J17" s="90">
        <v>14</v>
      </c>
      <c r="K17" s="76">
        <f t="shared" si="8"/>
        <v>21617</v>
      </c>
      <c r="L17" s="96">
        <f t="shared" si="9"/>
        <v>10808</v>
      </c>
      <c r="M17" s="82">
        <f t="shared" si="2"/>
        <v>532</v>
      </c>
      <c r="N17" s="82">
        <f t="shared" si="10"/>
        <v>83</v>
      </c>
      <c r="P17" s="90">
        <v>14</v>
      </c>
      <c r="Q17" s="76">
        <f t="shared" si="11"/>
        <v>43789</v>
      </c>
      <c r="R17" s="96">
        <f t="shared" si="12"/>
        <v>14596</v>
      </c>
      <c r="T17" s="90">
        <v>14</v>
      </c>
      <c r="U17" s="76">
        <f t="shared" si="13"/>
        <v>14596</v>
      </c>
      <c r="V17" s="96">
        <f t="shared" si="14"/>
        <v>5838</v>
      </c>
      <c r="W17" s="82"/>
      <c r="X17" s="82"/>
      <c r="Y17" s="82"/>
      <c r="AA17" s="90">
        <v>14</v>
      </c>
      <c r="AB17" s="76"/>
      <c r="AC17" s="76"/>
      <c r="AD17" s="96"/>
      <c r="AF17" s="90">
        <v>14</v>
      </c>
      <c r="AG17" s="96">
        <f t="shared" si="15"/>
        <v>8192000</v>
      </c>
      <c r="AI17" s="90">
        <v>14</v>
      </c>
      <c r="AJ17" s="76">
        <f t="shared" si="38"/>
        <v>8192000</v>
      </c>
      <c r="AK17" s="96">
        <f t="shared" si="36"/>
        <v>4096000</v>
      </c>
      <c r="AM17" s="90">
        <v>14</v>
      </c>
      <c r="AN17" s="76">
        <f t="shared" si="17"/>
        <v>8192000</v>
      </c>
      <c r="AO17" s="96">
        <f t="shared" si="37"/>
        <v>8192000</v>
      </c>
      <c r="AQ17" s="90">
        <v>14</v>
      </c>
      <c r="AR17" s="76">
        <f t="shared" si="40"/>
        <v>3276800</v>
      </c>
      <c r="AS17" s="76">
        <f t="shared" si="41"/>
        <v>983040</v>
      </c>
      <c r="AT17" s="96">
        <f t="shared" si="42"/>
        <v>1638400</v>
      </c>
      <c r="AV17" s="90">
        <v>14</v>
      </c>
      <c r="AW17" s="76">
        <f t="shared" si="21"/>
        <v>3276800</v>
      </c>
      <c r="AX17" s="76">
        <f t="shared" si="22"/>
        <v>1638400</v>
      </c>
      <c r="AY17" s="96">
        <f t="shared" si="23"/>
        <v>819200</v>
      </c>
      <c r="BA17" s="90">
        <v>14</v>
      </c>
      <c r="BB17" s="76">
        <f t="shared" si="24"/>
        <v>1638400</v>
      </c>
      <c r="BC17" s="76">
        <f t="shared" si="25"/>
        <v>3276800</v>
      </c>
      <c r="BD17" s="96">
        <f t="shared" si="26"/>
        <v>1638400</v>
      </c>
      <c r="BF17" s="90">
        <v>14</v>
      </c>
      <c r="BG17" s="76"/>
      <c r="BH17" s="96"/>
      <c r="BJ17" s="90">
        <v>14</v>
      </c>
      <c r="BK17" s="232">
        <f t="shared" si="27"/>
        <v>163840000</v>
      </c>
      <c r="BL17" s="232">
        <f t="shared" si="28"/>
        <v>163840000</v>
      </c>
      <c r="BM17" s="233">
        <f t="shared" si="5"/>
        <v>8192000</v>
      </c>
      <c r="BO17" s="90">
        <v>14</v>
      </c>
      <c r="BP17" s="232">
        <f t="shared" si="29"/>
        <v>8192000000</v>
      </c>
      <c r="BQ17" s="232">
        <f t="shared" si="30"/>
        <v>4096000000</v>
      </c>
      <c r="BR17" s="233">
        <f t="shared" si="6"/>
        <v>819200000</v>
      </c>
      <c r="BT17" s="90">
        <v>14</v>
      </c>
      <c r="BU17" s="232">
        <f t="shared" si="31"/>
        <v>409600000</v>
      </c>
      <c r="BV17" s="232">
        <f t="shared" si="32"/>
        <v>819200000</v>
      </c>
      <c r="BW17" s="233">
        <f t="shared" si="7"/>
        <v>8192000</v>
      </c>
      <c r="BY17" s="90">
        <v>14</v>
      </c>
      <c r="BZ17" s="232">
        <f t="shared" si="33"/>
        <v>244140625000</v>
      </c>
      <c r="CA17" s="232">
        <f t="shared" si="34"/>
        <v>61035156250</v>
      </c>
      <c r="CB17" s="233">
        <f t="shared" si="35"/>
        <v>7450580.5969238281</v>
      </c>
    </row>
    <row r="18" spans="2:80" ht="15.75" thickBot="1" x14ac:dyDescent="0.3">
      <c r="B18" s="90">
        <v>15</v>
      </c>
      <c r="C18" s="76">
        <f t="shared" si="0"/>
        <v>17515</v>
      </c>
      <c r="D18" s="96">
        <f t="shared" si="1"/>
        <v>4378</v>
      </c>
      <c r="E18" s="82"/>
      <c r="F18" s="82"/>
      <c r="G18" s="82"/>
      <c r="H18" s="82"/>
      <c r="J18" s="90">
        <v>15</v>
      </c>
      <c r="K18" s="76">
        <f t="shared" si="8"/>
        <v>34587</v>
      </c>
      <c r="L18" s="96">
        <f t="shared" si="9"/>
        <v>17293</v>
      </c>
      <c r="M18" s="82">
        <f t="shared" si="2"/>
        <v>627</v>
      </c>
      <c r="N18" s="82">
        <f t="shared" si="10"/>
        <v>95</v>
      </c>
      <c r="P18" s="90">
        <v>15</v>
      </c>
      <c r="Q18" s="76">
        <f t="shared" si="11"/>
        <v>65684</v>
      </c>
      <c r="R18" s="96">
        <f t="shared" si="12"/>
        <v>21894</v>
      </c>
      <c r="T18" s="90">
        <v>15</v>
      </c>
      <c r="U18" s="76">
        <f t="shared" si="13"/>
        <v>21894</v>
      </c>
      <c r="V18" s="96">
        <f t="shared" si="14"/>
        <v>8757</v>
      </c>
      <c r="W18" s="82"/>
      <c r="X18" s="82"/>
      <c r="Y18" s="82"/>
      <c r="AA18" s="90">
        <v>15</v>
      </c>
      <c r="AB18" s="76"/>
      <c r="AC18" s="76"/>
      <c r="AD18" s="96"/>
      <c r="AF18" s="90">
        <v>15</v>
      </c>
      <c r="AG18" s="96">
        <f t="shared" si="15"/>
        <v>16384000</v>
      </c>
      <c r="AI18" s="90">
        <v>15</v>
      </c>
      <c r="AJ18" s="76">
        <f t="shared" si="38"/>
        <v>16384000</v>
      </c>
      <c r="AK18" s="96">
        <f t="shared" si="36"/>
        <v>8192000</v>
      </c>
      <c r="AM18" s="90">
        <v>15</v>
      </c>
      <c r="AN18" s="76">
        <f t="shared" si="17"/>
        <v>16384000</v>
      </c>
      <c r="AO18" s="96">
        <f t="shared" si="37"/>
        <v>16384000</v>
      </c>
      <c r="AQ18" s="90">
        <v>15</v>
      </c>
      <c r="AR18" s="76">
        <f t="shared" si="40"/>
        <v>6553600</v>
      </c>
      <c r="AS18" s="76">
        <f t="shared" si="41"/>
        <v>1966080</v>
      </c>
      <c r="AT18" s="96">
        <f t="shared" si="42"/>
        <v>3276800</v>
      </c>
      <c r="AV18" s="90">
        <v>15</v>
      </c>
      <c r="AW18" s="76">
        <f t="shared" si="21"/>
        <v>6553600</v>
      </c>
      <c r="AX18" s="76">
        <f t="shared" si="22"/>
        <v>3276800</v>
      </c>
      <c r="AY18" s="96">
        <f t="shared" si="23"/>
        <v>1638400</v>
      </c>
      <c r="BA18" s="90">
        <v>15</v>
      </c>
      <c r="BB18" s="76">
        <f t="shared" si="24"/>
        <v>3276800</v>
      </c>
      <c r="BC18" s="76">
        <f t="shared" si="25"/>
        <v>6553600</v>
      </c>
      <c r="BD18" s="96">
        <f t="shared" si="26"/>
        <v>3276800</v>
      </c>
      <c r="BF18" s="90">
        <v>15</v>
      </c>
      <c r="BG18" s="76"/>
      <c r="BH18" s="96"/>
      <c r="BJ18" s="90">
        <v>15</v>
      </c>
      <c r="BK18" s="232">
        <f t="shared" si="27"/>
        <v>327680000</v>
      </c>
      <c r="BL18" s="232">
        <f t="shared" si="28"/>
        <v>327680000</v>
      </c>
      <c r="BM18" s="233">
        <f t="shared" si="5"/>
        <v>16384000</v>
      </c>
      <c r="BO18" s="90">
        <v>15</v>
      </c>
      <c r="BP18" s="232">
        <f t="shared" si="29"/>
        <v>16384000000</v>
      </c>
      <c r="BQ18" s="232">
        <f t="shared" si="30"/>
        <v>8192000000</v>
      </c>
      <c r="BR18" s="233">
        <f t="shared" si="6"/>
        <v>1638400000</v>
      </c>
      <c r="BT18" s="90">
        <v>15</v>
      </c>
      <c r="BU18" s="232">
        <f t="shared" si="31"/>
        <v>819200000</v>
      </c>
      <c r="BV18" s="232">
        <f t="shared" si="32"/>
        <v>1638400000</v>
      </c>
      <c r="BW18" s="233">
        <f t="shared" si="7"/>
        <v>16384000</v>
      </c>
      <c r="BY18" s="90">
        <v>15</v>
      </c>
      <c r="BZ18" s="232">
        <f t="shared" si="33"/>
        <v>1220703125000</v>
      </c>
      <c r="CA18" s="232">
        <f t="shared" si="34"/>
        <v>305175781250</v>
      </c>
      <c r="CB18" s="233">
        <f t="shared" si="35"/>
        <v>18626451.49230957</v>
      </c>
    </row>
    <row r="19" spans="2:80" ht="15.75" thickBot="1" x14ac:dyDescent="0.3">
      <c r="B19" s="90">
        <v>16</v>
      </c>
      <c r="C19" s="76">
        <f t="shared" si="0"/>
        <v>26273</v>
      </c>
      <c r="D19" s="96">
        <f t="shared" si="1"/>
        <v>6568</v>
      </c>
      <c r="E19" s="82"/>
      <c r="F19" s="82"/>
      <c r="G19" s="82"/>
      <c r="H19" s="82"/>
      <c r="J19" s="90">
        <v>16</v>
      </c>
      <c r="K19" s="76">
        <f t="shared" si="8"/>
        <v>55340</v>
      </c>
      <c r="L19" s="96">
        <f t="shared" si="9"/>
        <v>27670</v>
      </c>
      <c r="M19" s="82">
        <f t="shared" si="2"/>
        <v>736</v>
      </c>
      <c r="N19" s="82">
        <f t="shared" si="10"/>
        <v>109</v>
      </c>
      <c r="P19" s="90">
        <v>16</v>
      </c>
      <c r="Q19" s="76">
        <f t="shared" si="11"/>
        <v>98526</v>
      </c>
      <c r="R19" s="96">
        <f t="shared" si="12"/>
        <v>32842</v>
      </c>
      <c r="T19" s="90">
        <v>16</v>
      </c>
      <c r="U19" s="76">
        <f t="shared" si="13"/>
        <v>32842</v>
      </c>
      <c r="V19" s="96">
        <f t="shared" si="14"/>
        <v>13136</v>
      </c>
      <c r="W19" s="82"/>
      <c r="X19" s="82"/>
      <c r="Y19" s="82"/>
      <c r="AA19" s="90">
        <v>16</v>
      </c>
      <c r="AB19" s="76"/>
      <c r="AC19" s="76"/>
      <c r="AD19" s="96"/>
      <c r="AF19" s="90">
        <v>16</v>
      </c>
      <c r="AG19" s="96">
        <f t="shared" si="15"/>
        <v>32768000</v>
      </c>
      <c r="AI19" s="90">
        <v>16</v>
      </c>
      <c r="AJ19" s="76">
        <f t="shared" si="38"/>
        <v>32768000</v>
      </c>
      <c r="AK19" s="96">
        <f t="shared" si="36"/>
        <v>16384000</v>
      </c>
      <c r="AM19" s="90">
        <v>16</v>
      </c>
      <c r="AN19" s="76">
        <f t="shared" si="17"/>
        <v>32768000</v>
      </c>
      <c r="AO19" s="96">
        <f t="shared" si="37"/>
        <v>32768000</v>
      </c>
      <c r="AQ19" s="90">
        <v>16</v>
      </c>
      <c r="AR19" s="76">
        <f t="shared" si="40"/>
        <v>13107200</v>
      </c>
      <c r="AS19" s="76">
        <f t="shared" si="41"/>
        <v>3932160</v>
      </c>
      <c r="AT19" s="96">
        <f t="shared" si="42"/>
        <v>6553600</v>
      </c>
      <c r="AV19" s="90">
        <v>16</v>
      </c>
      <c r="AW19" s="76">
        <f t="shared" si="21"/>
        <v>13107200</v>
      </c>
      <c r="AX19" s="76">
        <f t="shared" si="22"/>
        <v>6553600</v>
      </c>
      <c r="AY19" s="96">
        <f t="shared" si="23"/>
        <v>3276800</v>
      </c>
      <c r="BA19" s="90">
        <v>16</v>
      </c>
      <c r="BB19" s="76">
        <f t="shared" si="24"/>
        <v>6553600</v>
      </c>
      <c r="BC19" s="76">
        <f t="shared" si="25"/>
        <v>13107200</v>
      </c>
      <c r="BD19" s="96">
        <f t="shared" si="26"/>
        <v>6553600</v>
      </c>
      <c r="BF19" s="90">
        <v>16</v>
      </c>
      <c r="BG19" s="76"/>
      <c r="BH19" s="96"/>
      <c r="BJ19" s="90">
        <v>16</v>
      </c>
      <c r="BK19" s="232">
        <f t="shared" si="27"/>
        <v>655360000</v>
      </c>
      <c r="BL19" s="232">
        <f t="shared" si="28"/>
        <v>655360000</v>
      </c>
      <c r="BM19" s="233">
        <f t="shared" si="5"/>
        <v>32768000</v>
      </c>
      <c r="BO19" s="90">
        <v>16</v>
      </c>
      <c r="BP19" s="232">
        <f t="shared" si="29"/>
        <v>32768000000</v>
      </c>
      <c r="BQ19" s="232">
        <f t="shared" si="30"/>
        <v>16384000000</v>
      </c>
      <c r="BR19" s="233">
        <f t="shared" si="6"/>
        <v>3276800000</v>
      </c>
      <c r="BT19" s="90">
        <v>16</v>
      </c>
      <c r="BU19" s="232">
        <f t="shared" si="31"/>
        <v>1638400000</v>
      </c>
      <c r="BV19" s="232">
        <f t="shared" si="32"/>
        <v>3276800000</v>
      </c>
      <c r="BW19" s="233">
        <f t="shared" si="7"/>
        <v>32768000</v>
      </c>
      <c r="BY19" s="90">
        <v>16</v>
      </c>
      <c r="BZ19" s="232">
        <f t="shared" si="33"/>
        <v>6103515625000</v>
      </c>
      <c r="CA19" s="232">
        <f t="shared" si="34"/>
        <v>1525878906250</v>
      </c>
      <c r="CB19" s="233">
        <f t="shared" si="35"/>
        <v>46566128.730773926</v>
      </c>
    </row>
    <row r="20" spans="2:80" ht="15.75" thickBot="1" x14ac:dyDescent="0.3">
      <c r="B20" s="90">
        <v>17</v>
      </c>
      <c r="C20" s="76">
        <f t="shared" si="0"/>
        <v>39410</v>
      </c>
      <c r="D20" s="96">
        <f t="shared" si="1"/>
        <v>9852</v>
      </c>
      <c r="E20" s="82"/>
      <c r="F20" s="82">
        <f>10*B4*1.1^B4</f>
        <v>11</v>
      </c>
      <c r="G20" s="82"/>
      <c r="H20" s="82"/>
      <c r="J20" s="90">
        <v>17</v>
      </c>
      <c r="K20" s="76">
        <f t="shared" si="8"/>
        <v>88544</v>
      </c>
      <c r="L20" s="96">
        <f t="shared" si="9"/>
        <v>44272</v>
      </c>
      <c r="M20" s="82">
        <f t="shared" si="2"/>
        <v>860</v>
      </c>
      <c r="N20" s="82">
        <f t="shared" si="10"/>
        <v>124</v>
      </c>
      <c r="P20" s="90">
        <v>17</v>
      </c>
      <c r="Q20" s="76">
        <f t="shared" si="11"/>
        <v>147789</v>
      </c>
      <c r="R20" s="96">
        <f t="shared" si="12"/>
        <v>49263</v>
      </c>
      <c r="T20" s="90">
        <v>17</v>
      </c>
      <c r="U20" s="76">
        <f t="shared" si="13"/>
        <v>49263</v>
      </c>
      <c r="V20" s="96">
        <f t="shared" si="14"/>
        <v>19705</v>
      </c>
      <c r="W20" s="82"/>
      <c r="X20" s="82"/>
      <c r="Y20" s="82"/>
      <c r="AA20" s="90">
        <v>17</v>
      </c>
      <c r="AB20" s="76"/>
      <c r="AC20" s="76"/>
      <c r="AD20" s="96"/>
      <c r="AF20" s="90">
        <v>17</v>
      </c>
      <c r="AG20" s="96">
        <f t="shared" si="15"/>
        <v>65536000</v>
      </c>
      <c r="AI20" s="90">
        <v>17</v>
      </c>
      <c r="AJ20" s="76">
        <f t="shared" si="38"/>
        <v>65536000</v>
      </c>
      <c r="AK20" s="96">
        <f t="shared" si="36"/>
        <v>32768000</v>
      </c>
      <c r="AM20" s="90">
        <v>17</v>
      </c>
      <c r="AN20" s="76">
        <f t="shared" si="17"/>
        <v>65536000</v>
      </c>
      <c r="AO20" s="96">
        <f t="shared" si="37"/>
        <v>65536000</v>
      </c>
      <c r="AQ20" s="90">
        <v>17</v>
      </c>
      <c r="AR20" s="76">
        <f t="shared" si="40"/>
        <v>26214400</v>
      </c>
      <c r="AS20" s="76">
        <f t="shared" si="41"/>
        <v>7864320</v>
      </c>
      <c r="AT20" s="96">
        <f t="shared" si="42"/>
        <v>13107200</v>
      </c>
      <c r="AV20" s="90">
        <v>17</v>
      </c>
      <c r="AW20" s="76">
        <f t="shared" si="21"/>
        <v>26214400</v>
      </c>
      <c r="AX20" s="76">
        <f t="shared" si="22"/>
        <v>13107200</v>
      </c>
      <c r="AY20" s="96">
        <f t="shared" si="23"/>
        <v>6553600</v>
      </c>
      <c r="BA20" s="90">
        <v>17</v>
      </c>
      <c r="BB20" s="76">
        <f t="shared" si="24"/>
        <v>13107200</v>
      </c>
      <c r="BC20" s="76">
        <f t="shared" si="25"/>
        <v>26214400</v>
      </c>
      <c r="BD20" s="96">
        <f t="shared" si="26"/>
        <v>13107200</v>
      </c>
      <c r="BF20" s="90">
        <v>17</v>
      </c>
      <c r="BG20" s="76"/>
      <c r="BH20" s="96"/>
      <c r="BJ20" s="90">
        <v>17</v>
      </c>
      <c r="BK20" s="232">
        <f t="shared" si="27"/>
        <v>1310720000</v>
      </c>
      <c r="BL20" s="232">
        <f t="shared" si="28"/>
        <v>1310720000</v>
      </c>
      <c r="BM20" s="233">
        <f t="shared" si="5"/>
        <v>65536000</v>
      </c>
      <c r="BO20" s="90">
        <v>17</v>
      </c>
      <c r="BP20" s="232">
        <f t="shared" si="29"/>
        <v>65536000000</v>
      </c>
      <c r="BQ20" s="232">
        <f t="shared" si="30"/>
        <v>32768000000</v>
      </c>
      <c r="BR20" s="233">
        <f t="shared" si="6"/>
        <v>6553600000</v>
      </c>
      <c r="BT20" s="90">
        <v>17</v>
      </c>
      <c r="BU20" s="232">
        <f t="shared" si="31"/>
        <v>3276800000</v>
      </c>
      <c r="BV20" s="232">
        <f t="shared" si="32"/>
        <v>6553600000</v>
      </c>
      <c r="BW20" s="233">
        <f t="shared" si="7"/>
        <v>65536000</v>
      </c>
      <c r="BY20" s="90">
        <v>17</v>
      </c>
      <c r="BZ20" s="232">
        <f t="shared" si="33"/>
        <v>30517578125000</v>
      </c>
      <c r="CA20" s="232">
        <f t="shared" si="34"/>
        <v>7629394531250</v>
      </c>
      <c r="CB20" s="233">
        <f t="shared" si="35"/>
        <v>116415321.82693481</v>
      </c>
    </row>
    <row r="21" spans="2:80" ht="15.75" thickBot="1" x14ac:dyDescent="0.3">
      <c r="B21" s="90">
        <v>18</v>
      </c>
      <c r="C21" s="76">
        <f t="shared" si="0"/>
        <v>59115</v>
      </c>
      <c r="D21" s="96">
        <f t="shared" si="1"/>
        <v>14778</v>
      </c>
      <c r="E21" s="82"/>
      <c r="F21" s="82">
        <f>10*B5*1.1^B5</f>
        <v>24.200000000000003</v>
      </c>
      <c r="G21" s="82"/>
      <c r="H21" s="82"/>
      <c r="J21" s="90">
        <v>18</v>
      </c>
      <c r="K21" s="76">
        <f t="shared" si="8"/>
        <v>141670</v>
      </c>
      <c r="L21" s="96">
        <f t="shared" si="9"/>
        <v>70835</v>
      </c>
      <c r="M21" s="82">
        <f t="shared" si="2"/>
        <v>1001</v>
      </c>
      <c r="N21" s="82">
        <f t="shared" si="10"/>
        <v>141</v>
      </c>
      <c r="P21" s="90">
        <v>18</v>
      </c>
      <c r="Q21" s="76">
        <f t="shared" si="11"/>
        <v>221683</v>
      </c>
      <c r="R21" s="96">
        <f t="shared" si="12"/>
        <v>73894</v>
      </c>
      <c r="T21" s="90">
        <v>18</v>
      </c>
      <c r="U21" s="76">
        <f t="shared" si="13"/>
        <v>73894</v>
      </c>
      <c r="V21" s="96">
        <f t="shared" si="14"/>
        <v>29557</v>
      </c>
      <c r="W21" s="82"/>
      <c r="X21" s="82"/>
      <c r="Y21" s="82"/>
      <c r="AA21" s="90">
        <v>18</v>
      </c>
      <c r="AB21" s="76"/>
      <c r="AC21" s="76"/>
      <c r="AD21" s="96"/>
      <c r="AF21" s="90">
        <v>18</v>
      </c>
      <c r="AG21" s="96">
        <f t="shared" si="15"/>
        <v>131072000</v>
      </c>
      <c r="AI21" s="90">
        <v>18</v>
      </c>
      <c r="AJ21" s="76">
        <f t="shared" si="38"/>
        <v>131072000</v>
      </c>
      <c r="AK21" s="96">
        <f t="shared" si="36"/>
        <v>65536000</v>
      </c>
      <c r="AM21" s="90">
        <v>18</v>
      </c>
      <c r="AN21" s="76">
        <f t="shared" si="17"/>
        <v>131072000</v>
      </c>
      <c r="AO21" s="96">
        <f t="shared" si="37"/>
        <v>131072000</v>
      </c>
      <c r="AQ21" s="90">
        <v>18</v>
      </c>
      <c r="AR21" s="76">
        <f t="shared" si="40"/>
        <v>52428800</v>
      </c>
      <c r="AS21" s="76">
        <f t="shared" si="41"/>
        <v>15728640</v>
      </c>
      <c r="AT21" s="96">
        <f t="shared" si="42"/>
        <v>26214400</v>
      </c>
      <c r="AV21" s="90">
        <v>18</v>
      </c>
      <c r="AW21" s="76">
        <f t="shared" si="21"/>
        <v>52428800</v>
      </c>
      <c r="AX21" s="76">
        <f t="shared" si="22"/>
        <v>26214400</v>
      </c>
      <c r="AY21" s="96">
        <f t="shared" si="23"/>
        <v>13107200</v>
      </c>
      <c r="BA21" s="90">
        <v>18</v>
      </c>
      <c r="BB21" s="76">
        <f t="shared" si="24"/>
        <v>26214400</v>
      </c>
      <c r="BC21" s="76">
        <f t="shared" si="25"/>
        <v>52428800</v>
      </c>
      <c r="BD21" s="96">
        <f t="shared" si="26"/>
        <v>26214400</v>
      </c>
      <c r="BF21" s="90">
        <v>18</v>
      </c>
      <c r="BG21" s="76"/>
      <c r="BH21" s="96"/>
      <c r="BJ21" s="90">
        <v>18</v>
      </c>
      <c r="BK21" s="232">
        <f t="shared" si="27"/>
        <v>2621440000</v>
      </c>
      <c r="BL21" s="232">
        <f t="shared" si="28"/>
        <v>2621440000</v>
      </c>
      <c r="BM21" s="233">
        <f t="shared" si="5"/>
        <v>131072000</v>
      </c>
      <c r="BO21" s="90">
        <v>18</v>
      </c>
      <c r="BP21" s="232">
        <f t="shared" si="29"/>
        <v>131072000000</v>
      </c>
      <c r="BQ21" s="232">
        <f t="shared" si="30"/>
        <v>65536000000</v>
      </c>
      <c r="BR21" s="233">
        <f t="shared" si="6"/>
        <v>13107200000</v>
      </c>
      <c r="BT21" s="90">
        <v>18</v>
      </c>
      <c r="BU21" s="232">
        <f t="shared" si="31"/>
        <v>6553600000</v>
      </c>
      <c r="BV21" s="232">
        <f t="shared" si="32"/>
        <v>13107200000</v>
      </c>
      <c r="BW21" s="233">
        <f t="shared" si="7"/>
        <v>131072000</v>
      </c>
      <c r="BY21" s="90">
        <v>18</v>
      </c>
      <c r="BZ21" s="232">
        <f t="shared" si="33"/>
        <v>152587890625000</v>
      </c>
      <c r="CA21" s="232">
        <f t="shared" si="34"/>
        <v>38146972656250</v>
      </c>
      <c r="CB21" s="233">
        <f t="shared" si="35"/>
        <v>291038304.56733704</v>
      </c>
    </row>
    <row r="22" spans="2:80" ht="15.75" thickBot="1" x14ac:dyDescent="0.3">
      <c r="B22" s="90">
        <v>19</v>
      </c>
      <c r="C22" s="76">
        <f t="shared" si="0"/>
        <v>88673</v>
      </c>
      <c r="D22" s="96">
        <f t="shared" si="1"/>
        <v>22168</v>
      </c>
      <c r="E22" s="82"/>
      <c r="F22" s="82">
        <f t="shared" ref="F22:F29" si="44">10*B6*1.1^B6</f>
        <v>39.930000000000014</v>
      </c>
      <c r="G22" s="82"/>
      <c r="H22" s="82"/>
      <c r="J22" s="90">
        <v>19</v>
      </c>
      <c r="K22" s="76">
        <f t="shared" si="8"/>
        <v>226673</v>
      </c>
      <c r="L22" s="96">
        <f t="shared" si="9"/>
        <v>113336</v>
      </c>
      <c r="M22" s="82">
        <f t="shared" si="2"/>
        <v>1163</v>
      </c>
      <c r="N22" s="82">
        <f t="shared" si="10"/>
        <v>162</v>
      </c>
      <c r="P22" s="90">
        <v>19</v>
      </c>
      <c r="Q22" s="76">
        <f t="shared" si="11"/>
        <v>332525</v>
      </c>
      <c r="R22" s="96">
        <f t="shared" si="12"/>
        <v>110841</v>
      </c>
      <c r="T22" s="90">
        <v>19</v>
      </c>
      <c r="U22" s="76">
        <f t="shared" si="13"/>
        <v>110841</v>
      </c>
      <c r="V22" s="96">
        <f t="shared" si="14"/>
        <v>44336</v>
      </c>
      <c r="W22" s="82"/>
      <c r="X22" s="82"/>
      <c r="Y22" s="82"/>
      <c r="AA22" s="90">
        <v>19</v>
      </c>
      <c r="AB22" s="76"/>
      <c r="AC22" s="76"/>
      <c r="AD22" s="96"/>
      <c r="AF22" s="90">
        <v>19</v>
      </c>
      <c r="AG22" s="96">
        <f t="shared" si="15"/>
        <v>262144000</v>
      </c>
      <c r="AI22" s="90">
        <v>19</v>
      </c>
      <c r="AJ22" s="76">
        <f t="shared" si="38"/>
        <v>262144000</v>
      </c>
      <c r="AK22" s="96">
        <f t="shared" si="36"/>
        <v>131072000</v>
      </c>
      <c r="AM22" s="90">
        <v>19</v>
      </c>
      <c r="AN22" s="76">
        <f t="shared" si="17"/>
        <v>262144000</v>
      </c>
      <c r="AO22" s="96">
        <f t="shared" si="37"/>
        <v>262144000</v>
      </c>
      <c r="AQ22" s="90">
        <v>19</v>
      </c>
      <c r="AR22" s="76">
        <f t="shared" si="40"/>
        <v>104857600</v>
      </c>
      <c r="AS22" s="76">
        <f t="shared" si="41"/>
        <v>31457280</v>
      </c>
      <c r="AT22" s="96">
        <f t="shared" si="42"/>
        <v>52428800</v>
      </c>
      <c r="AV22" s="90">
        <v>19</v>
      </c>
      <c r="AW22" s="76">
        <f t="shared" si="21"/>
        <v>104857600</v>
      </c>
      <c r="AX22" s="76">
        <f t="shared" si="22"/>
        <v>52428800</v>
      </c>
      <c r="AY22" s="96">
        <f t="shared" si="23"/>
        <v>26214400</v>
      </c>
      <c r="BA22" s="90">
        <v>19</v>
      </c>
      <c r="BB22" s="76">
        <f t="shared" si="24"/>
        <v>52428800</v>
      </c>
      <c r="BC22" s="76">
        <f t="shared" si="25"/>
        <v>104857600</v>
      </c>
      <c r="BD22" s="96">
        <f t="shared" si="26"/>
        <v>52428800</v>
      </c>
      <c r="BF22" s="90">
        <v>19</v>
      </c>
      <c r="BG22" s="76"/>
      <c r="BH22" s="96"/>
      <c r="BJ22" s="90">
        <v>19</v>
      </c>
      <c r="BK22" s="232">
        <f t="shared" si="27"/>
        <v>5242880000</v>
      </c>
      <c r="BL22" s="232">
        <f t="shared" si="28"/>
        <v>5242880000</v>
      </c>
      <c r="BM22" s="233">
        <f t="shared" si="5"/>
        <v>262144000</v>
      </c>
      <c r="BO22" s="90">
        <v>19</v>
      </c>
      <c r="BP22" s="232">
        <f t="shared" si="29"/>
        <v>262144000000</v>
      </c>
      <c r="BQ22" s="232">
        <f t="shared" si="30"/>
        <v>131072000000</v>
      </c>
      <c r="BR22" s="233">
        <f t="shared" si="6"/>
        <v>26214400000</v>
      </c>
      <c r="BT22" s="90">
        <v>19</v>
      </c>
      <c r="BU22" s="232">
        <f t="shared" si="31"/>
        <v>13107200000</v>
      </c>
      <c r="BV22" s="232">
        <f t="shared" si="32"/>
        <v>26214400000</v>
      </c>
      <c r="BW22" s="233">
        <f t="shared" si="7"/>
        <v>262144000</v>
      </c>
      <c r="BY22" s="90">
        <v>19</v>
      </c>
      <c r="BZ22" s="232">
        <f t="shared" si="33"/>
        <v>762939453125000</v>
      </c>
      <c r="CA22" s="232">
        <f t="shared" si="34"/>
        <v>190734863281250</v>
      </c>
      <c r="CB22" s="233">
        <f t="shared" si="35"/>
        <v>727595761.41834259</v>
      </c>
    </row>
    <row r="23" spans="2:80" ht="15.75" thickBot="1" x14ac:dyDescent="0.3">
      <c r="B23" s="90">
        <v>20</v>
      </c>
      <c r="C23" s="76">
        <f t="shared" si="0"/>
        <v>133010</v>
      </c>
      <c r="D23" s="96">
        <f t="shared" si="1"/>
        <v>33252</v>
      </c>
      <c r="E23" s="82"/>
      <c r="F23" s="82">
        <f t="shared" si="44"/>
        <v>58.564000000000014</v>
      </c>
      <c r="G23" s="82"/>
      <c r="H23" s="82"/>
      <c r="J23" s="90">
        <v>20</v>
      </c>
      <c r="K23" s="76">
        <f t="shared" si="8"/>
        <v>362677</v>
      </c>
      <c r="L23" s="96">
        <f t="shared" si="9"/>
        <v>181338</v>
      </c>
      <c r="M23" s="82">
        <f t="shared" si="2"/>
        <v>1346</v>
      </c>
      <c r="N23" s="82">
        <f t="shared" si="10"/>
        <v>183</v>
      </c>
      <c r="P23" s="90">
        <v>20</v>
      </c>
      <c r="Q23" s="76">
        <f t="shared" si="11"/>
        <v>498788</v>
      </c>
      <c r="R23" s="96">
        <f t="shared" si="12"/>
        <v>166262</v>
      </c>
      <c r="T23" s="90">
        <v>20</v>
      </c>
      <c r="U23" s="76">
        <f t="shared" si="13"/>
        <v>166262</v>
      </c>
      <c r="V23" s="96">
        <f t="shared" si="14"/>
        <v>66505</v>
      </c>
      <c r="W23" s="82"/>
      <c r="X23" s="82"/>
      <c r="Y23" s="82"/>
      <c r="AA23" s="90">
        <v>20</v>
      </c>
      <c r="AB23" s="76"/>
      <c r="AC23" s="76"/>
      <c r="AD23" s="96"/>
      <c r="AF23" s="90">
        <v>20</v>
      </c>
      <c r="AG23" s="96">
        <f t="shared" si="15"/>
        <v>524288000</v>
      </c>
      <c r="AI23" s="90">
        <v>20</v>
      </c>
      <c r="AJ23" s="76">
        <f t="shared" si="38"/>
        <v>524288000</v>
      </c>
      <c r="AK23" s="96">
        <f t="shared" si="36"/>
        <v>262144000</v>
      </c>
      <c r="AM23" s="90">
        <v>20</v>
      </c>
      <c r="AN23" s="76">
        <f t="shared" si="17"/>
        <v>524288000</v>
      </c>
      <c r="AO23" s="96">
        <f t="shared" si="37"/>
        <v>524288000</v>
      </c>
      <c r="AQ23" s="90">
        <v>20</v>
      </c>
      <c r="AR23" s="76">
        <f t="shared" si="40"/>
        <v>209715200</v>
      </c>
      <c r="AS23" s="76">
        <f t="shared" si="41"/>
        <v>62914560</v>
      </c>
      <c r="AT23" s="96">
        <f t="shared" si="42"/>
        <v>104857600</v>
      </c>
      <c r="AV23" s="90">
        <v>20</v>
      </c>
      <c r="AW23" s="76">
        <f t="shared" si="21"/>
        <v>209715200</v>
      </c>
      <c r="AX23" s="76">
        <f t="shared" si="22"/>
        <v>104857600</v>
      </c>
      <c r="AY23" s="96">
        <f t="shared" si="23"/>
        <v>52428800</v>
      </c>
      <c r="BA23" s="90">
        <v>20</v>
      </c>
      <c r="BB23" s="76">
        <f t="shared" si="24"/>
        <v>104857600</v>
      </c>
      <c r="BC23" s="76">
        <f t="shared" si="25"/>
        <v>209715200</v>
      </c>
      <c r="BD23" s="96">
        <f t="shared" si="26"/>
        <v>104857600</v>
      </c>
      <c r="BF23" s="90">
        <v>20</v>
      </c>
      <c r="BG23" s="76"/>
      <c r="BH23" s="96"/>
      <c r="BJ23" s="90">
        <v>20</v>
      </c>
      <c r="BK23" s="232">
        <f t="shared" si="27"/>
        <v>10485760000</v>
      </c>
      <c r="BL23" s="232">
        <f t="shared" si="28"/>
        <v>10485760000</v>
      </c>
      <c r="BM23" s="233">
        <f t="shared" si="5"/>
        <v>524288000</v>
      </c>
      <c r="BO23" s="90">
        <v>20</v>
      </c>
      <c r="BP23" s="232">
        <f t="shared" si="29"/>
        <v>524288000000</v>
      </c>
      <c r="BQ23" s="232">
        <f t="shared" si="30"/>
        <v>262144000000</v>
      </c>
      <c r="BR23" s="233">
        <f t="shared" si="6"/>
        <v>52428800000</v>
      </c>
      <c r="BT23" s="90">
        <v>20</v>
      </c>
      <c r="BU23" s="232">
        <f t="shared" si="31"/>
        <v>26214400000</v>
      </c>
      <c r="BV23" s="232">
        <f t="shared" si="32"/>
        <v>52428800000</v>
      </c>
      <c r="BW23" s="233">
        <f t="shared" si="7"/>
        <v>524288000</v>
      </c>
      <c r="BY23" s="90">
        <v>20</v>
      </c>
      <c r="BZ23" s="232">
        <f t="shared" si="33"/>
        <v>3814697265625000</v>
      </c>
      <c r="CA23" s="232">
        <f t="shared" si="34"/>
        <v>953674316406250</v>
      </c>
      <c r="CB23" s="233">
        <f t="shared" si="35"/>
        <v>1818989403.5458565</v>
      </c>
    </row>
    <row r="24" spans="2:80" ht="15.75" thickBot="1" x14ac:dyDescent="0.3">
      <c r="B24" s="90">
        <v>21</v>
      </c>
      <c r="C24" s="76">
        <f t="shared" si="0"/>
        <v>199515</v>
      </c>
      <c r="D24" s="96">
        <f t="shared" si="1"/>
        <v>49878</v>
      </c>
      <c r="E24" s="82"/>
      <c r="F24" s="82">
        <f t="shared" si="44"/>
        <v>80.525500000000022</v>
      </c>
      <c r="G24" s="82"/>
      <c r="H24" s="82"/>
      <c r="J24" s="90">
        <v>21</v>
      </c>
      <c r="K24" s="76">
        <f t="shared" si="8"/>
        <v>580284</v>
      </c>
      <c r="L24" s="96">
        <f t="shared" si="9"/>
        <v>290142</v>
      </c>
      <c r="M24" s="82">
        <f t="shared" si="2"/>
        <v>1555</v>
      </c>
      <c r="N24" s="82">
        <f t="shared" si="10"/>
        <v>209</v>
      </c>
      <c r="P24" s="90">
        <v>21</v>
      </c>
      <c r="Q24" s="76">
        <f t="shared" si="11"/>
        <v>748182</v>
      </c>
      <c r="R24" s="96">
        <f t="shared" si="12"/>
        <v>249394</v>
      </c>
      <c r="T24" s="90">
        <v>21</v>
      </c>
      <c r="U24" s="76">
        <f t="shared" si="13"/>
        <v>249394</v>
      </c>
      <c r="V24" s="96">
        <f t="shared" si="14"/>
        <v>99757</v>
      </c>
      <c r="W24" s="82"/>
      <c r="X24" s="82"/>
      <c r="Y24" s="82"/>
      <c r="AA24" s="90">
        <v>21</v>
      </c>
      <c r="AB24" s="76"/>
      <c r="AC24" s="76"/>
      <c r="AD24" s="96"/>
      <c r="AF24" s="90">
        <v>21</v>
      </c>
      <c r="AG24" s="96">
        <f t="shared" si="15"/>
        <v>1048576000</v>
      </c>
      <c r="AI24" s="90">
        <v>21</v>
      </c>
      <c r="AJ24" s="76">
        <f t="shared" si="38"/>
        <v>1048576000</v>
      </c>
      <c r="AK24" s="96">
        <f t="shared" si="36"/>
        <v>524288000</v>
      </c>
      <c r="AM24" s="90">
        <v>21</v>
      </c>
      <c r="AN24" s="76">
        <f t="shared" si="17"/>
        <v>1048576000</v>
      </c>
      <c r="AO24" s="96">
        <f t="shared" si="37"/>
        <v>1048576000</v>
      </c>
      <c r="AQ24" s="90">
        <v>21</v>
      </c>
      <c r="AR24" s="76">
        <f t="shared" si="40"/>
        <v>419430400</v>
      </c>
      <c r="AS24" s="76">
        <f t="shared" si="41"/>
        <v>125829120</v>
      </c>
      <c r="AT24" s="96">
        <f t="shared" si="42"/>
        <v>209715200</v>
      </c>
      <c r="AV24" s="90">
        <v>21</v>
      </c>
      <c r="AW24" s="76">
        <f t="shared" si="21"/>
        <v>419430400</v>
      </c>
      <c r="AX24" s="76">
        <f t="shared" si="22"/>
        <v>209715200</v>
      </c>
      <c r="AY24" s="96">
        <f t="shared" si="23"/>
        <v>104857600</v>
      </c>
      <c r="BA24" s="90">
        <v>21</v>
      </c>
      <c r="BB24" s="76">
        <f t="shared" si="24"/>
        <v>209715200</v>
      </c>
      <c r="BC24" s="76">
        <f t="shared" si="25"/>
        <v>419430400</v>
      </c>
      <c r="BD24" s="96">
        <f t="shared" si="26"/>
        <v>209715200</v>
      </c>
      <c r="BF24" s="90">
        <v>21</v>
      </c>
      <c r="BG24" s="76"/>
      <c r="BH24" s="96"/>
      <c r="BJ24" s="90">
        <v>21</v>
      </c>
      <c r="BK24" s="232">
        <f t="shared" si="27"/>
        <v>20971520000</v>
      </c>
      <c r="BL24" s="232">
        <f t="shared" si="28"/>
        <v>20971520000</v>
      </c>
      <c r="BM24" s="233">
        <f t="shared" si="5"/>
        <v>1048576000</v>
      </c>
      <c r="BO24" s="90">
        <v>21</v>
      </c>
      <c r="BP24" s="232">
        <f t="shared" si="29"/>
        <v>1048576000000</v>
      </c>
      <c r="BQ24" s="232">
        <f t="shared" si="30"/>
        <v>524288000000</v>
      </c>
      <c r="BR24" s="233">
        <f t="shared" si="6"/>
        <v>104857600000</v>
      </c>
      <c r="BT24" s="90">
        <v>21</v>
      </c>
      <c r="BU24" s="232">
        <f t="shared" si="31"/>
        <v>52428800000</v>
      </c>
      <c r="BV24" s="232">
        <f t="shared" si="32"/>
        <v>104857600000</v>
      </c>
      <c r="BW24" s="233">
        <f t="shared" si="7"/>
        <v>1048576000</v>
      </c>
      <c r="BY24" s="90">
        <v>21</v>
      </c>
      <c r="BZ24" s="232">
        <f t="shared" si="33"/>
        <v>1.9073486328125E+16</v>
      </c>
      <c r="CA24" s="232">
        <f t="shared" si="34"/>
        <v>4768371582031250</v>
      </c>
      <c r="CB24" s="233">
        <f t="shared" si="35"/>
        <v>4547473508.8646412</v>
      </c>
    </row>
    <row r="25" spans="2:80" ht="15.75" thickBot="1" x14ac:dyDescent="0.3">
      <c r="B25" s="90">
        <v>22</v>
      </c>
      <c r="C25" s="76">
        <f t="shared" si="0"/>
        <v>299273</v>
      </c>
      <c r="D25" s="96">
        <f t="shared" si="1"/>
        <v>74818</v>
      </c>
      <c r="E25" s="82"/>
      <c r="F25" s="82">
        <f t="shared" si="44"/>
        <v>106.29366000000005</v>
      </c>
      <c r="G25" s="82"/>
      <c r="H25" s="82"/>
      <c r="J25" s="90">
        <v>22</v>
      </c>
      <c r="K25" s="76">
        <f t="shared" si="8"/>
        <v>928455</v>
      </c>
      <c r="L25" s="96">
        <f t="shared" si="9"/>
        <v>464227</v>
      </c>
      <c r="M25" s="82">
        <f t="shared" si="2"/>
        <v>1791</v>
      </c>
      <c r="N25" s="82">
        <f t="shared" si="10"/>
        <v>236</v>
      </c>
      <c r="P25" s="90">
        <v>22</v>
      </c>
      <c r="Q25" s="76">
        <f t="shared" si="11"/>
        <v>1122274</v>
      </c>
      <c r="R25" s="96">
        <f t="shared" si="12"/>
        <v>374091</v>
      </c>
      <c r="T25" s="90">
        <v>22</v>
      </c>
      <c r="U25" s="76">
        <f t="shared" si="13"/>
        <v>374091</v>
      </c>
      <c r="V25" s="96">
        <f t="shared" si="14"/>
        <v>149636</v>
      </c>
      <c r="W25" s="82"/>
      <c r="X25" s="82"/>
      <c r="Y25" s="82"/>
      <c r="AA25" s="90">
        <v>22</v>
      </c>
      <c r="AB25" s="76"/>
      <c r="AC25" s="76"/>
      <c r="AD25" s="96"/>
      <c r="AF25" s="90">
        <v>22</v>
      </c>
      <c r="AG25" s="96">
        <f t="shared" si="15"/>
        <v>2097152000</v>
      </c>
      <c r="AI25" s="90">
        <v>22</v>
      </c>
      <c r="AJ25" s="76">
        <f t="shared" si="38"/>
        <v>2097152000</v>
      </c>
      <c r="AK25" s="96">
        <f t="shared" si="36"/>
        <v>1048576000</v>
      </c>
      <c r="AM25" s="90">
        <v>22</v>
      </c>
      <c r="AN25" s="76">
        <f t="shared" si="17"/>
        <v>2097152000</v>
      </c>
      <c r="AO25" s="96">
        <f t="shared" si="37"/>
        <v>2097152000</v>
      </c>
      <c r="AQ25" s="90">
        <v>22</v>
      </c>
      <c r="AR25" s="76">
        <f t="shared" si="40"/>
        <v>838860800</v>
      </c>
      <c r="AS25" s="76">
        <f t="shared" si="41"/>
        <v>251658240</v>
      </c>
      <c r="AT25" s="96">
        <f t="shared" si="42"/>
        <v>419430400</v>
      </c>
      <c r="AV25" s="90">
        <v>22</v>
      </c>
      <c r="AW25" s="76">
        <f t="shared" si="21"/>
        <v>838860800</v>
      </c>
      <c r="AX25" s="76">
        <f t="shared" si="22"/>
        <v>419430400</v>
      </c>
      <c r="AY25" s="96">
        <f t="shared" si="23"/>
        <v>209715200</v>
      </c>
      <c r="BA25" s="90">
        <v>22</v>
      </c>
      <c r="BB25" s="76">
        <f t="shared" si="24"/>
        <v>419430400</v>
      </c>
      <c r="BC25" s="76">
        <f t="shared" si="25"/>
        <v>838860800</v>
      </c>
      <c r="BD25" s="96">
        <f t="shared" si="26"/>
        <v>419430400</v>
      </c>
      <c r="BF25" s="90">
        <v>22</v>
      </c>
      <c r="BG25" s="76"/>
      <c r="BH25" s="96"/>
      <c r="BJ25" s="90">
        <v>22</v>
      </c>
      <c r="BK25" s="232">
        <f t="shared" si="27"/>
        <v>41943040000</v>
      </c>
      <c r="BL25" s="232">
        <f t="shared" si="28"/>
        <v>41943040000</v>
      </c>
      <c r="BM25" s="233">
        <f t="shared" si="5"/>
        <v>2097152000</v>
      </c>
      <c r="BO25" s="90">
        <v>22</v>
      </c>
      <c r="BP25" s="232">
        <f t="shared" si="29"/>
        <v>2097152000000</v>
      </c>
      <c r="BQ25" s="232">
        <f t="shared" si="30"/>
        <v>1048576000000</v>
      </c>
      <c r="BR25" s="233">
        <f t="shared" si="6"/>
        <v>209715200000</v>
      </c>
      <c r="BT25" s="90">
        <v>22</v>
      </c>
      <c r="BU25" s="232">
        <f t="shared" si="31"/>
        <v>104857600000</v>
      </c>
      <c r="BV25" s="232">
        <f t="shared" si="32"/>
        <v>209715200000</v>
      </c>
      <c r="BW25" s="233">
        <f t="shared" si="7"/>
        <v>2097152000</v>
      </c>
      <c r="BY25" s="90">
        <v>22</v>
      </c>
      <c r="BZ25" s="232">
        <f t="shared" si="33"/>
        <v>9.5367431640624992E+16</v>
      </c>
      <c r="CA25" s="232">
        <f t="shared" si="34"/>
        <v>2.3841857910156248E+16</v>
      </c>
      <c r="CB25" s="233">
        <f t="shared" si="35"/>
        <v>11368683772.161602</v>
      </c>
    </row>
    <row r="26" spans="2:80" ht="15.75" thickBot="1" x14ac:dyDescent="0.3">
      <c r="B26" s="90">
        <v>23</v>
      </c>
      <c r="C26" s="76">
        <f t="shared" si="0"/>
        <v>448909</v>
      </c>
      <c r="D26" s="96">
        <f t="shared" si="1"/>
        <v>112227</v>
      </c>
      <c r="E26" s="82"/>
      <c r="F26" s="82">
        <f t="shared" si="44"/>
        <v>136.4101970000001</v>
      </c>
      <c r="G26" s="82"/>
      <c r="H26" s="82"/>
      <c r="J26" s="90">
        <v>23</v>
      </c>
      <c r="K26" s="76">
        <f t="shared" si="8"/>
        <v>1485528</v>
      </c>
      <c r="L26" s="96">
        <f t="shared" si="9"/>
        <v>742764</v>
      </c>
      <c r="M26" s="82">
        <f t="shared" si="2"/>
        <v>2060</v>
      </c>
      <c r="N26" s="82">
        <f t="shared" si="10"/>
        <v>269</v>
      </c>
      <c r="P26" s="90">
        <v>23</v>
      </c>
      <c r="Q26" s="76">
        <f t="shared" si="11"/>
        <v>1683411</v>
      </c>
      <c r="R26" s="96">
        <f t="shared" si="12"/>
        <v>561137</v>
      </c>
      <c r="T26" s="90">
        <v>23</v>
      </c>
      <c r="U26" s="76">
        <f t="shared" si="13"/>
        <v>561137</v>
      </c>
      <c r="V26" s="96">
        <f t="shared" si="14"/>
        <v>224454</v>
      </c>
      <c r="W26" s="82"/>
      <c r="X26" s="82"/>
      <c r="Y26" s="82"/>
      <c r="AA26" s="90">
        <v>23</v>
      </c>
      <c r="AB26" s="76"/>
      <c r="AC26" s="76"/>
      <c r="AD26" s="96"/>
      <c r="AF26" s="90">
        <v>23</v>
      </c>
      <c r="AG26" s="96">
        <f t="shared" si="15"/>
        <v>4194304000</v>
      </c>
      <c r="AI26" s="90">
        <v>23</v>
      </c>
      <c r="AJ26" s="76">
        <f t="shared" si="38"/>
        <v>4194304000</v>
      </c>
      <c r="AK26" s="96">
        <f t="shared" si="36"/>
        <v>2097152000</v>
      </c>
      <c r="AM26" s="90">
        <v>23</v>
      </c>
      <c r="AN26" s="76">
        <f t="shared" si="17"/>
        <v>4194304000</v>
      </c>
      <c r="AO26" s="96">
        <f t="shared" si="37"/>
        <v>4194304000</v>
      </c>
      <c r="AQ26" s="90">
        <v>23</v>
      </c>
      <c r="AR26" s="76">
        <f t="shared" si="40"/>
        <v>1677721600</v>
      </c>
      <c r="AS26" s="76">
        <f t="shared" si="41"/>
        <v>503316480</v>
      </c>
      <c r="AT26" s="96">
        <f t="shared" si="42"/>
        <v>838860800</v>
      </c>
      <c r="AV26" s="90">
        <v>23</v>
      </c>
      <c r="AW26" s="76">
        <f t="shared" si="21"/>
        <v>1677721600</v>
      </c>
      <c r="AX26" s="76">
        <f t="shared" si="22"/>
        <v>838860800</v>
      </c>
      <c r="AY26" s="96">
        <f t="shared" si="23"/>
        <v>419430400</v>
      </c>
      <c r="BA26" s="90">
        <v>23</v>
      </c>
      <c r="BB26" s="76">
        <f t="shared" si="24"/>
        <v>838860800</v>
      </c>
      <c r="BC26" s="76">
        <f t="shared" si="25"/>
        <v>1677721600</v>
      </c>
      <c r="BD26" s="96">
        <f t="shared" si="26"/>
        <v>838860800</v>
      </c>
      <c r="BF26" s="90">
        <v>23</v>
      </c>
      <c r="BG26" s="76"/>
      <c r="BH26" s="96"/>
      <c r="BJ26" s="90">
        <v>23</v>
      </c>
      <c r="BK26" s="232">
        <f t="shared" si="27"/>
        <v>83886080000</v>
      </c>
      <c r="BL26" s="232">
        <f t="shared" si="28"/>
        <v>83886080000</v>
      </c>
      <c r="BM26" s="233">
        <f t="shared" si="5"/>
        <v>4194304000</v>
      </c>
      <c r="BO26" s="90">
        <v>23</v>
      </c>
      <c r="BP26" s="232">
        <f t="shared" si="29"/>
        <v>4194304000000</v>
      </c>
      <c r="BQ26" s="232">
        <f t="shared" si="30"/>
        <v>2097152000000</v>
      </c>
      <c r="BR26" s="233">
        <f t="shared" si="6"/>
        <v>419430400000</v>
      </c>
      <c r="BT26" s="90">
        <v>23</v>
      </c>
      <c r="BU26" s="232">
        <f t="shared" si="31"/>
        <v>209715200000</v>
      </c>
      <c r="BV26" s="232">
        <f t="shared" si="32"/>
        <v>419430400000</v>
      </c>
      <c r="BW26" s="233">
        <f t="shared" si="7"/>
        <v>4194304000</v>
      </c>
      <c r="BY26" s="90">
        <v>23</v>
      </c>
      <c r="BZ26" s="232">
        <f t="shared" si="33"/>
        <v>4.7683715820312499E+17</v>
      </c>
      <c r="CA26" s="232">
        <f t="shared" si="34"/>
        <v>1.1920928955078125E+17</v>
      </c>
      <c r="CB26" s="233">
        <f t="shared" si="35"/>
        <v>28421709430.404007</v>
      </c>
    </row>
    <row r="27" spans="2:80" ht="15.75" thickBot="1" x14ac:dyDescent="0.3">
      <c r="B27" s="90">
        <v>24</v>
      </c>
      <c r="C27" s="76">
        <f t="shared" si="0"/>
        <v>673364</v>
      </c>
      <c r="D27" s="96">
        <f t="shared" si="1"/>
        <v>168341</v>
      </c>
      <c r="E27" s="82"/>
      <c r="F27" s="82">
        <f t="shared" si="44"/>
        <v>171.48710480000008</v>
      </c>
      <c r="G27" s="82"/>
      <c r="H27" s="82"/>
      <c r="J27" s="90">
        <v>24</v>
      </c>
      <c r="K27" s="76">
        <f t="shared" si="8"/>
        <v>2376844</v>
      </c>
      <c r="L27" s="96">
        <f t="shared" si="9"/>
        <v>1188422</v>
      </c>
      <c r="M27" s="82">
        <f t="shared" si="2"/>
        <v>2364</v>
      </c>
      <c r="N27" s="82">
        <f t="shared" si="10"/>
        <v>304</v>
      </c>
      <c r="P27" s="90">
        <v>24</v>
      </c>
      <c r="Q27" s="76">
        <f t="shared" si="11"/>
        <v>2525116</v>
      </c>
      <c r="R27" s="96">
        <f t="shared" si="12"/>
        <v>841705</v>
      </c>
      <c r="T27" s="90">
        <v>24</v>
      </c>
      <c r="U27" s="76">
        <f t="shared" si="13"/>
        <v>841705</v>
      </c>
      <c r="V27" s="96">
        <f t="shared" si="14"/>
        <v>336682</v>
      </c>
      <c r="W27" s="82"/>
      <c r="X27" s="82"/>
      <c r="Y27" s="82"/>
      <c r="AA27" s="90">
        <v>24</v>
      </c>
      <c r="AB27" s="76"/>
      <c r="AC27" s="76"/>
      <c r="AD27" s="96"/>
      <c r="AF27" s="90">
        <v>24</v>
      </c>
      <c r="AG27" s="96">
        <f t="shared" si="15"/>
        <v>8388608000</v>
      </c>
      <c r="AI27" s="90">
        <v>24</v>
      </c>
      <c r="AJ27" s="76">
        <f t="shared" si="38"/>
        <v>8388608000</v>
      </c>
      <c r="AK27" s="96">
        <f t="shared" si="36"/>
        <v>4194304000</v>
      </c>
      <c r="AM27" s="90">
        <v>24</v>
      </c>
      <c r="AN27" s="76">
        <f t="shared" si="17"/>
        <v>8388608000</v>
      </c>
      <c r="AO27" s="96">
        <f t="shared" si="37"/>
        <v>8388608000</v>
      </c>
      <c r="AQ27" s="90">
        <v>24</v>
      </c>
      <c r="AR27" s="76">
        <f t="shared" si="40"/>
        <v>3355443200</v>
      </c>
      <c r="AS27" s="76">
        <f t="shared" si="41"/>
        <v>1006632960</v>
      </c>
      <c r="AT27" s="96">
        <f t="shared" si="42"/>
        <v>1677721600</v>
      </c>
      <c r="AV27" s="90">
        <v>24</v>
      </c>
      <c r="AW27" s="76">
        <f t="shared" si="21"/>
        <v>3355443200</v>
      </c>
      <c r="AX27" s="76">
        <f t="shared" si="22"/>
        <v>1677721600</v>
      </c>
      <c r="AY27" s="96">
        <f t="shared" si="23"/>
        <v>838860800</v>
      </c>
      <c r="BA27" s="90">
        <v>24</v>
      </c>
      <c r="BB27" s="76">
        <f t="shared" si="24"/>
        <v>1677721600</v>
      </c>
      <c r="BC27" s="76">
        <f t="shared" si="25"/>
        <v>3355443200</v>
      </c>
      <c r="BD27" s="96">
        <f t="shared" si="26"/>
        <v>1677721600</v>
      </c>
      <c r="BF27" s="90">
        <v>24</v>
      </c>
      <c r="BG27" s="76"/>
      <c r="BH27" s="96"/>
      <c r="BJ27" s="90">
        <v>24</v>
      </c>
      <c r="BK27" s="232">
        <f t="shared" si="27"/>
        <v>167772160000</v>
      </c>
      <c r="BL27" s="232">
        <f t="shared" si="28"/>
        <v>167772160000</v>
      </c>
      <c r="BM27" s="233">
        <f t="shared" si="5"/>
        <v>8388608000</v>
      </c>
      <c r="BO27" s="90">
        <v>24</v>
      </c>
      <c r="BP27" s="232">
        <f t="shared" si="29"/>
        <v>8388608000000</v>
      </c>
      <c r="BQ27" s="232">
        <f t="shared" si="30"/>
        <v>4194304000000</v>
      </c>
      <c r="BR27" s="233">
        <f t="shared" si="6"/>
        <v>838860800000</v>
      </c>
      <c r="BT27" s="90">
        <v>24</v>
      </c>
      <c r="BU27" s="232">
        <f t="shared" si="31"/>
        <v>419430400000</v>
      </c>
      <c r="BV27" s="232">
        <f t="shared" si="32"/>
        <v>838860800000</v>
      </c>
      <c r="BW27" s="233">
        <f t="shared" si="7"/>
        <v>8388608000</v>
      </c>
      <c r="BY27" s="90">
        <v>24</v>
      </c>
      <c r="BZ27" s="232">
        <f t="shared" si="33"/>
        <v>2.3841857910156247E+18</v>
      </c>
      <c r="CA27" s="232">
        <f t="shared" si="34"/>
        <v>5.9604644775390618E+17</v>
      </c>
      <c r="CB27" s="233">
        <f t="shared" si="35"/>
        <v>71054273576.01001</v>
      </c>
    </row>
    <row r="28" spans="2:80" ht="15.75" thickBot="1" x14ac:dyDescent="0.3">
      <c r="B28" s="90">
        <v>25</v>
      </c>
      <c r="C28" s="76">
        <f t="shared" si="0"/>
        <v>1010046</v>
      </c>
      <c r="D28" s="96">
        <f t="shared" si="1"/>
        <v>252511</v>
      </c>
      <c r="E28" s="82"/>
      <c r="F28" s="82">
        <f t="shared" si="44"/>
        <v>212.21529219000013</v>
      </c>
      <c r="G28" s="82"/>
      <c r="H28" s="82"/>
      <c r="J28" s="90">
        <v>25</v>
      </c>
      <c r="K28" s="76">
        <f t="shared" si="8"/>
        <v>3802951</v>
      </c>
      <c r="L28" s="96">
        <f t="shared" si="9"/>
        <v>1901475</v>
      </c>
      <c r="M28" s="82">
        <f t="shared" si="2"/>
        <v>2709</v>
      </c>
      <c r="N28" s="82">
        <f t="shared" si="10"/>
        <v>345</v>
      </c>
      <c r="P28" s="90">
        <v>25</v>
      </c>
      <c r="Q28" s="76">
        <f t="shared" si="11"/>
        <v>3787675</v>
      </c>
      <c r="R28" s="96">
        <f t="shared" si="12"/>
        <v>1262558</v>
      </c>
      <c r="T28" s="90">
        <v>25</v>
      </c>
      <c r="U28" s="76">
        <f t="shared" si="13"/>
        <v>1262558</v>
      </c>
      <c r="V28" s="96">
        <f t="shared" si="14"/>
        <v>505023</v>
      </c>
      <c r="W28" s="82"/>
      <c r="X28" s="82"/>
      <c r="Y28" s="82"/>
      <c r="AA28" s="90">
        <v>25</v>
      </c>
      <c r="AB28" s="76"/>
      <c r="AC28" s="76"/>
      <c r="AD28" s="96"/>
      <c r="AF28" s="90">
        <v>25</v>
      </c>
      <c r="AG28" s="96">
        <f t="shared" si="15"/>
        <v>16777216000</v>
      </c>
      <c r="AI28" s="90">
        <v>25</v>
      </c>
      <c r="AJ28" s="76">
        <f t="shared" si="38"/>
        <v>16777216000</v>
      </c>
      <c r="AK28" s="96">
        <f t="shared" si="36"/>
        <v>8388608000</v>
      </c>
      <c r="AM28" s="90">
        <v>25</v>
      </c>
      <c r="AN28" s="76">
        <f t="shared" si="17"/>
        <v>16777216000</v>
      </c>
      <c r="AO28" s="96">
        <f t="shared" si="37"/>
        <v>16777216000</v>
      </c>
      <c r="AQ28" s="90">
        <v>25</v>
      </c>
      <c r="AR28" s="76">
        <f t="shared" si="40"/>
        <v>6710886400</v>
      </c>
      <c r="AS28" s="76">
        <f t="shared" si="41"/>
        <v>2013265920</v>
      </c>
      <c r="AT28" s="96">
        <f t="shared" si="42"/>
        <v>3355443200</v>
      </c>
      <c r="AV28" s="90">
        <v>25</v>
      </c>
      <c r="AW28" s="76">
        <f t="shared" si="21"/>
        <v>6710886400</v>
      </c>
      <c r="AX28" s="76">
        <f t="shared" si="22"/>
        <v>3355443200</v>
      </c>
      <c r="AY28" s="96">
        <f t="shared" si="23"/>
        <v>1677721600</v>
      </c>
      <c r="BA28" s="90">
        <v>25</v>
      </c>
      <c r="BB28" s="76">
        <f t="shared" si="24"/>
        <v>3355443200</v>
      </c>
      <c r="BC28" s="76">
        <f t="shared" si="25"/>
        <v>6710886400</v>
      </c>
      <c r="BD28" s="96">
        <f t="shared" si="26"/>
        <v>3355443200</v>
      </c>
      <c r="BF28" s="90">
        <v>25</v>
      </c>
      <c r="BG28" s="76"/>
      <c r="BH28" s="96"/>
      <c r="BJ28" s="90">
        <v>25</v>
      </c>
      <c r="BK28" s="232">
        <f t="shared" si="27"/>
        <v>335544320000</v>
      </c>
      <c r="BL28" s="232">
        <f t="shared" si="28"/>
        <v>335544320000</v>
      </c>
      <c r="BM28" s="233">
        <f t="shared" si="5"/>
        <v>16777216000</v>
      </c>
      <c r="BO28" s="90">
        <v>25</v>
      </c>
      <c r="BP28" s="232">
        <f t="shared" si="29"/>
        <v>16777216000000</v>
      </c>
      <c r="BQ28" s="232">
        <f t="shared" si="30"/>
        <v>8388608000000</v>
      </c>
      <c r="BR28" s="233">
        <f t="shared" si="6"/>
        <v>1677721600000</v>
      </c>
      <c r="BT28" s="90">
        <v>25</v>
      </c>
      <c r="BU28" s="232">
        <f t="shared" si="31"/>
        <v>838860800000</v>
      </c>
      <c r="BV28" s="232">
        <f t="shared" si="32"/>
        <v>1677721600000</v>
      </c>
      <c r="BW28" s="233">
        <f t="shared" si="7"/>
        <v>16777216000</v>
      </c>
      <c r="BY28" s="90">
        <v>25</v>
      </c>
      <c r="BZ28" s="232">
        <f t="shared" si="33"/>
        <v>1.1920928955078124E+19</v>
      </c>
      <c r="CA28" s="232">
        <f t="shared" si="34"/>
        <v>2.9802322387695309E+18</v>
      </c>
      <c r="CB28" s="233">
        <f t="shared" si="35"/>
        <v>177635683940.02502</v>
      </c>
    </row>
    <row r="29" spans="2:80" ht="15.75" thickBot="1" x14ac:dyDescent="0.3">
      <c r="B29" s="90">
        <v>26</v>
      </c>
      <c r="C29" s="76">
        <f t="shared" si="0"/>
        <v>1515070</v>
      </c>
      <c r="D29" s="96">
        <f t="shared" si="1"/>
        <v>378767</v>
      </c>
      <c r="E29" s="82"/>
      <c r="F29" s="82">
        <f t="shared" si="44"/>
        <v>259.37424601000021</v>
      </c>
      <c r="G29" s="82"/>
      <c r="H29" s="82"/>
      <c r="J29" s="90">
        <v>26</v>
      </c>
      <c r="K29" s="76">
        <f t="shared" si="8"/>
        <v>6084722</v>
      </c>
      <c r="L29" s="96">
        <f t="shared" si="9"/>
        <v>3042361</v>
      </c>
      <c r="M29" s="82">
        <f t="shared" si="2"/>
        <v>3099</v>
      </c>
      <c r="N29" s="82">
        <f t="shared" si="10"/>
        <v>390</v>
      </c>
      <c r="P29" s="90">
        <v>26</v>
      </c>
      <c r="Q29" s="76">
        <f t="shared" si="11"/>
        <v>5681512</v>
      </c>
      <c r="R29" s="96">
        <f t="shared" si="12"/>
        <v>1893837</v>
      </c>
      <c r="T29" s="90">
        <v>26</v>
      </c>
      <c r="U29" s="76">
        <f t="shared" si="13"/>
        <v>1893837</v>
      </c>
      <c r="V29" s="96">
        <f t="shared" si="14"/>
        <v>757535</v>
      </c>
      <c r="W29" s="82"/>
      <c r="X29" s="82"/>
      <c r="Y29" s="82"/>
      <c r="AA29" s="90">
        <v>26</v>
      </c>
      <c r="AB29" s="76"/>
      <c r="AC29" s="76"/>
      <c r="AD29" s="96"/>
      <c r="AF29" s="90">
        <v>26</v>
      </c>
      <c r="AG29" s="96">
        <f t="shared" si="15"/>
        <v>33554432000</v>
      </c>
      <c r="AI29" s="90">
        <v>26</v>
      </c>
      <c r="AJ29" s="76">
        <f t="shared" si="38"/>
        <v>33554432000</v>
      </c>
      <c r="AK29" s="96">
        <f t="shared" si="36"/>
        <v>16777216000</v>
      </c>
      <c r="AM29" s="90">
        <v>26</v>
      </c>
      <c r="AN29" s="76">
        <f t="shared" si="17"/>
        <v>33554432000</v>
      </c>
      <c r="AO29" s="96">
        <f t="shared" si="37"/>
        <v>33554432000</v>
      </c>
      <c r="AQ29" s="90">
        <v>26</v>
      </c>
      <c r="AR29" s="76">
        <f t="shared" si="40"/>
        <v>13421772800</v>
      </c>
      <c r="AS29" s="76">
        <f t="shared" si="41"/>
        <v>4026531840</v>
      </c>
      <c r="AT29" s="96">
        <f t="shared" si="42"/>
        <v>6710886400</v>
      </c>
      <c r="AV29" s="90">
        <v>26</v>
      </c>
      <c r="AW29" s="76">
        <f t="shared" si="21"/>
        <v>13421772800</v>
      </c>
      <c r="AX29" s="76">
        <f t="shared" si="22"/>
        <v>6710886400</v>
      </c>
      <c r="AY29" s="96">
        <f t="shared" si="23"/>
        <v>3355443200</v>
      </c>
      <c r="BA29" s="90">
        <v>26</v>
      </c>
      <c r="BB29" s="76">
        <f t="shared" si="24"/>
        <v>6710886400</v>
      </c>
      <c r="BC29" s="76">
        <f t="shared" si="25"/>
        <v>13421772800</v>
      </c>
      <c r="BD29" s="96">
        <f t="shared" si="26"/>
        <v>6710886400</v>
      </c>
      <c r="BF29" s="90">
        <v>26</v>
      </c>
      <c r="BG29" s="76"/>
      <c r="BH29" s="96"/>
      <c r="BJ29" s="90">
        <v>26</v>
      </c>
      <c r="BK29" s="232">
        <f t="shared" si="27"/>
        <v>671088640000</v>
      </c>
      <c r="BL29" s="232">
        <f t="shared" si="28"/>
        <v>671088640000</v>
      </c>
      <c r="BM29" s="233">
        <f t="shared" si="5"/>
        <v>33554432000</v>
      </c>
      <c r="BO29" s="90">
        <v>26</v>
      </c>
      <c r="BP29" s="232">
        <f t="shared" si="29"/>
        <v>33554432000000</v>
      </c>
      <c r="BQ29" s="232">
        <f t="shared" si="30"/>
        <v>16777216000000</v>
      </c>
      <c r="BR29" s="233">
        <f t="shared" si="6"/>
        <v>3355443200000</v>
      </c>
      <c r="BT29" s="90">
        <v>26</v>
      </c>
      <c r="BU29" s="232">
        <f t="shared" si="31"/>
        <v>1677721600000</v>
      </c>
      <c r="BV29" s="232">
        <f t="shared" si="32"/>
        <v>3355443200000</v>
      </c>
      <c r="BW29" s="233">
        <f t="shared" si="7"/>
        <v>33554432000</v>
      </c>
      <c r="BY29" s="90">
        <v>26</v>
      </c>
      <c r="BZ29" s="232">
        <f t="shared" si="33"/>
        <v>5.9604644775390618E+19</v>
      </c>
      <c r="CA29" s="232">
        <f t="shared" si="34"/>
        <v>1.4901161193847654E+19</v>
      </c>
      <c r="CB29" s="233">
        <f t="shared" si="35"/>
        <v>444089209850.06256</v>
      </c>
    </row>
    <row r="30" spans="2:80" ht="15.75" thickBot="1" x14ac:dyDescent="0.3">
      <c r="B30" s="90">
        <v>27</v>
      </c>
      <c r="C30" s="76">
        <f t="shared" si="0"/>
        <v>2272605</v>
      </c>
      <c r="D30" s="96">
        <f t="shared" si="1"/>
        <v>568151</v>
      </c>
      <c r="E30" s="82"/>
      <c r="F30" s="82"/>
      <c r="G30" s="82"/>
      <c r="H30" s="82"/>
      <c r="J30" s="90">
        <v>27</v>
      </c>
      <c r="K30" s="76">
        <f t="shared" si="8"/>
        <v>9735556</v>
      </c>
      <c r="L30" s="96">
        <f t="shared" si="9"/>
        <v>4867778</v>
      </c>
      <c r="M30" s="82">
        <f t="shared" si="2"/>
        <v>3540</v>
      </c>
      <c r="N30" s="82">
        <f t="shared" si="10"/>
        <v>441</v>
      </c>
      <c r="P30" s="90">
        <v>27</v>
      </c>
      <c r="Q30" s="76">
        <f t="shared" si="11"/>
        <v>8522269</v>
      </c>
      <c r="R30" s="96">
        <f t="shared" si="12"/>
        <v>2840756</v>
      </c>
      <c r="T30" s="90">
        <v>27</v>
      </c>
      <c r="U30" s="76">
        <f t="shared" si="13"/>
        <v>2840756</v>
      </c>
      <c r="V30" s="96">
        <f t="shared" si="14"/>
        <v>1136302</v>
      </c>
      <c r="W30" s="82"/>
      <c r="X30" s="82"/>
      <c r="Y30" s="82"/>
      <c r="AA30" s="90">
        <v>27</v>
      </c>
      <c r="AB30" s="76"/>
      <c r="AC30" s="76"/>
      <c r="AD30" s="96"/>
      <c r="AF30" s="90">
        <v>27</v>
      </c>
      <c r="AG30" s="96">
        <f t="shared" si="15"/>
        <v>67108864000</v>
      </c>
      <c r="AI30" s="90">
        <v>27</v>
      </c>
      <c r="AJ30" s="76">
        <f t="shared" si="38"/>
        <v>67108864000</v>
      </c>
      <c r="AK30" s="96">
        <f t="shared" si="36"/>
        <v>33554432000</v>
      </c>
      <c r="AM30" s="90">
        <v>27</v>
      </c>
      <c r="AN30" s="76">
        <f t="shared" si="17"/>
        <v>67108864000</v>
      </c>
      <c r="AO30" s="96">
        <f t="shared" si="37"/>
        <v>67108864000</v>
      </c>
      <c r="AQ30" s="90">
        <v>27</v>
      </c>
      <c r="AR30" s="76">
        <f t="shared" si="40"/>
        <v>26843545600</v>
      </c>
      <c r="AS30" s="76">
        <f t="shared" si="41"/>
        <v>8053063680</v>
      </c>
      <c r="AT30" s="96">
        <f t="shared" si="42"/>
        <v>13421772800</v>
      </c>
      <c r="AV30" s="90">
        <v>27</v>
      </c>
      <c r="AW30" s="76">
        <f t="shared" si="21"/>
        <v>26843545600</v>
      </c>
      <c r="AX30" s="76">
        <f t="shared" si="22"/>
        <v>13421772800</v>
      </c>
      <c r="AY30" s="96">
        <f t="shared" si="23"/>
        <v>6710886400</v>
      </c>
      <c r="BA30" s="90">
        <v>27</v>
      </c>
      <c r="BB30" s="76">
        <f t="shared" si="24"/>
        <v>13421772800</v>
      </c>
      <c r="BC30" s="76">
        <f t="shared" si="25"/>
        <v>26843545600</v>
      </c>
      <c r="BD30" s="96">
        <f t="shared" si="26"/>
        <v>13421772800</v>
      </c>
      <c r="BF30" s="90">
        <v>27</v>
      </c>
      <c r="BG30" s="76"/>
      <c r="BH30" s="96"/>
      <c r="BJ30" s="90">
        <v>27</v>
      </c>
      <c r="BK30" s="232">
        <f t="shared" si="27"/>
        <v>1342177280000</v>
      </c>
      <c r="BL30" s="232">
        <f t="shared" si="28"/>
        <v>1342177280000</v>
      </c>
      <c r="BM30" s="233">
        <f t="shared" si="5"/>
        <v>67108864000</v>
      </c>
      <c r="BO30" s="90">
        <v>27</v>
      </c>
      <c r="BP30" s="232">
        <f t="shared" si="29"/>
        <v>67108864000000</v>
      </c>
      <c r="BQ30" s="232">
        <f t="shared" si="30"/>
        <v>33554432000000</v>
      </c>
      <c r="BR30" s="233">
        <f t="shared" si="6"/>
        <v>6710886400000</v>
      </c>
      <c r="BT30" s="90">
        <v>27</v>
      </c>
      <c r="BU30" s="232">
        <f t="shared" si="31"/>
        <v>3355443200000</v>
      </c>
      <c r="BV30" s="232">
        <f t="shared" si="32"/>
        <v>6710886400000</v>
      </c>
      <c r="BW30" s="233">
        <f t="shared" si="7"/>
        <v>67108864000</v>
      </c>
      <c r="BY30" s="90">
        <v>27</v>
      </c>
      <c r="BZ30" s="232">
        <f t="shared" si="33"/>
        <v>2.9802322387695311E+20</v>
      </c>
      <c r="CA30" s="232">
        <f t="shared" si="34"/>
        <v>7.4505805969238278E+19</v>
      </c>
      <c r="CB30" s="233">
        <f t="shared" si="35"/>
        <v>1110223024625.1565</v>
      </c>
    </row>
    <row r="31" spans="2:80" ht="15.75" thickBot="1" x14ac:dyDescent="0.3">
      <c r="B31" s="90">
        <v>28</v>
      </c>
      <c r="C31" s="76">
        <f t="shared" si="0"/>
        <v>3408907</v>
      </c>
      <c r="D31" s="96">
        <f t="shared" si="1"/>
        <v>852226</v>
      </c>
      <c r="E31" s="82"/>
      <c r="F31" s="82"/>
      <c r="G31" s="82"/>
      <c r="H31" s="82"/>
      <c r="J31" s="90">
        <v>28</v>
      </c>
      <c r="K31" s="76">
        <f t="shared" si="8"/>
        <v>15576890</v>
      </c>
      <c r="L31" s="96">
        <f t="shared" si="9"/>
        <v>7788445</v>
      </c>
      <c r="M31" s="82">
        <f t="shared" si="2"/>
        <v>4038</v>
      </c>
      <c r="N31" s="82">
        <f t="shared" si="10"/>
        <v>498</v>
      </c>
      <c r="P31" s="90">
        <v>28</v>
      </c>
      <c r="Q31" s="76">
        <f t="shared" si="11"/>
        <v>12783403</v>
      </c>
      <c r="R31" s="96">
        <f t="shared" si="12"/>
        <v>4261134</v>
      </c>
      <c r="T31" s="90">
        <v>28</v>
      </c>
      <c r="U31" s="76">
        <f t="shared" si="13"/>
        <v>4261134</v>
      </c>
      <c r="V31" s="96">
        <f t="shared" si="14"/>
        <v>1704453</v>
      </c>
      <c r="W31" s="82"/>
      <c r="X31" s="82"/>
      <c r="Y31" s="82"/>
      <c r="AA31" s="90">
        <v>28</v>
      </c>
      <c r="AB31" s="76"/>
      <c r="AC31" s="76"/>
      <c r="AD31" s="96"/>
      <c r="AF31" s="90">
        <v>28</v>
      </c>
      <c r="AG31" s="96">
        <f t="shared" si="15"/>
        <v>134217728000</v>
      </c>
      <c r="AI31" s="90">
        <v>28</v>
      </c>
      <c r="AJ31" s="76">
        <f t="shared" si="38"/>
        <v>134217728000</v>
      </c>
      <c r="AK31" s="96">
        <f t="shared" si="36"/>
        <v>67108864000</v>
      </c>
      <c r="AM31" s="90">
        <v>28</v>
      </c>
      <c r="AN31" s="76">
        <f t="shared" si="17"/>
        <v>134217728000</v>
      </c>
      <c r="AO31" s="96">
        <f t="shared" si="37"/>
        <v>134217728000</v>
      </c>
      <c r="AQ31" s="90">
        <v>28</v>
      </c>
      <c r="AR31" s="76">
        <f t="shared" si="40"/>
        <v>53687091200</v>
      </c>
      <c r="AS31" s="76">
        <f t="shared" si="41"/>
        <v>16106127360</v>
      </c>
      <c r="AT31" s="96">
        <f t="shared" si="42"/>
        <v>26843545600</v>
      </c>
      <c r="AV31" s="90">
        <v>28</v>
      </c>
      <c r="AW31" s="76">
        <f t="shared" si="21"/>
        <v>53687091200</v>
      </c>
      <c r="AX31" s="76">
        <f t="shared" si="22"/>
        <v>26843545600</v>
      </c>
      <c r="AY31" s="96">
        <f t="shared" si="23"/>
        <v>13421772800</v>
      </c>
      <c r="BA31" s="90">
        <v>28</v>
      </c>
      <c r="BB31" s="76">
        <f t="shared" si="24"/>
        <v>26843545600</v>
      </c>
      <c r="BC31" s="76">
        <f t="shared" si="25"/>
        <v>53687091200</v>
      </c>
      <c r="BD31" s="96">
        <f t="shared" si="26"/>
        <v>26843545600</v>
      </c>
      <c r="BF31" s="90">
        <v>28</v>
      </c>
      <c r="BG31" s="76"/>
      <c r="BH31" s="96"/>
      <c r="BJ31" s="90">
        <v>28</v>
      </c>
      <c r="BK31" s="232">
        <f t="shared" si="27"/>
        <v>2684354560000</v>
      </c>
      <c r="BL31" s="232">
        <f t="shared" si="28"/>
        <v>2684354560000</v>
      </c>
      <c r="BM31" s="233">
        <f t="shared" si="5"/>
        <v>134217728000</v>
      </c>
      <c r="BO31" s="90">
        <v>28</v>
      </c>
      <c r="BP31" s="232">
        <f t="shared" si="29"/>
        <v>134217728000000</v>
      </c>
      <c r="BQ31" s="232">
        <f t="shared" si="30"/>
        <v>67108864000000</v>
      </c>
      <c r="BR31" s="233">
        <f t="shared" si="6"/>
        <v>13421772800000</v>
      </c>
      <c r="BT31" s="90">
        <v>28</v>
      </c>
      <c r="BU31" s="232">
        <f t="shared" si="31"/>
        <v>6710886400000</v>
      </c>
      <c r="BV31" s="232">
        <f t="shared" si="32"/>
        <v>13421772800000</v>
      </c>
      <c r="BW31" s="233">
        <f t="shared" si="7"/>
        <v>134217728000</v>
      </c>
      <c r="BY31" s="90">
        <v>28</v>
      </c>
      <c r="BZ31" s="232">
        <f t="shared" si="33"/>
        <v>1.4901161193847655E+21</v>
      </c>
      <c r="CA31" s="232">
        <f t="shared" si="34"/>
        <v>3.7252902984619137E+20</v>
      </c>
      <c r="CB31" s="233">
        <f t="shared" si="35"/>
        <v>2775557561562.8911</v>
      </c>
    </row>
    <row r="32" spans="2:80" ht="15.75" thickBot="1" x14ac:dyDescent="0.3">
      <c r="B32" s="90">
        <v>29</v>
      </c>
      <c r="C32" s="76">
        <f t="shared" si="0"/>
        <v>5113361</v>
      </c>
      <c r="D32" s="96">
        <f t="shared" si="1"/>
        <v>1278340</v>
      </c>
      <c r="E32" s="82"/>
      <c r="F32" s="82"/>
      <c r="G32" s="82"/>
      <c r="H32" s="82"/>
      <c r="J32" s="90">
        <v>29</v>
      </c>
      <c r="K32" s="76">
        <f t="shared" si="8"/>
        <v>24923024</v>
      </c>
      <c r="L32" s="96">
        <f t="shared" si="9"/>
        <v>12461512</v>
      </c>
      <c r="M32" s="82">
        <f t="shared" si="2"/>
        <v>4601</v>
      </c>
      <c r="N32" s="82">
        <f t="shared" si="10"/>
        <v>563</v>
      </c>
      <c r="P32" s="90">
        <v>29</v>
      </c>
      <c r="Q32" s="76">
        <f t="shared" si="11"/>
        <v>19175105</v>
      </c>
      <c r="R32" s="96">
        <f t="shared" si="12"/>
        <v>6391701</v>
      </c>
      <c r="T32" s="90">
        <v>29</v>
      </c>
      <c r="U32" s="76">
        <f t="shared" si="13"/>
        <v>6391701</v>
      </c>
      <c r="V32" s="96">
        <f t="shared" si="14"/>
        <v>2556680</v>
      </c>
      <c r="W32" s="82"/>
      <c r="X32" s="82"/>
      <c r="Y32" s="82"/>
      <c r="AA32" s="90">
        <v>29</v>
      </c>
      <c r="AB32" s="76"/>
      <c r="AC32" s="76"/>
      <c r="AD32" s="96"/>
      <c r="AF32" s="90">
        <v>29</v>
      </c>
      <c r="AG32" s="96">
        <f t="shared" si="15"/>
        <v>268435456000</v>
      </c>
      <c r="AI32" s="90">
        <v>29</v>
      </c>
      <c r="AJ32" s="76">
        <f t="shared" si="38"/>
        <v>268435456000</v>
      </c>
      <c r="AK32" s="96">
        <f t="shared" si="36"/>
        <v>134217728000</v>
      </c>
      <c r="AM32" s="90">
        <v>29</v>
      </c>
      <c r="AN32" s="76">
        <f t="shared" si="17"/>
        <v>268435456000</v>
      </c>
      <c r="AO32" s="96">
        <f t="shared" si="37"/>
        <v>268435456000</v>
      </c>
      <c r="AQ32" s="90">
        <v>29</v>
      </c>
      <c r="AR32" s="76">
        <f t="shared" si="40"/>
        <v>107374182400</v>
      </c>
      <c r="AS32" s="76">
        <f t="shared" si="41"/>
        <v>32212254720</v>
      </c>
      <c r="AT32" s="96">
        <f t="shared" si="42"/>
        <v>53687091200</v>
      </c>
      <c r="AV32" s="90">
        <v>29</v>
      </c>
      <c r="AW32" s="76">
        <f t="shared" si="21"/>
        <v>107374182400</v>
      </c>
      <c r="AX32" s="76">
        <f t="shared" si="22"/>
        <v>53687091200</v>
      </c>
      <c r="AY32" s="96">
        <f t="shared" si="23"/>
        <v>26843545600</v>
      </c>
      <c r="BA32" s="90">
        <v>29</v>
      </c>
      <c r="BB32" s="76">
        <f t="shared" si="24"/>
        <v>53687091200</v>
      </c>
      <c r="BC32" s="76">
        <f t="shared" si="25"/>
        <v>107374182400</v>
      </c>
      <c r="BD32" s="96">
        <f t="shared" si="26"/>
        <v>53687091200</v>
      </c>
      <c r="BF32" s="90">
        <v>29</v>
      </c>
      <c r="BG32" s="76"/>
      <c r="BH32" s="96"/>
      <c r="BJ32" s="90">
        <v>29</v>
      </c>
      <c r="BK32" s="232">
        <f t="shared" si="27"/>
        <v>5368709120000</v>
      </c>
      <c r="BL32" s="232">
        <f t="shared" si="28"/>
        <v>5368709120000</v>
      </c>
      <c r="BM32" s="233">
        <f t="shared" si="5"/>
        <v>268435456000</v>
      </c>
      <c r="BO32" s="90">
        <v>29</v>
      </c>
      <c r="BP32" s="232">
        <f t="shared" si="29"/>
        <v>268435456000000</v>
      </c>
      <c r="BQ32" s="232">
        <f t="shared" si="30"/>
        <v>134217728000000</v>
      </c>
      <c r="BR32" s="233">
        <f t="shared" si="6"/>
        <v>26843545600000</v>
      </c>
      <c r="BT32" s="90">
        <v>29</v>
      </c>
      <c r="BU32" s="232">
        <f t="shared" si="31"/>
        <v>13421772800000</v>
      </c>
      <c r="BV32" s="232">
        <f t="shared" si="32"/>
        <v>26843545600000</v>
      </c>
      <c r="BW32" s="233">
        <f t="shared" si="7"/>
        <v>268435456000</v>
      </c>
      <c r="BY32" s="90">
        <v>29</v>
      </c>
      <c r="BZ32" s="232">
        <f t="shared" si="33"/>
        <v>7.4505805969238272E+21</v>
      </c>
      <c r="CA32" s="232">
        <f t="shared" si="34"/>
        <v>1.8626451492309568E+21</v>
      </c>
      <c r="CB32" s="233">
        <f t="shared" si="35"/>
        <v>6938893903907.2275</v>
      </c>
    </row>
    <row r="33" spans="2:80" ht="15.75" thickBot="1" x14ac:dyDescent="0.3">
      <c r="B33" s="91">
        <v>30</v>
      </c>
      <c r="C33" s="77">
        <f t="shared" si="0"/>
        <v>7670042</v>
      </c>
      <c r="D33" s="97">
        <f t="shared" si="1"/>
        <v>1917510</v>
      </c>
      <c r="E33" s="82"/>
      <c r="F33" s="82"/>
      <c r="G33" s="82"/>
      <c r="H33" s="82"/>
      <c r="J33" s="91">
        <v>30</v>
      </c>
      <c r="K33" s="76">
        <f t="shared" si="8"/>
        <v>39876839</v>
      </c>
      <c r="L33" s="96">
        <f t="shared" si="9"/>
        <v>19938419</v>
      </c>
      <c r="M33" s="82">
        <f t="shared" si="2"/>
        <v>5235</v>
      </c>
      <c r="N33" s="82">
        <f t="shared" si="10"/>
        <v>634</v>
      </c>
      <c r="P33" s="91">
        <v>30</v>
      </c>
      <c r="Q33" s="77">
        <f t="shared" si="11"/>
        <v>28762658</v>
      </c>
      <c r="R33" s="97">
        <f t="shared" si="12"/>
        <v>9587552</v>
      </c>
      <c r="T33" s="91">
        <v>30</v>
      </c>
      <c r="U33" s="77">
        <f t="shared" si="13"/>
        <v>9587552</v>
      </c>
      <c r="V33" s="97">
        <f t="shared" si="14"/>
        <v>3835021</v>
      </c>
      <c r="W33" s="82"/>
      <c r="X33" s="82"/>
      <c r="Y33" s="82"/>
      <c r="AA33" s="91">
        <v>30</v>
      </c>
      <c r="AB33" s="77"/>
      <c r="AC33" s="77"/>
      <c r="AD33" s="97"/>
      <c r="AF33" s="91">
        <v>30</v>
      </c>
      <c r="AG33" s="97">
        <f t="shared" si="15"/>
        <v>536870912000</v>
      </c>
      <c r="AI33" s="91">
        <v>30</v>
      </c>
      <c r="AJ33" s="77">
        <f t="shared" si="38"/>
        <v>536870912000</v>
      </c>
      <c r="AK33" s="97">
        <f t="shared" si="36"/>
        <v>268435456000</v>
      </c>
      <c r="AM33" s="91">
        <v>30</v>
      </c>
      <c r="AN33" s="77">
        <f t="shared" si="17"/>
        <v>536870912000</v>
      </c>
      <c r="AO33" s="97">
        <f t="shared" si="37"/>
        <v>536870912000</v>
      </c>
      <c r="AQ33" s="91">
        <v>30</v>
      </c>
      <c r="AR33" s="77">
        <f t="shared" si="40"/>
        <v>214748364800</v>
      </c>
      <c r="AS33" s="77">
        <f t="shared" si="41"/>
        <v>64424509440</v>
      </c>
      <c r="AT33" s="97">
        <f t="shared" si="42"/>
        <v>107374182400</v>
      </c>
      <c r="AV33" s="91">
        <v>30</v>
      </c>
      <c r="AW33" s="77">
        <f t="shared" si="21"/>
        <v>214748364800</v>
      </c>
      <c r="AX33" s="77">
        <f t="shared" si="22"/>
        <v>107374182400</v>
      </c>
      <c r="AY33" s="97">
        <f>AY32*2</f>
        <v>53687091200</v>
      </c>
      <c r="BA33" s="91">
        <v>30</v>
      </c>
      <c r="BB33" s="77">
        <f t="shared" si="24"/>
        <v>107374182400</v>
      </c>
      <c r="BC33" s="77">
        <f t="shared" si="25"/>
        <v>214748364800</v>
      </c>
      <c r="BD33" s="97">
        <f t="shared" si="26"/>
        <v>107374182400</v>
      </c>
      <c r="BF33" s="91">
        <v>30</v>
      </c>
      <c r="BG33" s="77"/>
      <c r="BH33" s="97"/>
      <c r="BJ33" s="91">
        <v>30</v>
      </c>
      <c r="BK33" s="234">
        <f t="shared" si="27"/>
        <v>10737418240000</v>
      </c>
      <c r="BL33" s="234">
        <f t="shared" si="28"/>
        <v>10737418240000</v>
      </c>
      <c r="BM33" s="235">
        <f t="shared" si="5"/>
        <v>536870912000</v>
      </c>
      <c r="BO33" s="91">
        <v>30</v>
      </c>
      <c r="BP33" s="234">
        <f t="shared" si="29"/>
        <v>536870912000000</v>
      </c>
      <c r="BQ33" s="234">
        <f t="shared" si="30"/>
        <v>268435456000000</v>
      </c>
      <c r="BR33" s="235">
        <f t="shared" si="6"/>
        <v>53687091200000</v>
      </c>
      <c r="BT33" s="91">
        <v>30</v>
      </c>
      <c r="BU33" s="234">
        <f t="shared" si="31"/>
        <v>26843545600000</v>
      </c>
      <c r="BV33" s="234">
        <f t="shared" si="32"/>
        <v>53687091200000</v>
      </c>
      <c r="BW33" s="235">
        <f t="shared" si="7"/>
        <v>536870912000</v>
      </c>
      <c r="BY33" s="91">
        <v>30</v>
      </c>
      <c r="BZ33" s="234">
        <f t="shared" si="33"/>
        <v>3.7252902984619135E+22</v>
      </c>
      <c r="CA33" s="234">
        <f t="shared" si="34"/>
        <v>9.3132257461547838E+21</v>
      </c>
      <c r="CB33" s="235">
        <f t="shared" si="35"/>
        <v>17347234759768.068</v>
      </c>
    </row>
    <row r="34" spans="2:80" ht="15.75" thickTop="1" x14ac:dyDescent="0.25"/>
    <row r="40" spans="2:80" x14ac:dyDescent="0.25">
      <c r="BE40" s="240"/>
    </row>
  </sheetData>
  <mergeCells count="31">
    <mergeCell ref="BY2:BY3"/>
    <mergeCell ref="BZ2:CB2"/>
    <mergeCell ref="BJ2:BJ3"/>
    <mergeCell ref="BK2:BM2"/>
    <mergeCell ref="BO2:BO3"/>
    <mergeCell ref="BP2:BR2"/>
    <mergeCell ref="BT2:BT3"/>
    <mergeCell ref="BU2:BW2"/>
    <mergeCell ref="BG2:BH2"/>
    <mergeCell ref="AF2:AF3"/>
    <mergeCell ref="AI2:AI3"/>
    <mergeCell ref="AJ2:AK2"/>
    <mergeCell ref="AM2:AM3"/>
    <mergeCell ref="AN2:AO2"/>
    <mergeCell ref="AQ2:AQ3"/>
    <mergeCell ref="AR2:AT2"/>
    <mergeCell ref="AV2:AV3"/>
    <mergeCell ref="AW2:AY2"/>
    <mergeCell ref="BA2:BA3"/>
    <mergeCell ref="BB2:BD2"/>
    <mergeCell ref="BF2:BF3"/>
    <mergeCell ref="B2:B3"/>
    <mergeCell ref="AB2:AD2"/>
    <mergeCell ref="AA2:AA3"/>
    <mergeCell ref="C2:D2"/>
    <mergeCell ref="K2:L2"/>
    <mergeCell ref="Q2:R2"/>
    <mergeCell ref="U2:V2"/>
    <mergeCell ref="T2:T3"/>
    <mergeCell ref="J2:J3"/>
    <mergeCell ref="P2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E14" sqref="E14"/>
    </sheetView>
  </sheetViews>
  <sheetFormatPr defaultRowHeight="15" x14ac:dyDescent="0.25"/>
  <cols>
    <col min="1" max="1" width="9.140625" style="1"/>
    <col min="2" max="2" width="9.140625" style="10"/>
    <col min="3" max="3" width="12.5703125" style="36" customWidth="1"/>
    <col min="4" max="4" width="11.5703125" style="36" customWidth="1"/>
    <col min="5" max="5" width="15.42578125" style="1" customWidth="1"/>
    <col min="6" max="6" width="17.7109375" style="1" customWidth="1"/>
    <col min="7" max="7" width="14.42578125" style="1" customWidth="1"/>
    <col min="8" max="8" width="8.42578125" style="1" bestFit="1" customWidth="1"/>
    <col min="9" max="9" width="12.7109375" style="1" bestFit="1" customWidth="1"/>
    <col min="10" max="10" width="11.7109375" style="1" bestFit="1" customWidth="1"/>
    <col min="11" max="11" width="8.140625" style="1" bestFit="1" customWidth="1"/>
    <col min="12" max="24" width="7.7109375" style="1" customWidth="1"/>
    <col min="25" max="16384" width="9.140625" style="1"/>
  </cols>
  <sheetData>
    <row r="1" spans="2:24" ht="15.75" thickBot="1" x14ac:dyDescent="0.3"/>
    <row r="2" spans="2:24" ht="30" customHeight="1" thickTop="1" thickBot="1" x14ac:dyDescent="0.3">
      <c r="B2" s="270" t="s">
        <v>71</v>
      </c>
      <c r="C2" s="256" t="s">
        <v>60</v>
      </c>
      <c r="D2" s="256"/>
      <c r="E2" s="138" t="s">
        <v>122</v>
      </c>
      <c r="F2" s="153" t="s">
        <v>123</v>
      </c>
      <c r="G2" s="138" t="s">
        <v>124</v>
      </c>
      <c r="H2" s="153" t="s">
        <v>125</v>
      </c>
      <c r="I2" s="138" t="s">
        <v>126</v>
      </c>
      <c r="J2" s="153" t="s">
        <v>127</v>
      </c>
      <c r="K2" s="138" t="s">
        <v>128</v>
      </c>
      <c r="L2" s="153" t="s">
        <v>129</v>
      </c>
      <c r="M2" s="138" t="s">
        <v>130</v>
      </c>
      <c r="N2" s="153" t="s">
        <v>131</v>
      </c>
      <c r="O2" s="138" t="s">
        <v>132</v>
      </c>
      <c r="P2" s="153" t="s">
        <v>133</v>
      </c>
      <c r="Q2" s="138" t="s">
        <v>134</v>
      </c>
      <c r="R2" s="153" t="s">
        <v>135</v>
      </c>
      <c r="S2" s="138" t="s">
        <v>136</v>
      </c>
      <c r="T2" s="153" t="s">
        <v>137</v>
      </c>
      <c r="U2" s="138" t="s">
        <v>138</v>
      </c>
      <c r="V2" s="153" t="s">
        <v>139</v>
      </c>
      <c r="W2" s="138" t="s">
        <v>140</v>
      </c>
      <c r="X2" s="153" t="s">
        <v>141</v>
      </c>
    </row>
    <row r="3" spans="2:24" ht="30" customHeight="1" thickTop="1" thickBot="1" x14ac:dyDescent="0.3">
      <c r="B3" s="270"/>
      <c r="C3" s="263" t="s">
        <v>70</v>
      </c>
      <c r="D3" s="263"/>
      <c r="E3" s="139" t="s">
        <v>197</v>
      </c>
      <c r="F3" s="154"/>
      <c r="G3" s="152"/>
      <c r="H3" s="154"/>
      <c r="I3" s="152"/>
      <c r="J3" s="154"/>
      <c r="K3" s="150"/>
      <c r="L3" s="30"/>
      <c r="M3" s="150"/>
      <c r="N3" s="30"/>
      <c r="O3" s="150"/>
      <c r="P3" s="30"/>
      <c r="Q3" s="150"/>
      <c r="R3" s="30"/>
      <c r="S3" s="150"/>
      <c r="T3" s="30"/>
      <c r="U3" s="150"/>
      <c r="V3" s="30"/>
      <c r="W3" s="150"/>
      <c r="X3" s="31"/>
    </row>
    <row r="4" spans="2:24" ht="16.5" thickTop="1" thickBot="1" x14ac:dyDescent="0.3">
      <c r="B4" s="270"/>
      <c r="C4" s="266" t="s">
        <v>38</v>
      </c>
      <c r="D4" s="199" t="s">
        <v>181</v>
      </c>
      <c r="E4" s="140">
        <v>188</v>
      </c>
      <c r="F4" s="63"/>
      <c r="G4" s="147"/>
      <c r="H4" s="63"/>
      <c r="I4" s="147"/>
      <c r="J4" s="63"/>
      <c r="K4" s="147"/>
      <c r="L4" s="63"/>
      <c r="M4" s="147"/>
      <c r="N4" s="63"/>
      <c r="O4" s="147"/>
      <c r="P4" s="63"/>
      <c r="Q4" s="147"/>
      <c r="R4" s="63"/>
      <c r="S4" s="147"/>
      <c r="T4" s="63"/>
      <c r="U4" s="147"/>
      <c r="V4" s="63"/>
      <c r="W4" s="147"/>
      <c r="X4" s="65"/>
    </row>
    <row r="5" spans="2:24" s="126" customFormat="1" ht="16.5" thickTop="1" thickBot="1" x14ac:dyDescent="0.3">
      <c r="B5" s="270"/>
      <c r="C5" s="267"/>
      <c r="D5" s="243" t="s">
        <v>185</v>
      </c>
      <c r="E5" s="147">
        <f t="shared" ref="E5:X5" si="0">IF(E4="","",E4+(E37*5)+ROUNDDOWN((E37/2),0))</f>
        <v>188</v>
      </c>
      <c r="F5" s="63" t="str">
        <f t="shared" si="0"/>
        <v/>
      </c>
      <c r="G5" s="147" t="str">
        <f t="shared" si="0"/>
        <v/>
      </c>
      <c r="H5" s="63" t="str">
        <f t="shared" si="0"/>
        <v/>
      </c>
      <c r="I5" s="147" t="str">
        <f t="shared" si="0"/>
        <v/>
      </c>
      <c r="J5" s="63" t="str">
        <f t="shared" si="0"/>
        <v/>
      </c>
      <c r="K5" s="147" t="str">
        <f t="shared" si="0"/>
        <v/>
      </c>
      <c r="L5" s="63" t="str">
        <f t="shared" si="0"/>
        <v/>
      </c>
      <c r="M5" s="147" t="str">
        <f t="shared" si="0"/>
        <v/>
      </c>
      <c r="N5" s="63" t="str">
        <f t="shared" si="0"/>
        <v/>
      </c>
      <c r="O5" s="147" t="str">
        <f t="shared" si="0"/>
        <v/>
      </c>
      <c r="P5" s="63" t="str">
        <f t="shared" si="0"/>
        <v/>
      </c>
      <c r="Q5" s="147" t="str">
        <f t="shared" si="0"/>
        <v/>
      </c>
      <c r="R5" s="63" t="str">
        <f t="shared" si="0"/>
        <v/>
      </c>
      <c r="S5" s="147" t="str">
        <f t="shared" si="0"/>
        <v/>
      </c>
      <c r="T5" s="63" t="str">
        <f t="shared" si="0"/>
        <v/>
      </c>
      <c r="U5" s="147" t="str">
        <f t="shared" si="0"/>
        <v/>
      </c>
      <c r="V5" s="63" t="str">
        <f t="shared" si="0"/>
        <v/>
      </c>
      <c r="W5" s="147" t="str">
        <f t="shared" si="0"/>
        <v/>
      </c>
      <c r="X5" s="65" t="str">
        <f t="shared" si="0"/>
        <v/>
      </c>
    </row>
    <row r="6" spans="2:24" ht="16.5" thickTop="1" thickBot="1" x14ac:dyDescent="0.3">
      <c r="B6" s="270"/>
      <c r="C6" s="256" t="s">
        <v>142</v>
      </c>
      <c r="D6" s="256"/>
      <c r="E6" s="245"/>
      <c r="F6" s="63" t="str">
        <f t="shared" ref="F6:K6" si="1">IF(F3&lt;&gt;"",SUM(F13,F15,F17,F19,F20,F23,F26,F32,F33,F34,F35,F36,F29,F37)," ")</f>
        <v xml:space="preserve"> </v>
      </c>
      <c r="G6" s="246" t="str">
        <f t="shared" si="1"/>
        <v xml:space="preserve"> </v>
      </c>
      <c r="H6" s="63" t="str">
        <f t="shared" si="1"/>
        <v xml:space="preserve"> </v>
      </c>
      <c r="I6" s="246" t="str">
        <f t="shared" si="1"/>
        <v xml:space="preserve"> </v>
      </c>
      <c r="J6" s="63" t="str">
        <f t="shared" si="1"/>
        <v xml:space="preserve"> </v>
      </c>
      <c r="K6" s="244" t="str">
        <f t="shared" si="1"/>
        <v xml:space="preserve"> </v>
      </c>
      <c r="L6" s="63" t="str">
        <f t="shared" ref="L6:X6" si="2">IF(L3&lt;&gt;"",SUM(L13,L15,L17,L19,L20,L23,L26,L32,L33,L34,L35,L36,L37)," ")</f>
        <v xml:space="preserve"> </v>
      </c>
      <c r="M6" s="147" t="str">
        <f t="shared" si="2"/>
        <v xml:space="preserve"> </v>
      </c>
      <c r="N6" s="63" t="str">
        <f t="shared" si="2"/>
        <v xml:space="preserve"> </v>
      </c>
      <c r="O6" s="147" t="str">
        <f t="shared" si="2"/>
        <v xml:space="preserve"> </v>
      </c>
      <c r="P6" s="63" t="str">
        <f t="shared" si="2"/>
        <v xml:space="preserve"> </v>
      </c>
      <c r="Q6" s="147" t="str">
        <f t="shared" si="2"/>
        <v xml:space="preserve"> </v>
      </c>
      <c r="R6" s="63" t="str">
        <f t="shared" si="2"/>
        <v xml:space="preserve"> </v>
      </c>
      <c r="S6" s="147" t="str">
        <f t="shared" si="2"/>
        <v xml:space="preserve"> </v>
      </c>
      <c r="T6" s="63" t="str">
        <f t="shared" si="2"/>
        <v xml:space="preserve"> </v>
      </c>
      <c r="U6" s="147" t="str">
        <f t="shared" si="2"/>
        <v xml:space="preserve"> </v>
      </c>
      <c r="V6" s="63" t="str">
        <f t="shared" si="2"/>
        <v xml:space="preserve"> </v>
      </c>
      <c r="W6" s="147" t="str">
        <f t="shared" si="2"/>
        <v xml:space="preserve"> </v>
      </c>
      <c r="X6" s="65" t="str">
        <f t="shared" si="2"/>
        <v xml:space="preserve"> </v>
      </c>
    </row>
    <row r="7" spans="2:24" ht="16.5" thickTop="1" thickBot="1" x14ac:dyDescent="0.3">
      <c r="B7" s="270"/>
      <c r="C7" s="256" t="s">
        <v>73</v>
      </c>
      <c r="D7" s="256"/>
      <c r="E7" s="140" t="s">
        <v>198</v>
      </c>
      <c r="F7" s="63"/>
      <c r="G7" s="147"/>
      <c r="H7" s="63"/>
      <c r="I7" s="147"/>
      <c r="J7" s="63"/>
      <c r="K7" s="147"/>
      <c r="L7" s="63"/>
      <c r="M7" s="147"/>
      <c r="N7" s="63"/>
      <c r="O7" s="147"/>
      <c r="P7" s="63"/>
      <c r="Q7" s="147"/>
      <c r="R7" s="63"/>
      <c r="S7" s="147"/>
      <c r="T7" s="63"/>
      <c r="U7" s="147"/>
      <c r="V7" s="63"/>
      <c r="W7" s="147"/>
      <c r="X7" s="65"/>
    </row>
    <row r="8" spans="2:24" ht="15" customHeight="1" thickTop="1" thickBot="1" x14ac:dyDescent="0.3">
      <c r="B8" s="270"/>
      <c r="C8" s="261" t="s">
        <v>76</v>
      </c>
      <c r="D8" s="112" t="s">
        <v>77</v>
      </c>
      <c r="E8" s="141">
        <v>41</v>
      </c>
      <c r="F8" s="155"/>
      <c r="G8" s="151"/>
      <c r="H8" s="155"/>
      <c r="I8" s="151"/>
      <c r="J8" s="155"/>
      <c r="K8" s="151"/>
      <c r="L8" s="155"/>
      <c r="M8" s="151"/>
      <c r="N8" s="155"/>
      <c r="O8" s="151"/>
      <c r="P8" s="155"/>
      <c r="Q8" s="151"/>
      <c r="R8" s="155"/>
      <c r="S8" s="151"/>
      <c r="T8" s="155"/>
      <c r="U8" s="151"/>
      <c r="V8" s="155"/>
      <c r="W8" s="151"/>
      <c r="X8" s="156"/>
    </row>
    <row r="9" spans="2:24" s="126" customFormat="1" ht="15" customHeight="1" thickTop="1" thickBot="1" x14ac:dyDescent="0.3">
      <c r="B9" s="270"/>
      <c r="C9" s="263"/>
      <c r="D9" s="223" t="s">
        <v>78</v>
      </c>
      <c r="E9" s="141">
        <v>81</v>
      </c>
      <c r="F9" s="155"/>
      <c r="G9" s="151"/>
      <c r="H9" s="155"/>
      <c r="I9" s="151"/>
      <c r="J9" s="155"/>
      <c r="K9" s="151"/>
      <c r="L9" s="155"/>
      <c r="M9" s="151"/>
      <c r="N9" s="155"/>
      <c r="O9" s="151"/>
      <c r="P9" s="155"/>
      <c r="Q9" s="151"/>
      <c r="R9" s="155"/>
      <c r="S9" s="151"/>
      <c r="T9" s="155"/>
      <c r="U9" s="151"/>
      <c r="V9" s="155"/>
      <c r="W9" s="151"/>
      <c r="X9" s="156"/>
    </row>
    <row r="10" spans="2:24" ht="16.5" thickTop="1" thickBot="1" x14ac:dyDescent="0.3">
      <c r="B10" s="270"/>
      <c r="C10" s="268" t="s">
        <v>176</v>
      </c>
      <c r="D10" s="269"/>
      <c r="E10" s="144"/>
      <c r="F10" s="162"/>
      <c r="G10" s="148"/>
      <c r="H10" s="162"/>
      <c r="I10" s="148"/>
      <c r="J10" s="162"/>
      <c r="K10" s="148"/>
      <c r="L10" s="162"/>
      <c r="M10" s="148"/>
      <c r="N10" s="162"/>
      <c r="O10" s="148"/>
      <c r="P10" s="162"/>
      <c r="Q10" s="148"/>
      <c r="R10" s="162"/>
      <c r="S10" s="148"/>
      <c r="T10" s="162"/>
      <c r="U10" s="148"/>
      <c r="V10" s="162"/>
      <c r="W10" s="148"/>
      <c r="X10" s="159"/>
    </row>
    <row r="11" spans="2:24" ht="16.5" thickTop="1" thickBot="1" x14ac:dyDescent="0.3">
      <c r="R11" s="164"/>
    </row>
    <row r="12" spans="2:24" ht="30" customHeight="1" thickTop="1" thickBot="1" x14ac:dyDescent="0.3">
      <c r="B12" s="258" t="s">
        <v>35</v>
      </c>
      <c r="C12" s="256" t="s">
        <v>70</v>
      </c>
      <c r="D12" s="256"/>
      <c r="E12" s="138" t="str">
        <f>IF(E3&lt;&gt;"",E3," ")</f>
        <v>Homeworld</v>
      </c>
      <c r="F12" s="153" t="str">
        <f t="shared" ref="F12:X12" si="3">IF(F3&lt;&gt;"",F3," ")</f>
        <v xml:space="preserve"> </v>
      </c>
      <c r="G12" s="138" t="str">
        <f t="shared" si="3"/>
        <v xml:space="preserve"> </v>
      </c>
      <c r="H12" s="153" t="str">
        <f t="shared" si="3"/>
        <v xml:space="preserve"> </v>
      </c>
      <c r="I12" s="138" t="str">
        <f t="shared" si="3"/>
        <v xml:space="preserve"> </v>
      </c>
      <c r="J12" s="153" t="str">
        <f t="shared" si="3"/>
        <v xml:space="preserve"> </v>
      </c>
      <c r="K12" s="138" t="str">
        <f t="shared" si="3"/>
        <v xml:space="preserve"> </v>
      </c>
      <c r="L12" s="153" t="str">
        <f t="shared" si="3"/>
        <v xml:space="preserve"> </v>
      </c>
      <c r="M12" s="138" t="str">
        <f t="shared" si="3"/>
        <v xml:space="preserve"> </v>
      </c>
      <c r="N12" s="153" t="str">
        <f t="shared" si="3"/>
        <v xml:space="preserve"> </v>
      </c>
      <c r="O12" s="138" t="str">
        <f t="shared" si="3"/>
        <v xml:space="preserve"> </v>
      </c>
      <c r="P12" s="153" t="str">
        <f t="shared" si="3"/>
        <v xml:space="preserve"> </v>
      </c>
      <c r="Q12" s="138" t="str">
        <f t="shared" si="3"/>
        <v xml:space="preserve"> </v>
      </c>
      <c r="R12" s="153" t="str">
        <f t="shared" si="3"/>
        <v xml:space="preserve"> </v>
      </c>
      <c r="S12" s="138" t="str">
        <f t="shared" si="3"/>
        <v xml:space="preserve"> </v>
      </c>
      <c r="T12" s="153" t="str">
        <f t="shared" si="3"/>
        <v xml:space="preserve"> </v>
      </c>
      <c r="U12" s="138" t="str">
        <f t="shared" si="3"/>
        <v xml:space="preserve"> </v>
      </c>
      <c r="V12" s="153" t="str">
        <f t="shared" si="3"/>
        <v xml:space="preserve"> </v>
      </c>
      <c r="W12" s="138" t="str">
        <f t="shared" si="3"/>
        <v xml:space="preserve"> </v>
      </c>
      <c r="X12" s="153" t="str">
        <f t="shared" si="3"/>
        <v xml:space="preserve"> </v>
      </c>
    </row>
    <row r="13" spans="2:24" ht="16.5" thickTop="1" thickBot="1" x14ac:dyDescent="0.3">
      <c r="B13" s="259"/>
      <c r="C13" s="264" t="s">
        <v>39</v>
      </c>
      <c r="D13" s="115" t="s">
        <v>63</v>
      </c>
      <c r="E13" s="142">
        <v>0</v>
      </c>
      <c r="F13" s="160"/>
      <c r="G13" s="146"/>
      <c r="H13" s="160"/>
      <c r="I13" s="146"/>
      <c r="J13" s="160"/>
      <c r="K13" s="146"/>
      <c r="L13" s="160"/>
      <c r="M13" s="146"/>
      <c r="N13" s="160"/>
      <c r="O13" s="146"/>
      <c r="P13" s="160"/>
      <c r="Q13" s="146"/>
      <c r="R13" s="160"/>
      <c r="S13" s="146"/>
      <c r="T13" s="160"/>
      <c r="U13" s="146"/>
      <c r="V13" s="160"/>
      <c r="W13" s="146"/>
      <c r="X13" s="157"/>
    </row>
    <row r="14" spans="2:24" ht="16.5" thickTop="1" thickBot="1" x14ac:dyDescent="0.3">
      <c r="B14" s="259"/>
      <c r="C14" s="265"/>
      <c r="D14" s="114" t="s">
        <v>74</v>
      </c>
      <c r="E14" s="143">
        <f>IF(E13&lt;&gt;"",Resources!C10," ")</f>
        <v>120</v>
      </c>
      <c r="F14" s="161" t="str">
        <f>IF(F13&lt;&gt;"",Resources!D10," ")</f>
        <v xml:space="preserve"> </v>
      </c>
      <c r="G14" s="149" t="str">
        <f>IF(G13&lt;&gt;"",Resources!E10," ")</f>
        <v xml:space="preserve"> </v>
      </c>
      <c r="H14" s="161" t="str">
        <f>IF(H13&lt;&gt;"",Resources!F10," ")</f>
        <v xml:space="preserve"> </v>
      </c>
      <c r="I14" s="149" t="str">
        <f>IF(I13&lt;&gt;"",Resources!G10," ")</f>
        <v xml:space="preserve"> </v>
      </c>
      <c r="J14" s="161" t="str">
        <f>IF(J13&lt;&gt;"",Resources!H10," ")</f>
        <v xml:space="preserve"> </v>
      </c>
      <c r="K14" s="149" t="str">
        <f>IF(K13&lt;&gt;"",Resources!I10," ")</f>
        <v xml:space="preserve"> </v>
      </c>
      <c r="L14" s="161" t="str">
        <f>IF(L13&lt;&gt;"",Resources!J10," ")</f>
        <v xml:space="preserve"> </v>
      </c>
      <c r="M14" s="149" t="str">
        <f>IF(M13&lt;&gt;"",Resources!K10," ")</f>
        <v xml:space="preserve"> </v>
      </c>
      <c r="N14" s="161" t="str">
        <f>IF(N13&lt;&gt;"",Resources!L10," ")</f>
        <v xml:space="preserve"> </v>
      </c>
      <c r="O14" s="149" t="str">
        <f>IF(O13&lt;&gt;"",Resources!M10," ")</f>
        <v xml:space="preserve"> </v>
      </c>
      <c r="P14" s="161" t="str">
        <f>IF(P13&lt;&gt;"",Resources!N10," ")</f>
        <v xml:space="preserve"> </v>
      </c>
      <c r="Q14" s="149" t="str">
        <f>IF(Q13&lt;&gt;"",Resources!O10," ")</f>
        <v xml:space="preserve"> </v>
      </c>
      <c r="R14" s="161" t="str">
        <f>IF(R13&lt;&gt;"",Resources!P10," ")</f>
        <v xml:space="preserve"> </v>
      </c>
      <c r="S14" s="149" t="str">
        <f>IF(S13&lt;&gt;"",Resources!Q10," ")</f>
        <v xml:space="preserve"> </v>
      </c>
      <c r="T14" s="161" t="str">
        <f>IF(T13&lt;&gt;"",Resources!R10," ")</f>
        <v xml:space="preserve"> </v>
      </c>
      <c r="U14" s="149" t="str">
        <f>IF(U13&lt;&gt;"",Resources!S10," ")</f>
        <v xml:space="preserve"> </v>
      </c>
      <c r="V14" s="161" t="str">
        <f>IF(V13&lt;&gt;"",Resources!T10," ")</f>
        <v xml:space="preserve"> </v>
      </c>
      <c r="W14" s="149" t="str">
        <f>IF(W13&lt;&gt;"",Resources!U10," ")</f>
        <v xml:space="preserve"> </v>
      </c>
      <c r="X14" s="158" t="str">
        <f>IF(X13&lt;&gt;"",Resources!V10," ")</f>
        <v xml:space="preserve"> </v>
      </c>
    </row>
    <row r="15" spans="2:24" ht="16.5" customHeight="1" thickTop="1" thickBot="1" x14ac:dyDescent="0.3">
      <c r="B15" s="259"/>
      <c r="C15" s="261" t="s">
        <v>42</v>
      </c>
      <c r="D15" s="114" t="s">
        <v>63</v>
      </c>
      <c r="E15" s="140">
        <v>0</v>
      </c>
      <c r="F15" s="63"/>
      <c r="G15" s="147"/>
      <c r="H15" s="63"/>
      <c r="I15" s="147"/>
      <c r="J15" s="63"/>
      <c r="K15" s="147"/>
      <c r="L15" s="63"/>
      <c r="M15" s="147"/>
      <c r="N15" s="63"/>
      <c r="O15" s="147"/>
      <c r="P15" s="63"/>
      <c r="Q15" s="147"/>
      <c r="R15" s="63"/>
      <c r="S15" s="147"/>
      <c r="T15" s="63"/>
      <c r="U15" s="147"/>
      <c r="V15" s="63"/>
      <c r="W15" s="147"/>
      <c r="X15" s="65"/>
    </row>
    <row r="16" spans="2:24" ht="16.5" thickTop="1" thickBot="1" x14ac:dyDescent="0.3">
      <c r="B16" s="259"/>
      <c r="C16" s="263"/>
      <c r="D16" s="114" t="s">
        <v>74</v>
      </c>
      <c r="E16" s="143">
        <f>IF(E15&lt;&gt;"",Resources!C22,"")</f>
        <v>60</v>
      </c>
      <c r="F16" s="161" t="str">
        <f>IF(F15&lt;&gt;"",Resources!D22,"")</f>
        <v/>
      </c>
      <c r="G16" s="149" t="str">
        <f>IF(G15&lt;&gt;"",Resources!E22,"")</f>
        <v/>
      </c>
      <c r="H16" s="161" t="str">
        <f>IF(H15&lt;&gt;"",Resources!F22,"")</f>
        <v/>
      </c>
      <c r="I16" s="149" t="str">
        <f>IF(I15&lt;&gt;"",Resources!G22,"")</f>
        <v/>
      </c>
      <c r="J16" s="161" t="str">
        <f>IF(J15&lt;&gt;"",Resources!H22,"")</f>
        <v/>
      </c>
      <c r="K16" s="149" t="str">
        <f>IF(K15&lt;&gt;"",Resources!I22,"")</f>
        <v/>
      </c>
      <c r="L16" s="161" t="str">
        <f>IF(L15&lt;&gt;"",Resources!J22,"")</f>
        <v/>
      </c>
      <c r="M16" s="149" t="str">
        <f>IF(M15&lt;&gt;"",Resources!K22,"")</f>
        <v/>
      </c>
      <c r="N16" s="161" t="str">
        <f>IF(N15&lt;&gt;"",Resources!L22,"")</f>
        <v/>
      </c>
      <c r="O16" s="149" t="str">
        <f>IF(O15&lt;&gt;"",Resources!M22,"")</f>
        <v/>
      </c>
      <c r="P16" s="161" t="str">
        <f>IF(P15&lt;&gt;"",Resources!N22,"")</f>
        <v/>
      </c>
      <c r="Q16" s="149" t="str">
        <f>IF(Q15&lt;&gt;"",Resources!O22,"")</f>
        <v/>
      </c>
      <c r="R16" s="161" t="str">
        <f>IF(R15&lt;&gt;"",Resources!P22,"")</f>
        <v/>
      </c>
      <c r="S16" s="149" t="str">
        <f>IF(S15&lt;&gt;"",Resources!Q22,"")</f>
        <v/>
      </c>
      <c r="T16" s="161" t="str">
        <f>IF(T15&lt;&gt;"",Resources!R22,"")</f>
        <v/>
      </c>
      <c r="U16" s="149" t="str">
        <f>IF(U15&lt;&gt;"",Resources!S22,"")</f>
        <v/>
      </c>
      <c r="V16" s="161" t="str">
        <f>IF(V15&lt;&gt;"",Resources!T22,"")</f>
        <v/>
      </c>
      <c r="W16" s="149" t="str">
        <f>IF(W15&lt;&gt;"",Resources!U22,"")</f>
        <v/>
      </c>
      <c r="X16" s="158" t="str">
        <f>IF(X15&lt;&gt;"",Resources!V22,"")</f>
        <v/>
      </c>
    </row>
    <row r="17" spans="2:24" ht="16.5" customHeight="1" thickTop="1" thickBot="1" x14ac:dyDescent="0.3">
      <c r="B17" s="259"/>
      <c r="C17" s="261" t="s">
        <v>75</v>
      </c>
      <c r="D17" s="114" t="s">
        <v>63</v>
      </c>
      <c r="E17" s="140">
        <v>0</v>
      </c>
      <c r="F17" s="63"/>
      <c r="G17" s="147"/>
      <c r="H17" s="63"/>
      <c r="I17" s="147"/>
      <c r="J17" s="63"/>
      <c r="K17" s="147"/>
      <c r="L17" s="63"/>
      <c r="M17" s="147"/>
      <c r="N17" s="63"/>
      <c r="O17" s="147"/>
      <c r="P17" s="63"/>
      <c r="Q17" s="147"/>
      <c r="R17" s="63"/>
      <c r="S17" s="147"/>
      <c r="T17" s="63"/>
      <c r="U17" s="147"/>
      <c r="V17" s="63"/>
      <c r="W17" s="147"/>
      <c r="X17" s="65"/>
    </row>
    <row r="18" spans="2:24" ht="16.5" thickTop="1" thickBot="1" x14ac:dyDescent="0.3">
      <c r="B18" s="259"/>
      <c r="C18" s="263"/>
      <c r="D18" s="114" t="s">
        <v>74</v>
      </c>
      <c r="E18" s="140">
        <f>IF(E17&lt;&gt;"",Resources!C33,"")</f>
        <v>0</v>
      </c>
      <c r="F18" s="63" t="str">
        <f>IF(F17&lt;&gt;"",Resources!D33,"")</f>
        <v/>
      </c>
      <c r="G18" s="147" t="str">
        <f>IF(G17&lt;&gt;"",Resources!E33,"")</f>
        <v/>
      </c>
      <c r="H18" s="63" t="str">
        <f>IF(H17&lt;&gt;"",Resources!F33,"")</f>
        <v/>
      </c>
      <c r="I18" s="147" t="str">
        <f>IF(I17&lt;&gt;"",Resources!G33,"")</f>
        <v/>
      </c>
      <c r="J18" s="63" t="str">
        <f>IF(J17&lt;&gt;"",Resources!H33,"")</f>
        <v/>
      </c>
      <c r="K18" s="147" t="str">
        <f>IF(K17&lt;&gt;"",Resources!I33,"")</f>
        <v/>
      </c>
      <c r="L18" s="63" t="str">
        <f>IF(L17&lt;&gt;"",Resources!J33,"")</f>
        <v/>
      </c>
      <c r="M18" s="147" t="str">
        <f>IF(M17&lt;&gt;"",Resources!K33,"")</f>
        <v/>
      </c>
      <c r="N18" s="63" t="str">
        <f>IF(N17&lt;&gt;"",Resources!L33,"")</f>
        <v/>
      </c>
      <c r="O18" s="147" t="str">
        <f>IF(O17&lt;&gt;"",Resources!M33,"")</f>
        <v/>
      </c>
      <c r="P18" s="63" t="str">
        <f>IF(P17&lt;&gt;"",Resources!N33,"")</f>
        <v/>
      </c>
      <c r="Q18" s="147" t="str">
        <f>IF(Q17&lt;&gt;"",Resources!O33,"")</f>
        <v/>
      </c>
      <c r="R18" s="63" t="str">
        <f>IF(R17&lt;&gt;"",Resources!P33,"")</f>
        <v/>
      </c>
      <c r="S18" s="147" t="str">
        <f>IF(S17&lt;&gt;"",Resources!Q33,"")</f>
        <v/>
      </c>
      <c r="T18" s="63" t="str">
        <f>IF(T17&lt;&gt;"",Resources!R33,"")</f>
        <v/>
      </c>
      <c r="U18" s="147" t="str">
        <f>IF(U17&lt;&gt;"",Resources!S33,"")</f>
        <v/>
      </c>
      <c r="V18" s="63" t="str">
        <f>IF(V17&lt;&gt;"",Resources!T33,"")</f>
        <v/>
      </c>
      <c r="W18" s="147" t="str">
        <f>IF(W17&lt;&gt;"",Resources!U33,"")</f>
        <v/>
      </c>
      <c r="X18" s="65" t="str">
        <f>IF(X17&lt;&gt;"",Resources!V33,"")</f>
        <v/>
      </c>
    </row>
    <row r="19" spans="2:24" ht="16.5" thickTop="1" thickBot="1" x14ac:dyDescent="0.3">
      <c r="B19" s="259"/>
      <c r="C19" s="125" t="s">
        <v>40</v>
      </c>
      <c r="D19" s="113" t="s">
        <v>63</v>
      </c>
      <c r="E19" s="140">
        <v>0</v>
      </c>
      <c r="F19" s="63"/>
      <c r="G19" s="147"/>
      <c r="H19" s="63"/>
      <c r="I19" s="147"/>
      <c r="J19" s="63"/>
      <c r="K19" s="147"/>
      <c r="L19" s="63"/>
      <c r="M19" s="147"/>
      <c r="N19" s="63"/>
      <c r="O19" s="147"/>
      <c r="P19" s="63"/>
      <c r="Q19" s="147"/>
      <c r="R19" s="63"/>
      <c r="S19" s="147"/>
      <c r="T19" s="63"/>
      <c r="U19" s="147"/>
      <c r="V19" s="63"/>
      <c r="W19" s="147"/>
      <c r="X19" s="65"/>
    </row>
    <row r="20" spans="2:24" ht="15" customHeight="1" thickTop="1" thickBot="1" x14ac:dyDescent="0.3">
      <c r="B20" s="259"/>
      <c r="C20" s="261" t="s">
        <v>43</v>
      </c>
      <c r="D20" s="114" t="s">
        <v>63</v>
      </c>
      <c r="E20" s="140">
        <v>0</v>
      </c>
      <c r="F20" s="63"/>
      <c r="G20" s="147"/>
      <c r="H20" s="63"/>
      <c r="I20" s="147"/>
      <c r="J20" s="63"/>
      <c r="K20" s="147"/>
      <c r="L20" s="63"/>
      <c r="M20" s="147"/>
      <c r="N20" s="63"/>
      <c r="O20" s="147"/>
      <c r="P20" s="63"/>
      <c r="Q20" s="147"/>
      <c r="R20" s="63"/>
      <c r="S20" s="147"/>
      <c r="T20" s="63"/>
      <c r="U20" s="147"/>
      <c r="V20" s="63"/>
      <c r="W20" s="147"/>
      <c r="X20" s="65"/>
    </row>
    <row r="21" spans="2:24" ht="16.5" thickTop="1" thickBot="1" x14ac:dyDescent="0.3">
      <c r="B21" s="259"/>
      <c r="C21" s="262"/>
      <c r="D21" s="114" t="s">
        <v>68</v>
      </c>
      <c r="E21" s="147">
        <f>IF(E20="","",IF(E20=0,10000,IF(E20&lt;&gt;"",INDEX(Details!$C$4:$C$18,MATCH(E20,Details!$B$4:$B$18,0),MATCH($D21,Details!$C$3,0)),"")))</f>
        <v>10000</v>
      </c>
      <c r="F21" s="63" t="str">
        <f>IF(F20="","",IF(F20=0,10000,IF(F20&lt;&gt;"",INDEX(Details!$C$4:$C$18,MATCH(F20,Details!$B$4:$B$18,0),MATCH($D21,Details!$C$3,0)),"")))</f>
        <v/>
      </c>
      <c r="G21" s="147" t="str">
        <f>IF(G20="","",IF(G20=0,10000,IF(G20&lt;&gt;"",INDEX(Details!$C$4:$C$18,MATCH(G20,Details!$B$4:$B$18,0),MATCH($D21,Details!$C$3,0)),"")))</f>
        <v/>
      </c>
      <c r="H21" s="63" t="str">
        <f>IF(H20="","",IF(H20=0,10000,IF(H20&lt;&gt;"",INDEX(Details!$C$4:$C$18,MATCH(H20,Details!$B$4:$B$18,0),MATCH($D21,Details!$C$3,0)),"")))</f>
        <v/>
      </c>
      <c r="I21" s="147" t="str">
        <f>IF(I20="","",IF(I20=0,10000,IF(I20&lt;&gt;"",INDEX(Details!$C$4:$C$18,MATCH(I20,Details!$B$4:$B$18,0),MATCH($D21,Details!$C$3,0)),"")))</f>
        <v/>
      </c>
      <c r="J21" s="63" t="str">
        <f>IF(J20="","",IF(J20=0,10000,IF(J20&lt;&gt;"",INDEX(Details!$C$4:$C$18,MATCH(J20,Details!$B$4:$B$18,0),MATCH($D21,Details!$C$3,0)),"")))</f>
        <v/>
      </c>
      <c r="K21" s="147" t="str">
        <f>IF(K20="","",IF(K20=0,10000,IF(K20&lt;&gt;"",INDEX(Details!$C$4:$C$18,MATCH(K20,Details!$B$4:$B$18,0),MATCH($D21,Details!$C$3,0)),"")))</f>
        <v/>
      </c>
      <c r="L21" s="63" t="str">
        <f>IF(L20="","",IF(L20=0,10000,IF(L20&lt;&gt;"",INDEX(Details!$C$4:$C$18,MATCH(L20,Details!$B$4:$B$18,0),MATCH($D21,Details!$C$3,0)),"")))</f>
        <v/>
      </c>
      <c r="M21" s="147" t="str">
        <f>IF(M20="","",IF(M20=0,10000,IF(M20&lt;&gt;"",INDEX(Details!$C$4:$C$18,MATCH(M20,Details!$B$4:$B$18,0),MATCH($D21,Details!$C$3,0)),"")))</f>
        <v/>
      </c>
      <c r="N21" s="63" t="str">
        <f>IF(N20="","",IF(N20=0,10000,IF(N20&lt;&gt;"",INDEX(Details!$C$4:$C$18,MATCH(N20,Details!$B$4:$B$18,0),MATCH($D21,Details!$C$3,0)),"")))</f>
        <v/>
      </c>
      <c r="O21" s="147" t="str">
        <f>IF(O20="","",IF(O20=0,10000,IF(O20&lt;&gt;"",INDEX(Details!$C$4:$C$18,MATCH(O20,Details!$B$4:$B$18,0),MATCH($D21,Details!$C$3,0)),"")))</f>
        <v/>
      </c>
      <c r="P21" s="63" t="str">
        <f>IF(P20="","",IF(P20=0,10000,IF(P20&lt;&gt;"",INDEX(Details!$C$4:$C$18,MATCH(P20,Details!$B$4:$B$18,0),MATCH($D21,Details!$C$3,0)),"")))</f>
        <v/>
      </c>
      <c r="Q21" s="147" t="str">
        <f>IF(Q20="","",IF(Q20=0,10000,IF(Q20&lt;&gt;"",INDEX(Details!$C$4:$C$18,MATCH(Q20,Details!$B$4:$B$18,0),MATCH($D21,Details!$C$3,0)),"")))</f>
        <v/>
      </c>
      <c r="R21" s="63" t="str">
        <f>IF(R20="","",IF(R20=0,10000,IF(R20&lt;&gt;"",INDEX(Details!$C$4:$C$18,MATCH(R20,Details!$B$4:$B$18,0),MATCH($D21,Details!$C$3,0)),"")))</f>
        <v/>
      </c>
      <c r="S21" s="147" t="str">
        <f>IF(S20="","",IF(S20=0,10000,IF(S20&lt;&gt;"",INDEX(Details!$C$4:$C$18,MATCH(S20,Details!$B$4:$B$18,0),MATCH($D21,Details!$C$3,0)),"")))</f>
        <v/>
      </c>
      <c r="T21" s="63" t="str">
        <f>IF(T20="","",IF(T20=0,10000,IF(T20&lt;&gt;"",INDEX(Details!$C$4:$C$18,MATCH(T20,Details!$B$4:$B$18,0),MATCH($D21,Details!$C$3,0)),"")))</f>
        <v/>
      </c>
      <c r="U21" s="147" t="str">
        <f>IF(U20="","",IF(U20=0,10000,IF(U20&lt;&gt;"",INDEX(Details!$C$4:$C$18,MATCH(U20,Details!$B$4:$B$18,0),MATCH($D21,Details!$C$3,0)),"")))</f>
        <v/>
      </c>
      <c r="V21" s="63" t="str">
        <f>IF(V20="","",IF(V20=0,10000,IF(V20&lt;&gt;"",INDEX(Details!$C$4:$C$18,MATCH(V20,Details!$B$4:$B$18,0),MATCH($D21,Details!$C$3,0)),"")))</f>
        <v/>
      </c>
      <c r="W21" s="147" t="str">
        <f>IF(W20="","",IF(W20=0,10000,IF(W20&lt;&gt;"",INDEX(Details!$C$4:$C$18,MATCH(W20,Details!$B$4:$B$18,0),MATCH($D21,Details!$C$3,0)),"")))</f>
        <v/>
      </c>
      <c r="X21" s="65" t="str">
        <f>IF(X20="","",IF(X20=0,10000,IF(X20&lt;&gt;"",INDEX(Details!$C$4:$C$18,MATCH(X20,Details!$B$4:$B$18,0),MATCH($D21,Details!$C$3,0)),"")))</f>
        <v/>
      </c>
    </row>
    <row r="22" spans="2:24" ht="16.5" thickTop="1" thickBot="1" x14ac:dyDescent="0.3">
      <c r="B22" s="259"/>
      <c r="C22" s="263"/>
      <c r="D22" s="114" t="s">
        <v>64</v>
      </c>
      <c r="E22" s="140" t="s">
        <v>180</v>
      </c>
      <c r="F22" s="63" t="s">
        <v>180</v>
      </c>
      <c r="G22" s="147" t="s">
        <v>180</v>
      </c>
      <c r="H22" s="63" t="s">
        <v>180</v>
      </c>
      <c r="I22" s="147" t="s">
        <v>180</v>
      </c>
      <c r="J22" s="63" t="s">
        <v>180</v>
      </c>
      <c r="K22" s="147" t="s">
        <v>180</v>
      </c>
      <c r="L22" s="63" t="s">
        <v>180</v>
      </c>
      <c r="M22" s="147" t="s">
        <v>180</v>
      </c>
      <c r="N22" s="63" t="s">
        <v>180</v>
      </c>
      <c r="O22" s="147" t="s">
        <v>180</v>
      </c>
      <c r="P22" s="63" t="s">
        <v>180</v>
      </c>
      <c r="Q22" s="147" t="s">
        <v>180</v>
      </c>
      <c r="R22" s="63" t="s">
        <v>180</v>
      </c>
      <c r="S22" s="147" t="s">
        <v>180</v>
      </c>
      <c r="T22" s="63" t="s">
        <v>180</v>
      </c>
      <c r="U22" s="147" t="s">
        <v>180</v>
      </c>
      <c r="V22" s="63" t="s">
        <v>180</v>
      </c>
      <c r="W22" s="147" t="s">
        <v>180</v>
      </c>
      <c r="X22" s="65" t="s">
        <v>180</v>
      </c>
    </row>
    <row r="23" spans="2:24" ht="15" customHeight="1" thickTop="1" thickBot="1" x14ac:dyDescent="0.3">
      <c r="B23" s="259"/>
      <c r="C23" s="261" t="s">
        <v>44</v>
      </c>
      <c r="D23" s="114" t="s">
        <v>63</v>
      </c>
      <c r="E23" s="140">
        <v>0</v>
      </c>
      <c r="F23" s="63"/>
      <c r="G23" s="147"/>
      <c r="H23" s="63"/>
      <c r="I23" s="147"/>
      <c r="J23" s="63"/>
      <c r="K23" s="147"/>
      <c r="L23" s="63"/>
      <c r="M23" s="147"/>
      <c r="N23" s="63"/>
      <c r="O23" s="147"/>
      <c r="P23" s="63"/>
      <c r="Q23" s="147"/>
      <c r="R23" s="63"/>
      <c r="S23" s="147"/>
      <c r="T23" s="63"/>
      <c r="U23" s="147"/>
      <c r="V23" s="63"/>
      <c r="W23" s="147"/>
      <c r="X23" s="65"/>
    </row>
    <row r="24" spans="2:24" ht="16.5" thickTop="1" thickBot="1" x14ac:dyDescent="0.3">
      <c r="B24" s="259"/>
      <c r="C24" s="262"/>
      <c r="D24" s="114" t="s">
        <v>68</v>
      </c>
      <c r="E24" s="147">
        <f>IF(E23="","",IF(E23=0,10000,IF(E23&lt;&gt;"",INDEX(Details!$C$4:$C$18,MATCH(E23,Details!$B$4:$B$18,0),MATCH($D24,Details!$C$3,0)),"")))</f>
        <v>10000</v>
      </c>
      <c r="F24" s="63" t="str">
        <f>IF(F23="","",IF(F23=0,10000,IF(F23&lt;&gt;"",INDEX(Details!$C$4:$C$18,MATCH(F23,Details!$B$4:$B$18,0),MATCH($D24,Details!$C$3,0)),"")))</f>
        <v/>
      </c>
      <c r="G24" s="147" t="str">
        <f>IF(G23="","",IF(G23=0,10000,IF(G23&lt;&gt;"",INDEX(Details!$C$4:$C$18,MATCH(G23,Details!$B$4:$B$18,0),MATCH($D24,Details!$C$3,0)),"")))</f>
        <v/>
      </c>
      <c r="H24" s="63" t="str">
        <f>IF(H23="","",IF(H23=0,10000,IF(H23&lt;&gt;"",INDEX(Details!$C$4:$C$18,MATCH(H23,Details!$B$4:$B$18,0),MATCH($D24,Details!$C$3,0)),"")))</f>
        <v/>
      </c>
      <c r="I24" s="147" t="str">
        <f>IF(I23="","",IF(I23=0,10000,IF(I23&lt;&gt;"",INDEX(Details!$C$4:$C$18,MATCH(I23,Details!$B$4:$B$18,0),MATCH($D24,Details!$C$3,0)),"")))</f>
        <v/>
      </c>
      <c r="J24" s="63" t="str">
        <f>IF(J23="","",IF(J23=0,10000,IF(J23&lt;&gt;"",INDEX(Details!$C$4:$C$18,MATCH(J23,Details!$B$4:$B$18,0),MATCH($D24,Details!$C$3,0)),"")))</f>
        <v/>
      </c>
      <c r="K24" s="147" t="str">
        <f>IF(K23="","",IF(K23=0,10000,IF(K23&lt;&gt;"",INDEX(Details!$C$4:$C$18,MATCH(K23,Details!$B$4:$B$18,0),MATCH($D24,Details!$C$3,0)),"")))</f>
        <v/>
      </c>
      <c r="L24" s="63" t="str">
        <f>IF(L23="","",IF(L23=0,10000,IF(L23&lt;&gt;"",INDEX(Details!$C$4:$C$18,MATCH(L23,Details!$B$4:$B$18,0),MATCH($D24,Details!$C$3,0)),"")))</f>
        <v/>
      </c>
      <c r="M24" s="147" t="str">
        <f>IF(M23="","",IF(M23=0,10000,IF(M23&lt;&gt;"",INDEX(Details!$C$4:$C$18,MATCH(M23,Details!$B$4:$B$18,0),MATCH($D24,Details!$C$3,0)),"")))</f>
        <v/>
      </c>
      <c r="N24" s="63" t="str">
        <f>IF(N23="","",IF(N23=0,10000,IF(N23&lt;&gt;"",INDEX(Details!$C$4:$C$18,MATCH(N23,Details!$B$4:$B$18,0),MATCH($D24,Details!$C$3,0)),"")))</f>
        <v/>
      </c>
      <c r="O24" s="147" t="str">
        <f>IF(O23="","",IF(O23=0,10000,IF(O23&lt;&gt;"",INDEX(Details!$C$4:$C$18,MATCH(O23,Details!$B$4:$B$18,0),MATCH($D24,Details!$C$3,0)),"")))</f>
        <v/>
      </c>
      <c r="P24" s="63" t="str">
        <f>IF(P23="","",IF(P23=0,10000,IF(P23&lt;&gt;"",INDEX(Details!$C$4:$C$18,MATCH(P23,Details!$B$4:$B$18,0),MATCH($D24,Details!$C$3,0)),"")))</f>
        <v/>
      </c>
      <c r="Q24" s="147" t="str">
        <f>IF(Q23="","",IF(Q23=0,10000,IF(Q23&lt;&gt;"",INDEX(Details!$C$4:$C$18,MATCH(Q23,Details!$B$4:$B$18,0),MATCH($D24,Details!$C$3,0)),"")))</f>
        <v/>
      </c>
      <c r="R24" s="63" t="str">
        <f>IF(R23="","",IF(R23=0,10000,IF(R23&lt;&gt;"",INDEX(Details!$C$4:$C$18,MATCH(R23,Details!$B$4:$B$18,0),MATCH($D24,Details!$C$3,0)),"")))</f>
        <v/>
      </c>
      <c r="S24" s="147" t="str">
        <f>IF(S23="","",IF(S23=0,10000,IF(S23&lt;&gt;"",INDEX(Details!$C$4:$C$18,MATCH(S23,Details!$B$4:$B$18,0),MATCH($D24,Details!$C$3,0)),"")))</f>
        <v/>
      </c>
      <c r="T24" s="63" t="str">
        <f>IF(T23="","",IF(T23=0,10000,IF(T23&lt;&gt;"",INDEX(Details!$C$4:$C$18,MATCH(T23,Details!$B$4:$B$18,0),MATCH($D24,Details!$C$3,0)),"")))</f>
        <v/>
      </c>
      <c r="U24" s="147" t="str">
        <f>IF(U23="","",IF(U23=0,10000,IF(U23&lt;&gt;"",INDEX(Details!$C$4:$C$18,MATCH(U23,Details!$B$4:$B$18,0),MATCH($D24,Details!$C$3,0)),"")))</f>
        <v/>
      </c>
      <c r="V24" s="63" t="str">
        <f>IF(V23="","",IF(V23=0,10000,IF(V23&lt;&gt;"",INDEX(Details!$C$4:$C$18,MATCH(V23,Details!$B$4:$B$18,0),MATCH($D24,Details!$C$3,0)),"")))</f>
        <v/>
      </c>
      <c r="W24" s="147" t="str">
        <f>IF(W23="","",IF(W23=0,10000,IF(W23&lt;&gt;"",INDEX(Details!$C$4:$C$18,MATCH(W23,Details!$B$4:$B$18,0),MATCH($D24,Details!$C$3,0)),"")))</f>
        <v/>
      </c>
      <c r="X24" s="65" t="str">
        <f>IF(X23="","",IF(X23=0,10000,IF(X23&lt;&gt;"",INDEX(Details!$C$4:$C$18,MATCH(X23,Details!$B$4:$B$18,0),MATCH($D24,Details!$C$3,0)),"")))</f>
        <v/>
      </c>
    </row>
    <row r="25" spans="2:24" ht="16.5" thickTop="1" thickBot="1" x14ac:dyDescent="0.3">
      <c r="B25" s="259"/>
      <c r="C25" s="263"/>
      <c r="D25" s="114" t="s">
        <v>64</v>
      </c>
      <c r="E25" s="140" t="s">
        <v>180</v>
      </c>
      <c r="F25" s="63" t="s">
        <v>180</v>
      </c>
      <c r="G25" s="147" t="s">
        <v>180</v>
      </c>
      <c r="H25" s="63" t="s">
        <v>180</v>
      </c>
      <c r="I25" s="147" t="s">
        <v>180</v>
      </c>
      <c r="J25" s="63" t="s">
        <v>180</v>
      </c>
      <c r="K25" s="147" t="s">
        <v>180</v>
      </c>
      <c r="L25" s="63" t="s">
        <v>180</v>
      </c>
      <c r="M25" s="147" t="s">
        <v>180</v>
      </c>
      <c r="N25" s="63" t="s">
        <v>180</v>
      </c>
      <c r="O25" s="147" t="s">
        <v>180</v>
      </c>
      <c r="P25" s="63" t="s">
        <v>180</v>
      </c>
      <c r="Q25" s="147" t="s">
        <v>180</v>
      </c>
      <c r="R25" s="63" t="s">
        <v>180</v>
      </c>
      <c r="S25" s="147" t="s">
        <v>180</v>
      </c>
      <c r="T25" s="63" t="s">
        <v>180</v>
      </c>
      <c r="U25" s="147" t="s">
        <v>180</v>
      </c>
      <c r="V25" s="63" t="s">
        <v>180</v>
      </c>
      <c r="W25" s="147" t="s">
        <v>180</v>
      </c>
      <c r="X25" s="65" t="s">
        <v>180</v>
      </c>
    </row>
    <row r="26" spans="2:24" ht="15" customHeight="1" thickTop="1" thickBot="1" x14ac:dyDescent="0.3">
      <c r="B26" s="259"/>
      <c r="C26" s="261" t="s">
        <v>45</v>
      </c>
      <c r="D26" s="114" t="s">
        <v>63</v>
      </c>
      <c r="E26" s="140">
        <v>0</v>
      </c>
      <c r="F26" s="63"/>
      <c r="G26" s="147"/>
      <c r="H26" s="63"/>
      <c r="I26" s="147"/>
      <c r="J26" s="63"/>
      <c r="K26" s="147"/>
      <c r="L26" s="63"/>
      <c r="M26" s="147"/>
      <c r="N26" s="63"/>
      <c r="O26" s="147"/>
      <c r="P26" s="63"/>
      <c r="Q26" s="147"/>
      <c r="R26" s="63"/>
      <c r="S26" s="147"/>
      <c r="T26" s="63"/>
      <c r="U26" s="147"/>
      <c r="V26" s="63"/>
      <c r="W26" s="147"/>
      <c r="X26" s="65"/>
    </row>
    <row r="27" spans="2:24" ht="16.5" thickTop="1" thickBot="1" x14ac:dyDescent="0.3">
      <c r="B27" s="259"/>
      <c r="C27" s="262"/>
      <c r="D27" s="114" t="s">
        <v>68</v>
      </c>
      <c r="E27" s="147">
        <f>IF(E26="","",IF(E26=0,10000,IF(E26&lt;&gt;"",INDEX(Details!$C$4:$C$18,MATCH(E26,Details!$B$4:$B$18,0),MATCH($D27,Details!$C$3,0)),"")))</f>
        <v>10000</v>
      </c>
      <c r="F27" s="63" t="str">
        <f>IF(F26="","",IF(F26=0,10000,IF(F26&lt;&gt;"",INDEX(Details!$C$4:$C$18,MATCH(F26,Details!$B$4:$B$18,0),MATCH($D27,Details!$C$3,0)),"")))</f>
        <v/>
      </c>
      <c r="G27" s="147" t="str">
        <f>IF(G26="","",IF(G26=0,10000,IF(G26&lt;&gt;"",INDEX(Details!$C$4:$C$18,MATCH(G26,Details!$B$4:$B$18,0),MATCH($D27,Details!$C$3,0)),"")))</f>
        <v/>
      </c>
      <c r="H27" s="63" t="str">
        <f>IF(H26="","",IF(H26=0,10000,IF(H26&lt;&gt;"",INDEX(Details!$C$4:$C$18,MATCH(H26,Details!$B$4:$B$18,0),MATCH($D27,Details!$C$3,0)),"")))</f>
        <v/>
      </c>
      <c r="I27" s="147" t="str">
        <f>IF(I26="","",IF(I26=0,10000,IF(I26&lt;&gt;"",INDEX(Details!$C$4:$C$18,MATCH(I26,Details!$B$4:$B$18,0),MATCH($D27,Details!$C$3,0)),"")))</f>
        <v/>
      </c>
      <c r="J27" s="63" t="str">
        <f>IF(J26="","",IF(J26=0,10000,IF(J26&lt;&gt;"",INDEX(Details!$C$4:$C$18,MATCH(J26,Details!$B$4:$B$18,0),MATCH($D27,Details!$C$3,0)),"")))</f>
        <v/>
      </c>
      <c r="K27" s="147" t="str">
        <f>IF(K26="","",IF(K26=0,10000,IF(K26&lt;&gt;"",INDEX(Details!$C$4:$C$18,MATCH(K26,Details!$B$4:$B$18,0),MATCH($D27,Details!$C$3,0)),"")))</f>
        <v/>
      </c>
      <c r="L27" s="63" t="str">
        <f>IF(L26="","",IF(L26=0,10000,IF(L26&lt;&gt;"",INDEX(Details!$C$4:$C$18,MATCH(L26,Details!$B$4:$B$18,0),MATCH($D27,Details!$C$3,0)),"")))</f>
        <v/>
      </c>
      <c r="M27" s="147" t="str">
        <f>IF(M26="","",IF(M26=0,10000,IF(M26&lt;&gt;"",INDEX(Details!$C$4:$C$18,MATCH(M26,Details!$B$4:$B$18,0),MATCH($D27,Details!$C$3,0)),"")))</f>
        <v/>
      </c>
      <c r="N27" s="63" t="str">
        <f>IF(N26="","",IF(N26=0,10000,IF(N26&lt;&gt;"",INDEX(Details!$C$4:$C$18,MATCH(N26,Details!$B$4:$B$18,0),MATCH($D27,Details!$C$3,0)),"")))</f>
        <v/>
      </c>
      <c r="O27" s="147" t="str">
        <f>IF(O26="","",IF(O26=0,10000,IF(O26&lt;&gt;"",INDEX(Details!$C$4:$C$18,MATCH(O26,Details!$B$4:$B$18,0),MATCH($D27,Details!$C$3,0)),"")))</f>
        <v/>
      </c>
      <c r="P27" s="63" t="str">
        <f>IF(P26="","",IF(P26=0,10000,IF(P26&lt;&gt;"",INDEX(Details!$C$4:$C$18,MATCH(P26,Details!$B$4:$B$18,0),MATCH($D27,Details!$C$3,0)),"")))</f>
        <v/>
      </c>
      <c r="Q27" s="147" t="str">
        <f>IF(Q26="","",IF(Q26=0,10000,IF(Q26&lt;&gt;"",INDEX(Details!$C$4:$C$18,MATCH(Q26,Details!$B$4:$B$18,0),MATCH($D27,Details!$C$3,0)),"")))</f>
        <v/>
      </c>
      <c r="R27" s="63" t="str">
        <f>IF(R26="","",IF(R26=0,10000,IF(R26&lt;&gt;"",INDEX(Details!$C$4:$C$18,MATCH(R26,Details!$B$4:$B$18,0),MATCH($D27,Details!$C$3,0)),"")))</f>
        <v/>
      </c>
      <c r="S27" s="147" t="str">
        <f>IF(S26="","",IF(S26=0,10000,IF(S26&lt;&gt;"",INDEX(Details!$C$4:$C$18,MATCH(S26,Details!$B$4:$B$18,0),MATCH($D27,Details!$C$3,0)),"")))</f>
        <v/>
      </c>
      <c r="T27" s="63" t="str">
        <f>IF(T26="","",IF(T26=0,10000,IF(T26&lt;&gt;"",INDEX(Details!$C$4:$C$18,MATCH(T26,Details!$B$4:$B$18,0),MATCH($D27,Details!$C$3,0)),"")))</f>
        <v/>
      </c>
      <c r="U27" s="147" t="str">
        <f>IF(U26="","",IF(U26=0,10000,IF(U26&lt;&gt;"",INDEX(Details!$C$4:$C$18,MATCH(U26,Details!$B$4:$B$18,0),MATCH($D27,Details!$C$3,0)),"")))</f>
        <v/>
      </c>
      <c r="V27" s="63" t="str">
        <f>IF(V26="","",IF(V26=0,10000,IF(V26&lt;&gt;"",INDEX(Details!$C$4:$C$18,MATCH(V26,Details!$B$4:$B$18,0),MATCH($D27,Details!$C$3,0)),"")))</f>
        <v/>
      </c>
      <c r="W27" s="147" t="str">
        <f>IF(W26="","",IF(W26=0,10000,IF(W26&lt;&gt;"",INDEX(Details!$C$4:$C$18,MATCH(W26,Details!$B$4:$B$18,0),MATCH($D27,Details!$C$3,0)),"")))</f>
        <v/>
      </c>
      <c r="X27" s="65" t="str">
        <f>IF(X26="","",IF(X26=0,10000,IF(X26&lt;&gt;"",INDEX(Details!$C$4:$C$18,MATCH(X26,Details!$B$4:$B$18,0),MATCH($D27,Details!$C$3,0)),"")))</f>
        <v/>
      </c>
    </row>
    <row r="28" spans="2:24" ht="16.5" thickTop="1" thickBot="1" x14ac:dyDescent="0.3">
      <c r="B28" s="259"/>
      <c r="C28" s="263"/>
      <c r="D28" s="114" t="s">
        <v>64</v>
      </c>
      <c r="E28" s="140" t="s">
        <v>180</v>
      </c>
      <c r="F28" s="63" t="s">
        <v>180</v>
      </c>
      <c r="G28" s="147" t="s">
        <v>180</v>
      </c>
      <c r="H28" s="63" t="s">
        <v>180</v>
      </c>
      <c r="I28" s="147" t="s">
        <v>180</v>
      </c>
      <c r="J28" s="63" t="s">
        <v>180</v>
      </c>
      <c r="K28" s="147" t="s">
        <v>180</v>
      </c>
      <c r="L28" s="63" t="s">
        <v>180</v>
      </c>
      <c r="M28" s="147" t="s">
        <v>180</v>
      </c>
      <c r="N28" s="63" t="s">
        <v>180</v>
      </c>
      <c r="O28" s="147" t="s">
        <v>180</v>
      </c>
      <c r="P28" s="63" t="s">
        <v>180</v>
      </c>
      <c r="Q28" s="147" t="s">
        <v>180</v>
      </c>
      <c r="R28" s="63" t="s">
        <v>180</v>
      </c>
      <c r="S28" s="147" t="s">
        <v>180</v>
      </c>
      <c r="T28" s="63" t="s">
        <v>180</v>
      </c>
      <c r="U28" s="147" t="s">
        <v>180</v>
      </c>
      <c r="V28" s="63" t="s">
        <v>180</v>
      </c>
      <c r="W28" s="147" t="s">
        <v>180</v>
      </c>
      <c r="X28" s="65" t="s">
        <v>180</v>
      </c>
    </row>
    <row r="29" spans="2:24" s="126" customFormat="1" ht="16.5" thickTop="1" thickBot="1" x14ac:dyDescent="0.3">
      <c r="B29" s="260"/>
      <c r="C29" s="241" t="s">
        <v>186</v>
      </c>
      <c r="D29" s="242" t="s">
        <v>63</v>
      </c>
      <c r="E29" s="144"/>
      <c r="F29" s="162"/>
      <c r="G29" s="148"/>
      <c r="H29" s="162"/>
      <c r="I29" s="148"/>
      <c r="J29" s="162"/>
      <c r="K29" s="148"/>
      <c r="L29" s="162"/>
      <c r="M29" s="148"/>
      <c r="N29" s="162"/>
      <c r="O29" s="148"/>
      <c r="P29" s="162"/>
      <c r="Q29" s="148"/>
      <c r="R29" s="162"/>
      <c r="S29" s="148"/>
      <c r="T29" s="162"/>
      <c r="U29" s="148"/>
      <c r="V29" s="162"/>
      <c r="W29" s="148"/>
      <c r="X29" s="159"/>
    </row>
    <row r="30" spans="2:24" ht="16.5" thickTop="1" thickBot="1" x14ac:dyDescent="0.3"/>
    <row r="31" spans="2:24" ht="31.5" thickTop="1" thickBot="1" x14ac:dyDescent="0.3">
      <c r="B31" s="257" t="s">
        <v>80</v>
      </c>
      <c r="C31" s="256" t="s">
        <v>70</v>
      </c>
      <c r="D31" s="256"/>
      <c r="E31" s="145" t="str">
        <f>IF(E3&lt;&gt;"",E3," ")</f>
        <v>Homeworld</v>
      </c>
      <c r="F31" s="153" t="str">
        <f t="shared" ref="F31:X31" si="4">IF(F3&lt;&gt;"",F3," ")</f>
        <v xml:space="preserve"> </v>
      </c>
      <c r="G31" s="138" t="str">
        <f t="shared" si="4"/>
        <v xml:space="preserve"> </v>
      </c>
      <c r="H31" s="153" t="str">
        <f t="shared" si="4"/>
        <v xml:space="preserve"> </v>
      </c>
      <c r="I31" s="138" t="str">
        <f t="shared" si="4"/>
        <v xml:space="preserve"> </v>
      </c>
      <c r="J31" s="153" t="str">
        <f t="shared" si="4"/>
        <v xml:space="preserve"> </v>
      </c>
      <c r="K31" s="138" t="str">
        <f t="shared" si="4"/>
        <v xml:space="preserve"> </v>
      </c>
      <c r="L31" s="153" t="str">
        <f t="shared" si="4"/>
        <v xml:space="preserve"> </v>
      </c>
      <c r="M31" s="138" t="str">
        <f t="shared" si="4"/>
        <v xml:space="preserve"> </v>
      </c>
      <c r="N31" s="153" t="str">
        <f t="shared" si="4"/>
        <v xml:space="preserve"> </v>
      </c>
      <c r="O31" s="138" t="str">
        <f t="shared" si="4"/>
        <v xml:space="preserve"> </v>
      </c>
      <c r="P31" s="153" t="str">
        <f t="shared" si="4"/>
        <v xml:space="preserve"> </v>
      </c>
      <c r="Q31" s="138" t="str">
        <f t="shared" si="4"/>
        <v xml:space="preserve"> </v>
      </c>
      <c r="R31" s="153" t="str">
        <f t="shared" si="4"/>
        <v xml:space="preserve"> </v>
      </c>
      <c r="S31" s="138" t="str">
        <f t="shared" si="4"/>
        <v xml:space="preserve"> </v>
      </c>
      <c r="T31" s="153" t="str">
        <f t="shared" si="4"/>
        <v xml:space="preserve"> </v>
      </c>
      <c r="U31" s="138" t="str">
        <f t="shared" si="4"/>
        <v xml:space="preserve"> </v>
      </c>
      <c r="V31" s="153" t="str">
        <f t="shared" si="4"/>
        <v xml:space="preserve"> </v>
      </c>
      <c r="W31" s="138" t="str">
        <f t="shared" si="4"/>
        <v xml:space="preserve"> </v>
      </c>
      <c r="X31" s="153" t="str">
        <f t="shared" si="4"/>
        <v xml:space="preserve"> </v>
      </c>
    </row>
    <row r="32" spans="2:24" ht="16.5" thickTop="1" thickBot="1" x14ac:dyDescent="0.3">
      <c r="B32" s="257"/>
      <c r="C32" s="256" t="s">
        <v>46</v>
      </c>
      <c r="D32" s="256"/>
      <c r="E32" s="142"/>
      <c r="F32" s="160"/>
      <c r="G32" s="146"/>
      <c r="H32" s="160"/>
      <c r="I32" s="146"/>
      <c r="J32" s="160"/>
      <c r="K32" s="146"/>
      <c r="L32" s="160"/>
      <c r="M32" s="146"/>
      <c r="N32" s="160"/>
      <c r="O32" s="146"/>
      <c r="P32" s="160"/>
      <c r="Q32" s="146"/>
      <c r="R32" s="160"/>
      <c r="S32" s="146"/>
      <c r="T32" s="160"/>
      <c r="U32" s="146"/>
      <c r="V32" s="160"/>
      <c r="W32" s="146"/>
      <c r="X32" s="157"/>
    </row>
    <row r="33" spans="2:24" ht="16.5" thickTop="1" thickBot="1" x14ac:dyDescent="0.3">
      <c r="B33" s="257"/>
      <c r="C33" s="256" t="s">
        <v>47</v>
      </c>
      <c r="D33" s="256"/>
      <c r="E33" s="140"/>
      <c r="F33" s="63"/>
      <c r="G33" s="147"/>
      <c r="H33" s="63"/>
      <c r="I33" s="147"/>
      <c r="J33" s="63"/>
      <c r="K33" s="147"/>
      <c r="L33" s="63"/>
      <c r="M33" s="147"/>
      <c r="N33" s="63"/>
      <c r="O33" s="147"/>
      <c r="P33" s="63"/>
      <c r="Q33" s="147"/>
      <c r="R33" s="63"/>
      <c r="S33" s="147"/>
      <c r="T33" s="63"/>
      <c r="U33" s="147"/>
      <c r="V33" s="63"/>
      <c r="W33" s="147"/>
      <c r="X33" s="65"/>
    </row>
    <row r="34" spans="2:24" ht="16.5" thickTop="1" thickBot="1" x14ac:dyDescent="0.3">
      <c r="B34" s="257"/>
      <c r="C34" s="256" t="s">
        <v>48</v>
      </c>
      <c r="D34" s="256"/>
      <c r="E34" s="140"/>
      <c r="F34" s="63"/>
      <c r="G34" s="147"/>
      <c r="H34" s="63"/>
      <c r="I34" s="147"/>
      <c r="J34" s="63"/>
      <c r="K34" s="147"/>
      <c r="L34" s="63"/>
      <c r="M34" s="147"/>
      <c r="N34" s="63"/>
      <c r="O34" s="147"/>
      <c r="P34" s="63"/>
      <c r="Q34" s="147"/>
      <c r="R34" s="63"/>
      <c r="S34" s="147"/>
      <c r="T34" s="63"/>
      <c r="U34" s="147"/>
      <c r="V34" s="63"/>
      <c r="W34" s="147"/>
      <c r="X34" s="65"/>
    </row>
    <row r="35" spans="2:24" ht="16.5" thickTop="1" thickBot="1" x14ac:dyDescent="0.3">
      <c r="B35" s="257"/>
      <c r="C35" s="256" t="s">
        <v>49</v>
      </c>
      <c r="D35" s="256"/>
      <c r="E35" s="140"/>
      <c r="F35" s="63"/>
      <c r="G35" s="147"/>
      <c r="H35" s="63"/>
      <c r="I35" s="147"/>
      <c r="J35" s="63"/>
      <c r="K35" s="147"/>
      <c r="L35" s="63"/>
      <c r="M35" s="147"/>
      <c r="N35" s="63"/>
      <c r="O35" s="147"/>
      <c r="P35" s="63"/>
      <c r="Q35" s="147"/>
      <c r="R35" s="63"/>
      <c r="S35" s="147"/>
      <c r="T35" s="63"/>
      <c r="U35" s="147"/>
      <c r="V35" s="63"/>
      <c r="W35" s="147"/>
      <c r="X35" s="65"/>
    </row>
    <row r="36" spans="2:24" ht="16.5" thickTop="1" thickBot="1" x14ac:dyDescent="0.3">
      <c r="B36" s="257"/>
      <c r="C36" s="256" t="s">
        <v>50</v>
      </c>
      <c r="D36" s="256"/>
      <c r="E36" s="140"/>
      <c r="F36" s="63"/>
      <c r="G36" s="147"/>
      <c r="H36" s="63"/>
      <c r="I36" s="147"/>
      <c r="J36" s="63"/>
      <c r="K36" s="147"/>
      <c r="L36" s="63"/>
      <c r="M36" s="147"/>
      <c r="N36" s="63"/>
      <c r="O36" s="147"/>
      <c r="P36" s="63"/>
      <c r="Q36" s="147"/>
      <c r="R36" s="63"/>
      <c r="S36" s="147"/>
      <c r="T36" s="63"/>
      <c r="U36" s="147"/>
      <c r="V36" s="63"/>
      <c r="W36" s="147"/>
      <c r="X36" s="65"/>
    </row>
    <row r="37" spans="2:24" ht="16.5" thickTop="1" thickBot="1" x14ac:dyDescent="0.3">
      <c r="B37" s="257"/>
      <c r="C37" s="256" t="s">
        <v>79</v>
      </c>
      <c r="D37" s="256"/>
      <c r="E37" s="140"/>
      <c r="F37" s="63"/>
      <c r="G37" s="147"/>
      <c r="H37" s="63"/>
      <c r="I37" s="147"/>
      <c r="J37" s="63"/>
      <c r="K37" s="147"/>
      <c r="L37" s="63"/>
      <c r="M37" s="147"/>
      <c r="N37" s="63"/>
      <c r="O37" s="147"/>
      <c r="P37" s="63"/>
      <c r="Q37" s="147"/>
      <c r="R37" s="63"/>
      <c r="S37" s="147"/>
      <c r="T37" s="63"/>
      <c r="U37" s="147"/>
      <c r="V37" s="63"/>
      <c r="W37" s="147"/>
      <c r="X37" s="65"/>
    </row>
    <row r="38" spans="2:24" ht="16.5" thickTop="1" thickBot="1" x14ac:dyDescent="0.3">
      <c r="B38" s="257"/>
      <c r="C38" s="256" t="s">
        <v>51</v>
      </c>
      <c r="D38" s="256"/>
      <c r="E38" s="144"/>
      <c r="F38" s="162"/>
      <c r="G38" s="148"/>
      <c r="H38" s="162"/>
      <c r="I38" s="148"/>
      <c r="J38" s="162"/>
      <c r="K38" s="148"/>
      <c r="L38" s="162"/>
      <c r="M38" s="148"/>
      <c r="N38" s="162"/>
      <c r="O38" s="148"/>
      <c r="P38" s="162"/>
      <c r="Q38" s="148"/>
      <c r="R38" s="162"/>
      <c r="S38" s="148"/>
      <c r="T38" s="162"/>
      <c r="U38" s="148"/>
      <c r="V38" s="162"/>
      <c r="W38" s="148"/>
      <c r="X38" s="159"/>
    </row>
    <row r="39" spans="2:24" ht="15.75" thickTop="1" x14ac:dyDescent="0.25"/>
  </sheetData>
  <mergeCells count="25">
    <mergeCell ref="B12:B29"/>
    <mergeCell ref="C26:C28"/>
    <mergeCell ref="C2:D2"/>
    <mergeCell ref="C3:D3"/>
    <mergeCell ref="C6:D6"/>
    <mergeCell ref="C7:D7"/>
    <mergeCell ref="C12:D12"/>
    <mergeCell ref="C13:C14"/>
    <mergeCell ref="C8:C9"/>
    <mergeCell ref="C4:C5"/>
    <mergeCell ref="C10:D10"/>
    <mergeCell ref="B2:B10"/>
    <mergeCell ref="C15:C16"/>
    <mergeCell ref="C17:C18"/>
    <mergeCell ref="C20:C22"/>
    <mergeCell ref="C23:C25"/>
    <mergeCell ref="C38:D38"/>
    <mergeCell ref="B31:B38"/>
    <mergeCell ref="C32:D32"/>
    <mergeCell ref="C33:D33"/>
    <mergeCell ref="C34:D34"/>
    <mergeCell ref="C35:D35"/>
    <mergeCell ref="C36:D36"/>
    <mergeCell ref="C37:D37"/>
    <mergeCell ref="C31:D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19"/>
  <sheetViews>
    <sheetView workbookViewId="0">
      <selection activeCell="B2" sqref="B2:H2"/>
    </sheetView>
  </sheetViews>
  <sheetFormatPr defaultRowHeight="15" x14ac:dyDescent="0.25"/>
  <cols>
    <col min="1" max="1" width="4.7109375" style="126" customWidth="1"/>
    <col min="2" max="8" width="3.7109375" style="126" bestFit="1" customWidth="1"/>
    <col min="9" max="9" width="3.140625" style="126" customWidth="1"/>
    <col min="10" max="16" width="3.7109375" style="126" bestFit="1" customWidth="1"/>
    <col min="17" max="17" width="2.7109375" style="126" customWidth="1"/>
    <col min="18" max="23" width="3.7109375" style="126" bestFit="1" customWidth="1"/>
    <col min="24" max="24" width="5" style="126" bestFit="1" customWidth="1"/>
    <col min="25" max="25" width="2" style="126" customWidth="1"/>
    <col min="26" max="32" width="3.7109375" style="126" bestFit="1" customWidth="1"/>
    <col min="33" max="33" width="2.85546875" style="126" customWidth="1"/>
    <col min="34" max="40" width="3.7109375" style="126" bestFit="1" customWidth="1"/>
    <col min="41" max="41" width="2.28515625" style="126" customWidth="1"/>
    <col min="42" max="48" width="3.7109375" style="126" bestFit="1" customWidth="1"/>
    <col min="49" max="49" width="3.140625" style="126" customWidth="1"/>
    <col min="50" max="56" width="3.7109375" style="126" bestFit="1" customWidth="1"/>
    <col min="57" max="57" width="3.28515625" style="126" customWidth="1"/>
    <col min="58" max="16384" width="9.140625" style="126"/>
  </cols>
  <sheetData>
    <row r="1" spans="2:80" ht="15" customHeight="1" thickBot="1" x14ac:dyDescent="0.3">
      <c r="B1" s="131"/>
      <c r="C1" s="44"/>
      <c r="D1" s="44"/>
      <c r="E1" s="44"/>
    </row>
    <row r="2" spans="2:80" ht="15" customHeight="1" thickTop="1" thickBot="1" x14ac:dyDescent="0.3">
      <c r="B2" s="275" t="str">
        <f>IF(Overview!E3&lt;&gt;"",Overview!E3," ")</f>
        <v>Homeworld</v>
      </c>
      <c r="C2" s="276"/>
      <c r="D2" s="276"/>
      <c r="E2" s="276"/>
      <c r="F2" s="276"/>
      <c r="G2" s="276"/>
      <c r="H2" s="277"/>
      <c r="J2" s="275" t="str">
        <f>IF(Overview!F3&lt;&gt;"",Overview!F3," ")</f>
        <v xml:space="preserve"> </v>
      </c>
      <c r="K2" s="276"/>
      <c r="L2" s="276"/>
      <c r="M2" s="276"/>
      <c r="N2" s="276"/>
      <c r="O2" s="276"/>
      <c r="P2" s="277"/>
      <c r="R2" s="275" t="str">
        <f>IF(Overview!G3&lt;&gt;"",Overview!G3," ")</f>
        <v xml:space="preserve"> </v>
      </c>
      <c r="S2" s="276"/>
      <c r="T2" s="276"/>
      <c r="U2" s="276"/>
      <c r="V2" s="276"/>
      <c r="W2" s="276"/>
      <c r="X2" s="277"/>
      <c r="Z2" s="275" t="str">
        <f>IF(Overview!H3&lt;&gt;"",Overview!H3," ")</f>
        <v xml:space="preserve"> </v>
      </c>
      <c r="AA2" s="276"/>
      <c r="AB2" s="276"/>
      <c r="AC2" s="276"/>
      <c r="AD2" s="276"/>
      <c r="AE2" s="276"/>
      <c r="AF2" s="277"/>
      <c r="AH2" s="275" t="str">
        <f>IF(Overview!I3&lt;&gt;"",Overview!I3," ")</f>
        <v xml:space="preserve"> </v>
      </c>
      <c r="AI2" s="276"/>
      <c r="AJ2" s="276"/>
      <c r="AK2" s="276"/>
      <c r="AL2" s="276"/>
      <c r="AM2" s="276"/>
      <c r="AN2" s="277"/>
      <c r="AP2" s="275" t="str">
        <f>IF(Overview!J3&lt;&gt;"",Overview!J3," ")</f>
        <v xml:space="preserve"> </v>
      </c>
      <c r="AQ2" s="276"/>
      <c r="AR2" s="276"/>
      <c r="AS2" s="276"/>
      <c r="AT2" s="276"/>
      <c r="AU2" s="276"/>
      <c r="AV2" s="277"/>
      <c r="AX2" s="275" t="str">
        <f>IF(Overview!K3&lt;&gt;"",Overview!K3," ")</f>
        <v xml:space="preserve"> </v>
      </c>
      <c r="AY2" s="276"/>
      <c r="AZ2" s="276"/>
      <c r="BA2" s="276"/>
      <c r="BB2" s="276"/>
      <c r="BC2" s="276"/>
      <c r="BD2" s="277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</row>
    <row r="3" spans="2:80" ht="15" customHeight="1" thickBot="1" x14ac:dyDescent="0.3">
      <c r="B3" s="271" t="s">
        <v>74</v>
      </c>
      <c r="C3" s="272"/>
      <c r="D3" s="272"/>
      <c r="E3" s="273" t="s">
        <v>68</v>
      </c>
      <c r="F3" s="273"/>
      <c r="G3" s="273"/>
      <c r="H3" s="274" t="s">
        <v>111</v>
      </c>
      <c r="J3" s="271" t="s">
        <v>74</v>
      </c>
      <c r="K3" s="272"/>
      <c r="L3" s="272"/>
      <c r="M3" s="273" t="s">
        <v>68</v>
      </c>
      <c r="N3" s="273"/>
      <c r="O3" s="273"/>
      <c r="P3" s="274" t="s">
        <v>111</v>
      </c>
      <c r="R3" s="271" t="s">
        <v>74</v>
      </c>
      <c r="S3" s="272"/>
      <c r="T3" s="272"/>
      <c r="U3" s="273" t="s">
        <v>68</v>
      </c>
      <c r="V3" s="273"/>
      <c r="W3" s="273"/>
      <c r="X3" s="274" t="s">
        <v>111</v>
      </c>
      <c r="Z3" s="271" t="s">
        <v>74</v>
      </c>
      <c r="AA3" s="272"/>
      <c r="AB3" s="272"/>
      <c r="AC3" s="273" t="s">
        <v>68</v>
      </c>
      <c r="AD3" s="273"/>
      <c r="AE3" s="273"/>
      <c r="AF3" s="274" t="s">
        <v>111</v>
      </c>
      <c r="AH3" s="271" t="s">
        <v>74</v>
      </c>
      <c r="AI3" s="272"/>
      <c r="AJ3" s="272"/>
      <c r="AK3" s="273" t="s">
        <v>68</v>
      </c>
      <c r="AL3" s="273"/>
      <c r="AM3" s="273"/>
      <c r="AN3" s="274" t="s">
        <v>111</v>
      </c>
      <c r="AP3" s="271" t="s">
        <v>74</v>
      </c>
      <c r="AQ3" s="272"/>
      <c r="AR3" s="272"/>
      <c r="AS3" s="273" t="s">
        <v>68</v>
      </c>
      <c r="AT3" s="273"/>
      <c r="AU3" s="273"/>
      <c r="AV3" s="274" t="s">
        <v>111</v>
      </c>
      <c r="AX3" s="271" t="s">
        <v>74</v>
      </c>
      <c r="AY3" s="272"/>
      <c r="AZ3" s="272"/>
      <c r="BA3" s="273" t="s">
        <v>68</v>
      </c>
      <c r="BB3" s="273"/>
      <c r="BC3" s="273"/>
      <c r="BD3" s="274" t="s">
        <v>111</v>
      </c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</row>
    <row r="4" spans="2:80" ht="47.25" thickBot="1" x14ac:dyDescent="0.3">
      <c r="B4" s="132" t="s">
        <v>0</v>
      </c>
      <c r="C4" s="133" t="s">
        <v>1</v>
      </c>
      <c r="D4" s="133" t="s">
        <v>2</v>
      </c>
      <c r="E4" s="134" t="s">
        <v>0</v>
      </c>
      <c r="F4" s="133" t="s">
        <v>1</v>
      </c>
      <c r="G4" s="133" t="s">
        <v>2</v>
      </c>
      <c r="H4" s="274"/>
      <c r="J4" s="132" t="s">
        <v>0</v>
      </c>
      <c r="K4" s="133" t="s">
        <v>1</v>
      </c>
      <c r="L4" s="133" t="s">
        <v>2</v>
      </c>
      <c r="M4" s="134" t="s">
        <v>0</v>
      </c>
      <c r="N4" s="133" t="s">
        <v>1</v>
      </c>
      <c r="O4" s="133" t="s">
        <v>2</v>
      </c>
      <c r="P4" s="274"/>
      <c r="R4" s="132" t="s">
        <v>0</v>
      </c>
      <c r="S4" s="133" t="s">
        <v>1</v>
      </c>
      <c r="T4" s="133" t="s">
        <v>2</v>
      </c>
      <c r="U4" s="134" t="s">
        <v>0</v>
      </c>
      <c r="V4" s="133" t="s">
        <v>1</v>
      </c>
      <c r="W4" s="133" t="s">
        <v>2</v>
      </c>
      <c r="X4" s="274"/>
      <c r="Z4" s="132" t="s">
        <v>0</v>
      </c>
      <c r="AA4" s="133" t="s">
        <v>1</v>
      </c>
      <c r="AB4" s="133" t="s">
        <v>2</v>
      </c>
      <c r="AC4" s="134" t="s">
        <v>0</v>
      </c>
      <c r="AD4" s="133" t="s">
        <v>1</v>
      </c>
      <c r="AE4" s="133" t="s">
        <v>2</v>
      </c>
      <c r="AF4" s="274"/>
      <c r="AH4" s="132" t="s">
        <v>0</v>
      </c>
      <c r="AI4" s="133" t="s">
        <v>1</v>
      </c>
      <c r="AJ4" s="133" t="s">
        <v>2</v>
      </c>
      <c r="AK4" s="134" t="s">
        <v>0</v>
      </c>
      <c r="AL4" s="133" t="s">
        <v>1</v>
      </c>
      <c r="AM4" s="133" t="s">
        <v>2</v>
      </c>
      <c r="AN4" s="274"/>
      <c r="AP4" s="132" t="s">
        <v>0</v>
      </c>
      <c r="AQ4" s="133" t="s">
        <v>1</v>
      </c>
      <c r="AR4" s="133" t="s">
        <v>2</v>
      </c>
      <c r="AS4" s="134" t="s">
        <v>0</v>
      </c>
      <c r="AT4" s="133" t="s">
        <v>1</v>
      </c>
      <c r="AU4" s="133" t="s">
        <v>2</v>
      </c>
      <c r="AV4" s="274"/>
      <c r="AX4" s="132" t="s">
        <v>0</v>
      </c>
      <c r="AY4" s="133" t="s">
        <v>1</v>
      </c>
      <c r="AZ4" s="133" t="s">
        <v>2</v>
      </c>
      <c r="BA4" s="134" t="s">
        <v>0</v>
      </c>
      <c r="BB4" s="133" t="s">
        <v>1</v>
      </c>
      <c r="BC4" s="133" t="s">
        <v>2</v>
      </c>
      <c r="BD4" s="274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</row>
    <row r="5" spans="2:80" ht="56.25" customHeight="1" thickBot="1" x14ac:dyDescent="0.3">
      <c r="B5" s="135">
        <f>INDEX(Overview!$E$13:$X$14,MATCH($B$3,Overview!$D$13:$D$14,0),MATCH($B$2,Overview!$E$12:$X$12,0))</f>
        <v>120</v>
      </c>
      <c r="C5" s="136">
        <f>INDEX(Overview!$E$15:$X$16,MATCH($B$3,Overview!$D$15:$D$16,0),MATCH($B$2,Overview!$E$12:$X$12,0))</f>
        <v>60</v>
      </c>
      <c r="D5" s="136">
        <f>INDEX(Overview!$E$17:$X$18,MATCH($B$3,Overview!$D$17:$D$18,0),MATCH($B$2,Overview!$E$12:$X$12,0))</f>
        <v>0</v>
      </c>
      <c r="E5" s="136">
        <f>INDEX(Overview!$E$20:$X$22,MATCH($E$3,Overview!$D$20:$D$22,0),MATCH($B$2,Overview!$E$12:$X$12,0))</f>
        <v>10000</v>
      </c>
      <c r="F5" s="137">
        <f>INDEX(Overview!$E$23:$X$25,MATCH($E$3,Overview!$D$23:$D$25,0),MATCH($B$2,Overview!$E$12:$X$12,0))</f>
        <v>10000</v>
      </c>
      <c r="G5" s="137">
        <f>INDEX(Overview!$E$26:$X$28,MATCH($E$3,Overview!$D$26:$D$28,0),MATCH($B$2,Overview!$E$12:$X$12,0))</f>
        <v>10000</v>
      </c>
      <c r="H5" s="16">
        <f>ROUNDUP(SUM(E5:G5)/'Ships&amp;Defence'!$R$12,0)</f>
        <v>1</v>
      </c>
      <c r="J5" s="135" t="str">
        <f>INDEX(Overview!$E$13:$X$14,MATCH(J3,Overview!$D$13:$D$14,0),MATCH(J2,Overview!$E$12:$X$12,0))</f>
        <v xml:space="preserve"> </v>
      </c>
      <c r="K5" s="136" t="str">
        <f>INDEX(Overview!$E$15:$X$16,MATCH(J3,Overview!$D$15:$D$16,0),MATCH(J2,Overview!$E$12:$X$12,0))</f>
        <v/>
      </c>
      <c r="L5" s="136" t="str">
        <f>INDEX(Overview!$E$17:$X$18,MATCH(J3,Overview!$D$17:$D$18,0),MATCH(J2,Overview!$E$12:$X$12,0))</f>
        <v/>
      </c>
      <c r="M5" s="136" t="str">
        <f>INDEX(Overview!E20:X22,MATCH(M3,Overview!D20:D22,0),MATCH(J2,Overview!E12:X12,0))</f>
        <v/>
      </c>
      <c r="N5" s="137" t="str">
        <f>INDEX(Overview!$E$23:$X$25,MATCH(M3,Overview!$D$23:$D$25,0),MATCH(J2,Overview!$E$12:$X$12,0))</f>
        <v/>
      </c>
      <c r="O5" s="137" t="str">
        <f>INDEX(Overview!$E$26:$X$28,MATCH(M3,Overview!$D$26:$D$28,0),MATCH(J2,Overview!$E$12:$X$12,0))</f>
        <v/>
      </c>
      <c r="P5" s="16">
        <f>ROUNDUP(SUM(M5:O5)/'Ships&amp;Defence'!$R$12,0)</f>
        <v>0</v>
      </c>
      <c r="R5" s="135" t="str">
        <f>INDEX(Overview!$E$13:$X$14,MATCH(R3,Overview!$D$13:$D$14,0),MATCH(R2,Overview!$E$12:$X$12,0))</f>
        <v xml:space="preserve"> </v>
      </c>
      <c r="S5" s="136" t="str">
        <f>INDEX(Overview!$E$15:$X$16,MATCH($R$3,Overview!$D$15:$D$16,0),MATCH($R$2,Overview!$E$12:$X$12,0))</f>
        <v/>
      </c>
      <c r="T5" s="136" t="str">
        <f>INDEX(Overview!$E$17:$X$18,MATCH($R$3,Overview!$D$17:$D$18,0),MATCH($R$2,Overview!$E$12:$X$12,0))</f>
        <v/>
      </c>
      <c r="U5" s="136" t="str">
        <f>INDEX(Overview!$E$20:$X$22,MATCH($U$3,Overview!$D$20:$D$22,0),MATCH($R$2,Overview!$E$12:$X$12,0))</f>
        <v/>
      </c>
      <c r="V5" s="137" t="str">
        <f>INDEX(Overview!$E$23:$X$25,MATCH($U$3,Overview!$D$23:$D$25,0),MATCH($R$2,Overview!$E$12:$X$12,0))</f>
        <v/>
      </c>
      <c r="W5" s="137" t="str">
        <f>INDEX(Overview!$E$26:$X$28,MATCH($U$3,Overview!$D$26:$D$28,0),MATCH($R$2,Overview!$E$12:$X$12,0))</f>
        <v/>
      </c>
      <c r="X5" s="16">
        <f>ROUNDUP(SUM(U5:W5)/'Ships&amp;Defence'!$R$12,0)</f>
        <v>0</v>
      </c>
      <c r="Z5" s="135" t="str">
        <f>INDEX(Overview!$E$13:$X$14,MATCH(Z3,Overview!$D$13:$D$14,0),MATCH(Z2,Overview!$E$12:$X$12,0))</f>
        <v xml:space="preserve"> </v>
      </c>
      <c r="AA5" s="136" t="str">
        <f>INDEX(Overview!$E$15:$X$16,MATCH(Z3,Overview!$D$15:$D$16,0),MATCH(Z2,Overview!$E$12:$X$12,0))</f>
        <v/>
      </c>
      <c r="AB5" s="136" t="str">
        <f>INDEX(Overview!$E$17:$X$18,MATCH(Z3,Overview!$D$17:$D$18,0),MATCH(Z2,Overview!$E$12:$X$12,0))</f>
        <v/>
      </c>
      <c r="AC5" s="136" t="str">
        <f>INDEX(Overview!$E$20:$X$22,MATCH(AC3,Overview!$D$20:$D$22,0),MATCH(Z2,Overview!$E$12:$X$12,0))</f>
        <v/>
      </c>
      <c r="AD5" s="137" t="str">
        <f>INDEX(Overview!$E$23:$X$25,MATCH(AC3,Overview!$D$23:$D$25,0),MATCH(Z2,Overview!$E$12:$X$12,0))</f>
        <v/>
      </c>
      <c r="AE5" s="137" t="str">
        <f>INDEX(Overview!$E$26:$X$28,MATCH(AC3,Overview!$D$26:$D$28,0),MATCH(Z2,Overview!$E$12:$X$12,0))</f>
        <v/>
      </c>
      <c r="AF5" s="16">
        <f>ROUNDUP(SUM(AC5:AE5)/'Ships&amp;Defence'!$R$12,0)</f>
        <v>0</v>
      </c>
      <c r="AH5" s="135" t="str">
        <f>INDEX(Overview!$E$13:$X$14,MATCH(AH3,Overview!$D$13:$D$14,0),MATCH(AH2,Overview!$E$12:$X$12,0))</f>
        <v xml:space="preserve"> </v>
      </c>
      <c r="AI5" s="136" t="str">
        <f>INDEX(Overview!$E$15:$X$16,MATCH(AH3,Overview!$D$15:$D$16,0),MATCH(AH2,Overview!$E$12:$X$12,0))</f>
        <v/>
      </c>
      <c r="AJ5" s="136" t="str">
        <f>INDEX(Overview!$E$17:$X$18,MATCH(AH3,Overview!$D$17:$D$18,0),MATCH(AH2,Overview!$E$12:$X$12,0))</f>
        <v/>
      </c>
      <c r="AK5" s="136" t="str">
        <f>INDEX(Overview!$E$20:$X$22,MATCH(AK3,Overview!$D$20:$D$22,0),MATCH(AH2,Overview!$E$12:$X$12,0))</f>
        <v/>
      </c>
      <c r="AL5" s="137" t="str">
        <f>INDEX(Overview!$E$23:$X$25,MATCH(AK3,Overview!$D$23:$D$25,0),MATCH(AH2,Overview!$E$12:$X$12,0))</f>
        <v/>
      </c>
      <c r="AM5" s="137" t="str">
        <f>INDEX(Overview!$E$26:$X$28,MATCH(AK3,Overview!$D$26:$D$28,0),MATCH(AH2,Overview!$E$12:$X$12,0))</f>
        <v/>
      </c>
      <c r="AN5" s="16">
        <f>ROUNDUP(SUM(AK5:AM5)/'Ships&amp;Defence'!$R$12,0)</f>
        <v>0</v>
      </c>
      <c r="AP5" s="135" t="str">
        <f>INDEX(Overview!$E$13:$X$14,MATCH(AP3,Overview!$D$13:$D$14,0),MATCH(AP2,Overview!$E$12:$X$12,0))</f>
        <v xml:space="preserve"> </v>
      </c>
      <c r="AQ5" s="136" t="str">
        <f>INDEX(Overview!$E$15:$X$16,MATCH(AP3,Overview!$D$15:$D$16,0),MATCH(AP2,Overview!$E$12:$X$12,0))</f>
        <v/>
      </c>
      <c r="AR5" s="136" t="str">
        <f>INDEX(Overview!$E$17:$X$18,MATCH(AP3,Overview!$D$17:$D$18,0),MATCH(AP2,Overview!$E$12:$X$12,0))</f>
        <v/>
      </c>
      <c r="AS5" s="136" t="str">
        <f>INDEX(Overview!$E$20:$X$22,MATCH(AS3,Overview!$D$20:$D$22,0),MATCH(AP2,Overview!$E$12:$X$12,0))</f>
        <v/>
      </c>
      <c r="AT5" s="137" t="str">
        <f>INDEX(Overview!$E$23:$X$25,MATCH(AS3,Overview!$D$23:$D$25,0),MATCH(AP2,Overview!$E$12:$X$12,0))</f>
        <v/>
      </c>
      <c r="AU5" s="137" t="str">
        <f>INDEX(Overview!$E$26:$X$28,MATCH(AS3,Overview!$D$26:$D$28,0),MATCH(AP2,Overview!$E$12:$X$12,0))</f>
        <v/>
      </c>
      <c r="AV5" s="16">
        <f>ROUNDUP(SUM(AS5:AU5)/'Ships&amp;Defence'!$R$12,0)</f>
        <v>0</v>
      </c>
      <c r="AX5" s="135" t="str">
        <f>INDEX(Overview!$E$13:$X$14,MATCH(AX3,Overview!$D$13:$D$14,0),MATCH(AX2,Overview!$E$12:$X$12,0))</f>
        <v xml:space="preserve"> </v>
      </c>
      <c r="AY5" s="136" t="str">
        <f>INDEX(Overview!$E$15:$X$16,MATCH(AX3,Overview!$D$15:$D$16,0),MATCH(AX2,Overview!$E$12:$X$12,0))</f>
        <v/>
      </c>
      <c r="AZ5" s="136" t="str">
        <f>INDEX(Overview!$E$17:$X$18,MATCH(AX3,Overview!$D$17:$D$18,0),MATCH(AX2,Overview!$E$12:$X$12,0))</f>
        <v/>
      </c>
      <c r="BA5" s="136" t="str">
        <f>INDEX(Overview!$E$20:$X$22,MATCH(BA3,Overview!$D$20:$D$22,0),MATCH(AX2,Overview!$E$12:$X$12,0))</f>
        <v/>
      </c>
      <c r="BB5" s="137" t="str">
        <f>INDEX(Overview!$E$23:$X$25,MATCH(BA3,Overview!$D$23:$D$25,0),MATCH(AX2,Overview!$E$12:$X$12,0))</f>
        <v/>
      </c>
      <c r="BC5" s="137" t="str">
        <f>INDEX(Overview!$E$26:$X$28,MATCH(BA3,Overview!$D$26:$D$28,0),MATCH(AX2,Overview!$E$12:$X$12,0))</f>
        <v/>
      </c>
      <c r="BD5" s="16">
        <f>ROUNDUP(SUM(BA5:BC5)/'Ships&amp;Defence'!$R$12,0)</f>
        <v>0</v>
      </c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</row>
    <row r="6" spans="2:80" ht="15" customHeight="1" thickTop="1" thickBot="1" x14ac:dyDescent="0.3">
      <c r="B6" s="131"/>
      <c r="C6" s="44"/>
      <c r="D6" s="44"/>
      <c r="E6" s="44"/>
    </row>
    <row r="7" spans="2:80" ht="16.5" thickTop="1" thickBot="1" x14ac:dyDescent="0.3">
      <c r="B7" s="275" t="str">
        <f>IF(Overview!L3&lt;&gt;"",Overview!L3," ")</f>
        <v xml:space="preserve"> </v>
      </c>
      <c r="C7" s="276"/>
      <c r="D7" s="276"/>
      <c r="E7" s="276"/>
      <c r="F7" s="276"/>
      <c r="G7" s="276"/>
      <c r="H7" s="277"/>
      <c r="J7" s="275" t="str">
        <f>IF(Overview!M3&lt;&gt;"",Overview!M3," ")</f>
        <v xml:space="preserve"> </v>
      </c>
      <c r="K7" s="276"/>
      <c r="L7" s="276"/>
      <c r="M7" s="276"/>
      <c r="N7" s="276"/>
      <c r="O7" s="276"/>
      <c r="P7" s="277"/>
      <c r="R7" s="275" t="str">
        <f>IF(Overview!N3&lt;&gt;"",Overview!N3," ")</f>
        <v xml:space="preserve"> </v>
      </c>
      <c r="S7" s="276"/>
      <c r="T7" s="276"/>
      <c r="U7" s="276"/>
      <c r="V7" s="276"/>
      <c r="W7" s="276"/>
      <c r="X7" s="277"/>
      <c r="Z7" s="275" t="str">
        <f>IF(Overview!O3&lt;&gt;"",Overview!O3," ")</f>
        <v xml:space="preserve"> </v>
      </c>
      <c r="AA7" s="276"/>
      <c r="AB7" s="276"/>
      <c r="AC7" s="276"/>
      <c r="AD7" s="276"/>
      <c r="AE7" s="276"/>
      <c r="AF7" s="277"/>
      <c r="AH7" s="275" t="str">
        <f>IF(Overview!P3&lt;&gt;"",Overview!P3," ")</f>
        <v xml:space="preserve"> </v>
      </c>
      <c r="AI7" s="276"/>
      <c r="AJ7" s="276"/>
      <c r="AK7" s="276"/>
      <c r="AL7" s="276"/>
      <c r="AM7" s="276"/>
      <c r="AN7" s="277"/>
      <c r="AP7" s="275" t="str">
        <f>IF(Overview!Q3&lt;&gt;"",Overview!Q3," ")</f>
        <v xml:space="preserve"> </v>
      </c>
      <c r="AQ7" s="276"/>
      <c r="AR7" s="276"/>
      <c r="AS7" s="276"/>
      <c r="AT7" s="276"/>
      <c r="AU7" s="276"/>
      <c r="AV7" s="277"/>
      <c r="AX7" s="275" t="str">
        <f>IF(Overview!R3&lt;&gt;"",Overview!R3," ")</f>
        <v xml:space="preserve"> </v>
      </c>
      <c r="AY7" s="276"/>
      <c r="AZ7" s="276"/>
      <c r="BA7" s="276"/>
      <c r="BB7" s="276"/>
      <c r="BC7" s="276"/>
      <c r="BD7" s="277"/>
    </row>
    <row r="8" spans="2:80" ht="15.75" customHeight="1" thickBot="1" x14ac:dyDescent="0.3">
      <c r="B8" s="271" t="s">
        <v>74</v>
      </c>
      <c r="C8" s="272"/>
      <c r="D8" s="272"/>
      <c r="E8" s="273" t="s">
        <v>68</v>
      </c>
      <c r="F8" s="273"/>
      <c r="G8" s="273"/>
      <c r="H8" s="274" t="s">
        <v>111</v>
      </c>
      <c r="J8" s="271" t="s">
        <v>74</v>
      </c>
      <c r="K8" s="272"/>
      <c r="L8" s="272"/>
      <c r="M8" s="273" t="s">
        <v>68</v>
      </c>
      <c r="N8" s="273"/>
      <c r="O8" s="273"/>
      <c r="P8" s="274" t="s">
        <v>111</v>
      </c>
      <c r="R8" s="271" t="s">
        <v>74</v>
      </c>
      <c r="S8" s="272"/>
      <c r="T8" s="272"/>
      <c r="U8" s="273" t="s">
        <v>68</v>
      </c>
      <c r="V8" s="273"/>
      <c r="W8" s="273"/>
      <c r="X8" s="274" t="s">
        <v>111</v>
      </c>
      <c r="Z8" s="271" t="s">
        <v>74</v>
      </c>
      <c r="AA8" s="272"/>
      <c r="AB8" s="272"/>
      <c r="AC8" s="273" t="s">
        <v>68</v>
      </c>
      <c r="AD8" s="273"/>
      <c r="AE8" s="273"/>
      <c r="AF8" s="274" t="s">
        <v>111</v>
      </c>
      <c r="AH8" s="271" t="s">
        <v>74</v>
      </c>
      <c r="AI8" s="272"/>
      <c r="AJ8" s="272"/>
      <c r="AK8" s="273" t="s">
        <v>68</v>
      </c>
      <c r="AL8" s="273"/>
      <c r="AM8" s="273"/>
      <c r="AN8" s="274" t="s">
        <v>111</v>
      </c>
      <c r="AP8" s="271" t="s">
        <v>74</v>
      </c>
      <c r="AQ8" s="272"/>
      <c r="AR8" s="272"/>
      <c r="AS8" s="273" t="s">
        <v>68</v>
      </c>
      <c r="AT8" s="273"/>
      <c r="AU8" s="273"/>
      <c r="AV8" s="274" t="s">
        <v>111</v>
      </c>
      <c r="AX8" s="271" t="s">
        <v>74</v>
      </c>
      <c r="AY8" s="272"/>
      <c r="AZ8" s="272"/>
      <c r="BA8" s="273" t="s">
        <v>68</v>
      </c>
      <c r="BB8" s="273"/>
      <c r="BC8" s="273"/>
      <c r="BD8" s="274" t="s">
        <v>111</v>
      </c>
    </row>
    <row r="9" spans="2:80" ht="47.25" thickBot="1" x14ac:dyDescent="0.3">
      <c r="B9" s="132" t="s">
        <v>0</v>
      </c>
      <c r="C9" s="133" t="s">
        <v>1</v>
      </c>
      <c r="D9" s="133" t="s">
        <v>2</v>
      </c>
      <c r="E9" s="134" t="s">
        <v>0</v>
      </c>
      <c r="F9" s="133" t="s">
        <v>1</v>
      </c>
      <c r="G9" s="133" t="s">
        <v>2</v>
      </c>
      <c r="H9" s="274"/>
      <c r="J9" s="132" t="s">
        <v>0</v>
      </c>
      <c r="K9" s="133" t="s">
        <v>1</v>
      </c>
      <c r="L9" s="133" t="s">
        <v>2</v>
      </c>
      <c r="M9" s="134" t="s">
        <v>0</v>
      </c>
      <c r="N9" s="133" t="s">
        <v>1</v>
      </c>
      <c r="O9" s="133" t="s">
        <v>2</v>
      </c>
      <c r="P9" s="274"/>
      <c r="R9" s="132" t="s">
        <v>0</v>
      </c>
      <c r="S9" s="133" t="s">
        <v>1</v>
      </c>
      <c r="T9" s="133" t="s">
        <v>2</v>
      </c>
      <c r="U9" s="134" t="s">
        <v>0</v>
      </c>
      <c r="V9" s="133" t="s">
        <v>1</v>
      </c>
      <c r="W9" s="133" t="s">
        <v>2</v>
      </c>
      <c r="X9" s="274"/>
      <c r="Z9" s="132" t="s">
        <v>0</v>
      </c>
      <c r="AA9" s="133" t="s">
        <v>1</v>
      </c>
      <c r="AB9" s="133" t="s">
        <v>2</v>
      </c>
      <c r="AC9" s="134" t="s">
        <v>0</v>
      </c>
      <c r="AD9" s="133" t="s">
        <v>1</v>
      </c>
      <c r="AE9" s="133" t="s">
        <v>2</v>
      </c>
      <c r="AF9" s="274"/>
      <c r="AH9" s="132" t="s">
        <v>0</v>
      </c>
      <c r="AI9" s="133" t="s">
        <v>1</v>
      </c>
      <c r="AJ9" s="133" t="s">
        <v>2</v>
      </c>
      <c r="AK9" s="134" t="s">
        <v>0</v>
      </c>
      <c r="AL9" s="133" t="s">
        <v>1</v>
      </c>
      <c r="AM9" s="133" t="s">
        <v>2</v>
      </c>
      <c r="AN9" s="274"/>
      <c r="AP9" s="132" t="s">
        <v>0</v>
      </c>
      <c r="AQ9" s="133" t="s">
        <v>1</v>
      </c>
      <c r="AR9" s="133" t="s">
        <v>2</v>
      </c>
      <c r="AS9" s="134" t="s">
        <v>0</v>
      </c>
      <c r="AT9" s="133" t="s">
        <v>1</v>
      </c>
      <c r="AU9" s="133" t="s">
        <v>2</v>
      </c>
      <c r="AV9" s="274"/>
      <c r="AX9" s="132" t="s">
        <v>0</v>
      </c>
      <c r="AY9" s="133" t="s">
        <v>1</v>
      </c>
      <c r="AZ9" s="133" t="s">
        <v>2</v>
      </c>
      <c r="BA9" s="134" t="s">
        <v>0</v>
      </c>
      <c r="BB9" s="133" t="s">
        <v>1</v>
      </c>
      <c r="BC9" s="133" t="s">
        <v>2</v>
      </c>
      <c r="BD9" s="274"/>
    </row>
    <row r="10" spans="2:80" ht="52.5" customHeight="1" thickBot="1" x14ac:dyDescent="0.3">
      <c r="B10" s="135" t="str">
        <f>INDEX(Overview!$E$13:$X$14,MATCH(B8,Overview!$D$13:$D$14,0),MATCH(B7,Overview!$E$12:$X$12,0))</f>
        <v xml:space="preserve"> </v>
      </c>
      <c r="C10" s="136" t="str">
        <f>INDEX(Overview!$E$15:$X$16,MATCH(B8,Overview!$D$15:$D$16,0),MATCH(B7,Overview!$E$12:$X$12,0))</f>
        <v/>
      </c>
      <c r="D10" s="136" t="str">
        <f>INDEX(Overview!$E$17:$X$18,MATCH(B8,Overview!$D$17:$D$18,0),MATCH(B7,Overview!$E$12:$X$12,0))</f>
        <v/>
      </c>
      <c r="E10" s="136" t="str">
        <f>INDEX(Overview!$E$20:$X$22,MATCH(E8,Overview!$D$20:$D$22,0),MATCH(B7,Overview!$E$12:$X$12,0))</f>
        <v/>
      </c>
      <c r="F10" s="137" t="str">
        <f>INDEX(Overview!$E$23:$X$25,MATCH(E8,Overview!$D$23:$D$25,0),MATCH(B7,Overview!$E$12:$X$12,0))</f>
        <v/>
      </c>
      <c r="G10" s="137" t="str">
        <f>INDEX(Overview!$E$26:$X$28,MATCH(E8,Overview!$D$26:$D$28,0),MATCH(B7,Overview!$E$12:$X$12,0))</f>
        <v/>
      </c>
      <c r="H10" s="16">
        <f>ROUNDUP(SUM(E10:G10)/25000,0)</f>
        <v>0</v>
      </c>
      <c r="J10" s="135" t="str">
        <f>INDEX(Overview!$E$13:$X$14,MATCH(J8,Overview!$D$13:$D$14,0),MATCH(J7,Overview!$E$12:$X$12,0))</f>
        <v xml:space="preserve"> </v>
      </c>
      <c r="K10" s="136" t="str">
        <f>INDEX(Overview!$E$15:$X$16,MATCH(J8,Overview!$D$15:$D$16,0),MATCH(J7,Overview!$E$12:$X$12,0))</f>
        <v/>
      </c>
      <c r="L10" s="136" t="str">
        <f>INDEX(Overview!$E$17:$X$18,MATCH(J8,Overview!$D$17:$D$18,0),MATCH(J7,Overview!$E$12:$X$12,0))</f>
        <v/>
      </c>
      <c r="M10" s="136" t="str">
        <f>INDEX(Overview!$E$20:$X$22,MATCH(M8,Overview!$D$20:$D$22,0),MATCH(J7,Overview!$E$12:$X$12,0))</f>
        <v/>
      </c>
      <c r="N10" s="137" t="str">
        <f>INDEX(Overview!$E$23:$X$25,MATCH(M8,Overview!$D$23:$D$25,0),MATCH(J7,Overview!$E$12:$X$12,0))</f>
        <v/>
      </c>
      <c r="O10" s="137" t="str">
        <f>INDEX(Overview!$E$26:$X$28,MATCH(M8,Overview!$D$26:$D$28,0),MATCH(J7,Overview!$E$12:$X$12,0))</f>
        <v/>
      </c>
      <c r="P10" s="16">
        <f>ROUNDUP(SUM(M10:O10)/25000,0)</f>
        <v>0</v>
      </c>
      <c r="R10" s="135" t="str">
        <f>INDEX(Overview!$E$13:$X$14,MATCH(R8,Overview!$D$13:$D$14,0),MATCH(R7,Overview!$E$12:$X$12,0))</f>
        <v xml:space="preserve"> </v>
      </c>
      <c r="S10" s="136" t="str">
        <f>INDEX(Overview!$E$15:$X$16,MATCH(R8,Overview!$D$15:$D$16,0),MATCH(R7,Overview!$E$12:$X$12,0))</f>
        <v/>
      </c>
      <c r="T10" s="136" t="str">
        <f>INDEX(Overview!$E$17:$X$18,MATCH(R8,Overview!$D$17:$D$18,0),MATCH(R7,Overview!$E$12:$X$12,0))</f>
        <v/>
      </c>
      <c r="U10" s="136" t="str">
        <f>INDEX(Overview!$E$20:$X$22,MATCH(U8,Overview!$D$20:$D$22,0),MATCH(R7,Overview!$E$12:$X$12,0))</f>
        <v/>
      </c>
      <c r="V10" s="137" t="str">
        <f>INDEX(Overview!$E$23:$X$25,MATCH(U8,Overview!$D$23:$D$25,0),MATCH(R7,Overview!$E$12:$X$12,0))</f>
        <v/>
      </c>
      <c r="W10" s="137" t="str">
        <f>INDEX(Overview!$E$26:$X$28,MATCH(U8,Overview!$D$26:$D$28,0),MATCH(R7,Overview!$E$12:$X$12,0))</f>
        <v/>
      </c>
      <c r="X10" s="16">
        <f>ROUNDUP(SUM(U10:W10)/25000,0)</f>
        <v>0</v>
      </c>
      <c r="Z10" s="135" t="str">
        <f>INDEX(Overview!$E$13:$X$14,MATCH(Z8,Overview!$D$13:$D$14,0),MATCH(Z7,Overview!$E$12:$X$12,0))</f>
        <v xml:space="preserve"> </v>
      </c>
      <c r="AA10" s="136" t="str">
        <f>INDEX(Overview!$E$15:$X$16,MATCH(Z8,Overview!$D$15:$D$16,0),MATCH(Z7,Overview!$E$12:$X$12,0))</f>
        <v/>
      </c>
      <c r="AB10" s="136" t="str">
        <f>INDEX(Overview!$E$17:$X$18,MATCH(Z8,Overview!$D$17:$D$18,0),MATCH(Z7,Overview!$E$12:$X$12,0))</f>
        <v/>
      </c>
      <c r="AC10" s="136" t="str">
        <f>INDEX(Overview!$E$20:$X$22,MATCH(AC8,Overview!$D$20:$D$22,0),MATCH(Z7,Overview!$E$12:$X$12,0))</f>
        <v/>
      </c>
      <c r="AD10" s="137" t="str">
        <f>INDEX(Overview!$E$23:$X$25,MATCH(AC8,Overview!$D$23:$D$25,0),MATCH(Z7,Overview!$E$12:$X$12,0))</f>
        <v/>
      </c>
      <c r="AE10" s="137" t="str">
        <f>INDEX(Overview!$E$26:$X$28,MATCH(AC8,Overview!$D$26:$D$28,0),MATCH(Z7,Overview!$E$12:$X$12,0))</f>
        <v/>
      </c>
      <c r="AF10" s="16">
        <f>ROUNDUP(SUM(AC10:AE10)/25000,0)</f>
        <v>0</v>
      </c>
      <c r="AH10" s="135" t="str">
        <f>INDEX(Overview!$E$13:$X$14,MATCH(AH8,Overview!$D$13:$D$14,0),MATCH(AH7,Overview!$E$12:$X$12,0))</f>
        <v xml:space="preserve"> </v>
      </c>
      <c r="AI10" s="136" t="str">
        <f>INDEX(Overview!$E$15:$X$16,MATCH(AH8,Overview!$D$15:$D$16,0),MATCH(AH7,Overview!$E$12:$X$12,0))</f>
        <v/>
      </c>
      <c r="AJ10" s="136" t="str">
        <f>INDEX(Overview!$E$17:$X$18,MATCH(AH8,Overview!$D$17:$D$18,0),MATCH(AH7,Overview!$E$12:$X$12,0))</f>
        <v/>
      </c>
      <c r="AK10" s="136" t="str">
        <f>INDEX(Overview!$E$20:$X$22,MATCH(AK8,Overview!$D$20:$D$22,0),MATCH(AH7,Overview!$E$12:$X$12,0))</f>
        <v/>
      </c>
      <c r="AL10" s="137" t="str">
        <f>INDEX(Overview!$E$23:$X$25,MATCH(AK8,Overview!$D$23:$D$25,0),MATCH(AH7,Overview!$E$12:$X$12,0))</f>
        <v/>
      </c>
      <c r="AM10" s="137" t="str">
        <f>INDEX(Overview!$E$26:$X$28,MATCH(AK8,Overview!$D$26:$D$28,0),MATCH(AH7,Overview!$E$12:$X$12,0))</f>
        <v/>
      </c>
      <c r="AN10" s="16">
        <f>ROUNDUP(SUM(AK10:AM10)/25000,0)</f>
        <v>0</v>
      </c>
      <c r="AP10" s="135" t="str">
        <f>INDEX(Overview!$E$13:$X$14,MATCH(AP8,Overview!$D$13:$D$14,0),MATCH(AP7,Overview!$E$12:$X$12,0))</f>
        <v xml:space="preserve"> </v>
      </c>
      <c r="AQ10" s="136" t="str">
        <f>INDEX(Overview!$E$15:$X$16,MATCH(AP8,Overview!$D$15:$D$16,0),MATCH(AP7,Overview!$E$12:$X$12,0))</f>
        <v/>
      </c>
      <c r="AR10" s="136" t="str">
        <f>INDEX(Overview!$E$17:$X$18,MATCH(AP8,Overview!$D$17:$D$18,0),MATCH(AP7,Overview!$E$12:$X$12,0))</f>
        <v/>
      </c>
      <c r="AS10" s="136" t="str">
        <f>INDEX(Overview!$E$20:$X$22,MATCH(AS8,Overview!$D$20:$D$22,0),MATCH(AP7,Overview!$E$12:$X$12,0))</f>
        <v/>
      </c>
      <c r="AT10" s="137" t="str">
        <f>INDEX(Overview!$E$23:$X$25,MATCH(AS8,Overview!$D$23:$D$25,0),MATCH(AP7,Overview!$E$12:$X$12,0))</f>
        <v/>
      </c>
      <c r="AU10" s="137" t="str">
        <f>INDEX(Overview!$E$26:$X$28,MATCH(AS8,Overview!$D$26:$D$28,0),MATCH(AP7,Overview!$E$12:$X$12,0))</f>
        <v/>
      </c>
      <c r="AV10" s="16">
        <f>ROUNDUP(SUM(AS10:AU10)/25000,0)</f>
        <v>0</v>
      </c>
      <c r="AX10" s="135" t="str">
        <f>INDEX(Overview!$E$13:$X$14,MATCH(AX8,Overview!$D$13:$D$14,0),MATCH(AX7,Overview!$E$12:$X$12,0))</f>
        <v xml:space="preserve"> </v>
      </c>
      <c r="AY10" s="136" t="str">
        <f>INDEX(Overview!$E$15:$X$16,MATCH(AX8,Overview!$D$15:$D$16,0),MATCH(AX7,Overview!$E$12:$X$12,0))</f>
        <v/>
      </c>
      <c r="AZ10" s="136" t="str">
        <f>INDEX(Overview!$E$17:$X$18,MATCH(AX8,Overview!$D$17:$D$18,0),MATCH(AX7,Overview!$E$12:$X$12,0))</f>
        <v/>
      </c>
      <c r="BA10" s="136" t="str">
        <f>INDEX(Overview!$E$20:$X$22,MATCH(BA8,Overview!$D$20:$D$22,0),MATCH(AX7,Overview!$E$12:$X$12,0))</f>
        <v/>
      </c>
      <c r="BB10" s="137" t="str">
        <f>INDEX(Overview!$E$23:$X$25,MATCH(BA8,Overview!$D$23:$D$25,0),MATCH(AX7,Overview!$E$12:$X$12,0))</f>
        <v/>
      </c>
      <c r="BC10" s="137" t="str">
        <f>INDEX(Overview!$E$26:$X$28,MATCH(BA8,Overview!$D$26:$D$28,0),MATCH(AX7,Overview!$E$12:$X$12,0))</f>
        <v/>
      </c>
      <c r="BD10" s="16">
        <f>ROUNDUP(SUM(BA10:BC10)/25000,0)</f>
        <v>0</v>
      </c>
    </row>
    <row r="11" spans="2:80" ht="15" customHeight="1" thickTop="1" thickBot="1" x14ac:dyDescent="0.3">
      <c r="B11" s="131"/>
      <c r="C11" s="44"/>
      <c r="D11" s="44"/>
      <c r="E11" s="44"/>
    </row>
    <row r="12" spans="2:80" ht="16.5" thickTop="1" thickBot="1" x14ac:dyDescent="0.3">
      <c r="B12" s="275" t="str">
        <f>IF(Overview!S3&lt;&gt;"",Overview!S3," ")</f>
        <v xml:space="preserve"> </v>
      </c>
      <c r="C12" s="276"/>
      <c r="D12" s="276"/>
      <c r="E12" s="276"/>
      <c r="F12" s="276"/>
      <c r="G12" s="276"/>
      <c r="H12" s="277"/>
      <c r="J12" s="275" t="str">
        <f>IF(Overview!T3&lt;&gt;"",Overview!T3," ")</f>
        <v xml:space="preserve"> </v>
      </c>
      <c r="K12" s="276"/>
      <c r="L12" s="276"/>
      <c r="M12" s="276"/>
      <c r="N12" s="276"/>
      <c r="O12" s="276"/>
      <c r="P12" s="277"/>
      <c r="R12" s="275" t="str">
        <f>IF(Overview!U3&lt;&gt;"",Overview!U3," ")</f>
        <v xml:space="preserve"> </v>
      </c>
      <c r="S12" s="276"/>
      <c r="T12" s="276"/>
      <c r="U12" s="276"/>
      <c r="V12" s="276"/>
      <c r="W12" s="276"/>
      <c r="X12" s="277"/>
      <c r="Z12" s="275" t="str">
        <f>IF(Overview!V3&lt;&gt;"",Overview!V3," ")</f>
        <v xml:space="preserve"> </v>
      </c>
      <c r="AA12" s="276"/>
      <c r="AB12" s="276"/>
      <c r="AC12" s="276"/>
      <c r="AD12" s="276"/>
      <c r="AE12" s="276"/>
      <c r="AF12" s="277"/>
      <c r="AH12" s="275" t="str">
        <f>IF(Overview!W3&lt;&gt;"",Overview!W3," ")</f>
        <v xml:space="preserve"> </v>
      </c>
      <c r="AI12" s="276"/>
      <c r="AJ12" s="276"/>
      <c r="AK12" s="276"/>
      <c r="AL12" s="276"/>
      <c r="AM12" s="276"/>
      <c r="AN12" s="277"/>
      <c r="AP12" s="275" t="str">
        <f>IF(Overview!X3&lt;&gt;"",Overview!X3," ")</f>
        <v xml:space="preserve"> </v>
      </c>
      <c r="AQ12" s="276"/>
      <c r="AR12" s="276"/>
      <c r="AS12" s="276"/>
      <c r="AT12" s="276"/>
      <c r="AU12" s="276"/>
      <c r="AV12" s="277"/>
      <c r="AX12" s="275" t="str">
        <f>IF(Overview!Y3&lt;&gt;"",Overview!Y3," ")</f>
        <v xml:space="preserve"> </v>
      </c>
      <c r="AY12" s="276"/>
      <c r="AZ12" s="276"/>
      <c r="BA12" s="276"/>
      <c r="BB12" s="276"/>
      <c r="BC12" s="276"/>
      <c r="BD12" s="277"/>
    </row>
    <row r="13" spans="2:80" ht="15.75" customHeight="1" thickBot="1" x14ac:dyDescent="0.3">
      <c r="B13" s="271" t="s">
        <v>74</v>
      </c>
      <c r="C13" s="272"/>
      <c r="D13" s="272"/>
      <c r="E13" s="273" t="s">
        <v>68</v>
      </c>
      <c r="F13" s="273"/>
      <c r="G13" s="273"/>
      <c r="H13" s="274" t="s">
        <v>111</v>
      </c>
      <c r="J13" s="271" t="s">
        <v>74</v>
      </c>
      <c r="K13" s="272"/>
      <c r="L13" s="272"/>
      <c r="M13" s="273" t="s">
        <v>68</v>
      </c>
      <c r="N13" s="273"/>
      <c r="O13" s="273"/>
      <c r="P13" s="274" t="s">
        <v>111</v>
      </c>
      <c r="R13" s="271" t="s">
        <v>74</v>
      </c>
      <c r="S13" s="272"/>
      <c r="T13" s="272"/>
      <c r="U13" s="273" t="s">
        <v>68</v>
      </c>
      <c r="V13" s="273"/>
      <c r="W13" s="273"/>
      <c r="X13" s="274" t="s">
        <v>111</v>
      </c>
      <c r="Z13" s="271" t="s">
        <v>74</v>
      </c>
      <c r="AA13" s="272"/>
      <c r="AB13" s="272"/>
      <c r="AC13" s="273" t="s">
        <v>68</v>
      </c>
      <c r="AD13" s="273"/>
      <c r="AE13" s="273"/>
      <c r="AF13" s="274" t="s">
        <v>111</v>
      </c>
      <c r="AH13" s="271" t="s">
        <v>74</v>
      </c>
      <c r="AI13" s="272"/>
      <c r="AJ13" s="272"/>
      <c r="AK13" s="273" t="s">
        <v>68</v>
      </c>
      <c r="AL13" s="273"/>
      <c r="AM13" s="273"/>
      <c r="AN13" s="274" t="s">
        <v>111</v>
      </c>
      <c r="AP13" s="271" t="s">
        <v>74</v>
      </c>
      <c r="AQ13" s="272"/>
      <c r="AR13" s="272"/>
      <c r="AS13" s="273" t="s">
        <v>68</v>
      </c>
      <c r="AT13" s="273"/>
      <c r="AU13" s="273"/>
      <c r="AV13" s="274" t="s">
        <v>111</v>
      </c>
      <c r="AX13" s="271" t="s">
        <v>74</v>
      </c>
      <c r="AY13" s="272"/>
      <c r="AZ13" s="272"/>
      <c r="BA13" s="273" t="s">
        <v>68</v>
      </c>
      <c r="BB13" s="273"/>
      <c r="BC13" s="273"/>
      <c r="BD13" s="274" t="s">
        <v>111</v>
      </c>
    </row>
    <row r="14" spans="2:80" ht="47.25" thickBot="1" x14ac:dyDescent="0.3">
      <c r="B14" s="132" t="s">
        <v>0</v>
      </c>
      <c r="C14" s="133" t="s">
        <v>1</v>
      </c>
      <c r="D14" s="133" t="s">
        <v>2</v>
      </c>
      <c r="E14" s="134" t="s">
        <v>0</v>
      </c>
      <c r="F14" s="133" t="s">
        <v>1</v>
      </c>
      <c r="G14" s="133" t="s">
        <v>2</v>
      </c>
      <c r="H14" s="274"/>
      <c r="J14" s="132" t="s">
        <v>0</v>
      </c>
      <c r="K14" s="133" t="s">
        <v>1</v>
      </c>
      <c r="L14" s="133" t="s">
        <v>2</v>
      </c>
      <c r="M14" s="134" t="s">
        <v>0</v>
      </c>
      <c r="N14" s="133" t="s">
        <v>1</v>
      </c>
      <c r="O14" s="133" t="s">
        <v>2</v>
      </c>
      <c r="P14" s="274"/>
      <c r="R14" s="132" t="s">
        <v>0</v>
      </c>
      <c r="S14" s="133" t="s">
        <v>1</v>
      </c>
      <c r="T14" s="133" t="s">
        <v>2</v>
      </c>
      <c r="U14" s="134" t="s">
        <v>0</v>
      </c>
      <c r="V14" s="133" t="s">
        <v>1</v>
      </c>
      <c r="W14" s="133" t="s">
        <v>2</v>
      </c>
      <c r="X14" s="274"/>
      <c r="Z14" s="132" t="s">
        <v>0</v>
      </c>
      <c r="AA14" s="133" t="s">
        <v>1</v>
      </c>
      <c r="AB14" s="133" t="s">
        <v>2</v>
      </c>
      <c r="AC14" s="134" t="s">
        <v>0</v>
      </c>
      <c r="AD14" s="133" t="s">
        <v>1</v>
      </c>
      <c r="AE14" s="133" t="s">
        <v>2</v>
      </c>
      <c r="AF14" s="274"/>
      <c r="AH14" s="132" t="s">
        <v>0</v>
      </c>
      <c r="AI14" s="133" t="s">
        <v>1</v>
      </c>
      <c r="AJ14" s="133" t="s">
        <v>2</v>
      </c>
      <c r="AK14" s="134" t="s">
        <v>0</v>
      </c>
      <c r="AL14" s="133" t="s">
        <v>1</v>
      </c>
      <c r="AM14" s="133" t="s">
        <v>2</v>
      </c>
      <c r="AN14" s="274"/>
      <c r="AP14" s="132" t="s">
        <v>0</v>
      </c>
      <c r="AQ14" s="133" t="s">
        <v>1</v>
      </c>
      <c r="AR14" s="133" t="s">
        <v>2</v>
      </c>
      <c r="AS14" s="134" t="s">
        <v>0</v>
      </c>
      <c r="AT14" s="133" t="s">
        <v>1</v>
      </c>
      <c r="AU14" s="133" t="s">
        <v>2</v>
      </c>
      <c r="AV14" s="274"/>
      <c r="AX14" s="132" t="s">
        <v>0</v>
      </c>
      <c r="AY14" s="133" t="s">
        <v>1</v>
      </c>
      <c r="AZ14" s="133" t="s">
        <v>2</v>
      </c>
      <c r="BA14" s="134" t="s">
        <v>0</v>
      </c>
      <c r="BB14" s="133" t="s">
        <v>1</v>
      </c>
      <c r="BC14" s="133" t="s">
        <v>2</v>
      </c>
      <c r="BD14" s="274"/>
    </row>
    <row r="15" spans="2:80" ht="47.25" customHeight="1" thickBot="1" x14ac:dyDescent="0.3">
      <c r="B15" s="135" t="str">
        <f>INDEX(Overview!$E$13:$X$14,MATCH(B13,Overview!$D$13:$D$14,0),MATCH(B12,Overview!$E$12:$X$12,0))</f>
        <v xml:space="preserve"> </v>
      </c>
      <c r="C15" s="136" t="str">
        <f>INDEX(Overview!$E$15:$X$16,MATCH(B13,Overview!$D$15:$D$16,0),MATCH(B12,Overview!$E$12:$X$12,0))</f>
        <v/>
      </c>
      <c r="D15" s="136" t="str">
        <f>INDEX(Overview!$E$17:$X$18,MATCH(B13,Overview!$D$17:$D$18,0),MATCH(B12,Overview!$E$12:$X$12,0))</f>
        <v/>
      </c>
      <c r="E15" s="136" t="str">
        <f>INDEX(Overview!$E$20:$X$22,MATCH(E13,Overview!$D$20:$D$22,0),MATCH(B12,Overview!$E$12:$X$12,0))</f>
        <v/>
      </c>
      <c r="F15" s="137" t="str">
        <f>INDEX(Overview!$E$23:$X$25,MATCH(E13,Overview!$D$23:$D$25,0),MATCH(B12,Overview!$E$12:$X$12,0))</f>
        <v/>
      </c>
      <c r="G15" s="137" t="str">
        <f>INDEX(Overview!$E$26:$X$28,MATCH(E13,Overview!$D$26:$D$28,0),MATCH(B12,Overview!$E$12:$X$12,0))</f>
        <v/>
      </c>
      <c r="H15" s="16">
        <f>ROUNDUP(SUM(E15:G15)/25000,0)</f>
        <v>0</v>
      </c>
      <c r="J15" s="135" t="str">
        <f>INDEX(Overview!$E$13:$X$14,MATCH(J13,Overview!$D$13:$D$14,0),MATCH(J12,Overview!$E$12:$X$12,0))</f>
        <v xml:space="preserve"> </v>
      </c>
      <c r="K15" s="136" t="str">
        <f>INDEX(Overview!$E$15:$X$16,MATCH(J13,Overview!$D$15:$D$16,0),MATCH(J12,Overview!$E$12:$X$12,0))</f>
        <v/>
      </c>
      <c r="L15" s="136" t="str">
        <f>INDEX(Overview!$E$17:$X$18,MATCH(J13,Overview!$D$17:$D$18,0),MATCH(J12,Overview!$E$12:$X$12,0))</f>
        <v/>
      </c>
      <c r="M15" s="136" t="str">
        <f>INDEX(Overview!$E$20:$X$22,MATCH(M13,Overview!$D$20:$D$22,0),MATCH(J12,Overview!$E$12:$X$12,0))</f>
        <v/>
      </c>
      <c r="N15" s="137" t="str">
        <f>INDEX(Overview!$E$23:$X$25,MATCH(M13,Overview!$D$23:$D$25,0),MATCH(J12,Overview!$E$12:$X$12,0))</f>
        <v/>
      </c>
      <c r="O15" s="137" t="str">
        <f>INDEX(Overview!$E$26:$X$28,MATCH(M13,Overview!$D$26:$D$28,0),MATCH(J12,Overview!$E$12:$X$12,0))</f>
        <v/>
      </c>
      <c r="P15" s="16">
        <f>ROUNDUP(SUM(M15:O15)/25000,0)</f>
        <v>0</v>
      </c>
      <c r="R15" s="135" t="str">
        <f>INDEX(Overview!$E$13:$X$14,MATCH(R13,Overview!$D$13:$D$14,0),MATCH(R12,Overview!$E$12:$X$12,0))</f>
        <v xml:space="preserve"> </v>
      </c>
      <c r="S15" s="136" t="str">
        <f>INDEX(Overview!$E$15:$X$16,MATCH(R13,Overview!$D$15:$D$16,0),MATCH(R12,Overview!$E$12:$X$12,0))</f>
        <v/>
      </c>
      <c r="T15" s="136" t="str">
        <f>INDEX(Overview!$E$17:$X$18,MATCH(R13,Overview!$D$17:$D$18,0),MATCH(R12,Overview!$E$12:$X$12,0))</f>
        <v/>
      </c>
      <c r="U15" s="136" t="str">
        <f>INDEX(Overview!$E$20:$X$22,MATCH(U13,Overview!$D$20:$D$22,0),MATCH(R12,Overview!$E$12:$X$12,0))</f>
        <v/>
      </c>
      <c r="V15" s="137" t="str">
        <f>INDEX(Overview!$E$23:$X$25,MATCH(U13,Overview!$D$23:$D$25,0),MATCH(R12,Overview!$E$12:$X$12,0))</f>
        <v/>
      </c>
      <c r="W15" s="137" t="str">
        <f>INDEX(Overview!$E$26:$X$28,MATCH(U13,Overview!$D$26:$D$28,0),MATCH(R12,Overview!$E$12:$X$12,0))</f>
        <v/>
      </c>
      <c r="X15" s="16">
        <f>ROUNDUP(SUM(U15:W15)/25000,0)</f>
        <v>0</v>
      </c>
      <c r="Z15" s="135" t="str">
        <f>INDEX(Overview!$E$13:$X$14,MATCH(Z13,Overview!$D$13:$D$14,0),MATCH(Z12,Overview!$E$12:$X$12,0))</f>
        <v xml:space="preserve"> </v>
      </c>
      <c r="AA15" s="136" t="str">
        <f>INDEX(Overview!$E$15:$X$16,MATCH(Z13,Overview!$D$15:$D$16,0),MATCH(Z12,Overview!$E$12:$X$12,0))</f>
        <v/>
      </c>
      <c r="AB15" s="136" t="str">
        <f>INDEX(Overview!$E$17:$X$18,MATCH(Z13,Overview!$D$17:$D$18,0),MATCH(Z12,Overview!$E$12:$X$12,0))</f>
        <v/>
      </c>
      <c r="AC15" s="136" t="str">
        <f>INDEX(Overview!$E$20:$X$22,MATCH(AC13,Overview!$D$20:$D$22,0),MATCH(Z12,Overview!$E$12:$X$12,0))</f>
        <v/>
      </c>
      <c r="AD15" s="137" t="str">
        <f>INDEX(Overview!$E$23:$X$25,MATCH(AC13,Overview!$D$23:$D$25,0),MATCH(Z12,Overview!$E$12:$X$12,0))</f>
        <v/>
      </c>
      <c r="AE15" s="137" t="str">
        <f>INDEX(Overview!$E$26:$X$28,MATCH(AC13,Overview!$D$26:$D$28,0),MATCH(Z12,Overview!$E$12:$X$12,0))</f>
        <v/>
      </c>
      <c r="AF15" s="16">
        <f>ROUNDUP(SUM(AC15:AE15)/25000,0)</f>
        <v>0</v>
      </c>
      <c r="AH15" s="135" t="str">
        <f>INDEX(Overview!$E$13:$X$14,MATCH(AH13,Overview!$D$13:$D$14,0),MATCH(AH12,Overview!$E$12:$X$12,0))</f>
        <v xml:space="preserve"> </v>
      </c>
      <c r="AI15" s="136" t="str">
        <f>INDEX(Overview!$E$15:$X$16,MATCH(AH13,Overview!$D$15:$D$16,0),MATCH(AH12,Overview!$E$12:$X$12,0))</f>
        <v/>
      </c>
      <c r="AJ15" s="136" t="str">
        <f>INDEX(Overview!$E$17:$X$18,MATCH(AH13,Overview!$D$17:$D$18,0),MATCH(AH12,Overview!$E$12:$X$12,0))</f>
        <v/>
      </c>
      <c r="AK15" s="136" t="str">
        <f>INDEX(Overview!$E$20:$X$22,MATCH(AK13,Overview!$D$20:$D$22,0),MATCH(AH12,Overview!$E$12:$X$12,0))</f>
        <v/>
      </c>
      <c r="AL15" s="137" t="str">
        <f>INDEX(Overview!$E$23:$X$25,MATCH(AK13,Overview!$D$23:$D$25,0),MATCH(AH12,Overview!$E$12:$X$12,0))</f>
        <v/>
      </c>
      <c r="AM15" s="137" t="str">
        <f>INDEX(Overview!$E$26:$X$28,MATCH(AK13,Overview!$D$26:$D$28,0),MATCH(AH12,Overview!$E$12:$X$12,0))</f>
        <v/>
      </c>
      <c r="AN15" s="16">
        <f>ROUNDUP(SUM(AK15:AM15)/25000,0)</f>
        <v>0</v>
      </c>
      <c r="AP15" s="135" t="str">
        <f>INDEX(Overview!$E$13:$X$14,MATCH(AP13,Overview!$D$13:$D$14,0),MATCH(AP12,Overview!$E$12:$X$12,0))</f>
        <v xml:space="preserve"> </v>
      </c>
      <c r="AQ15" s="136" t="str">
        <f>INDEX(Overview!$E$15:$X$16,MATCH(AP13,Overview!$D$15:$D$16,0),MATCH(AP12,Overview!$E$12:$X$12,0))</f>
        <v/>
      </c>
      <c r="AR15" s="136" t="str">
        <f>INDEX(Overview!$E$17:$X$18,MATCH(AP13,Overview!$D$17:$D$18,0),MATCH(AP12,Overview!$E$12:$X$12,0))</f>
        <v/>
      </c>
      <c r="AS15" s="136" t="str">
        <f>INDEX(Overview!$E$20:$X$22,MATCH(AS13,Overview!$D$20:$D$22,0),MATCH(AP12,Overview!$E$12:$X$12,0))</f>
        <v/>
      </c>
      <c r="AT15" s="137" t="str">
        <f>INDEX(Overview!$E$23:$X$25,MATCH(AS13,Overview!$D$23:$D$25,0),MATCH(AP12,Overview!$E$12:$X$12,0))</f>
        <v/>
      </c>
      <c r="AU15" s="137" t="str">
        <f>INDEX(Overview!$E$26:$X$28,MATCH(AS13,Overview!$D$26:$D$28,0),MATCH(AP12,Overview!$E$12:$X$12,0))</f>
        <v/>
      </c>
      <c r="AV15" s="16">
        <f>ROUNDUP(SUM(AS15:AU15)/25000,0)</f>
        <v>0</v>
      </c>
      <c r="AX15" s="135" t="str">
        <f>INDEX(Overview!$E$13:$X$14,MATCH(AX13,Overview!$D$13:$D$14,0),MATCH(AX12,Overview!$E$12:$X$12,0))</f>
        <v xml:space="preserve"> </v>
      </c>
      <c r="AY15" s="136" t="str">
        <f>INDEX(Overview!$E$15:$X$16,MATCH(AX13,Overview!$D$15:$D$16,0),MATCH(AX12,Overview!$E$12:$X$12,0))</f>
        <v/>
      </c>
      <c r="AZ15" s="136" t="str">
        <f>INDEX(Overview!$E$17:$X$18,MATCH(AX13,Overview!$D$17:$D$18,0),MATCH(AX12,Overview!$E$12:$X$12,0))</f>
        <v/>
      </c>
      <c r="BA15" s="136" t="str">
        <f>INDEX(Overview!$E$20:$X$22,MATCH(BA13,Overview!$D$20:$D$22,0),MATCH(AX12,Overview!$E$12:$X$12,0))</f>
        <v/>
      </c>
      <c r="BB15" s="137" t="str">
        <f>INDEX(Overview!$E$23:$X$25,MATCH(BA13,Overview!$D$23:$D$25,0),MATCH(AX12,Overview!$E$12:$X$12,0))</f>
        <v/>
      </c>
      <c r="BC15" s="137" t="str">
        <f>INDEX(Overview!$E$26:$X$28,MATCH(BA13,Overview!$D$26:$D$28,0),MATCH(AX12,Overview!$E$12:$X$12,0))</f>
        <v/>
      </c>
      <c r="BD15" s="16">
        <f>ROUNDUP(SUM(BA15:BC15)/25000,0)</f>
        <v>0</v>
      </c>
    </row>
    <row r="16" spans="2:80" ht="15" customHeight="1" thickTop="1" x14ac:dyDescent="0.25"/>
    <row r="17" ht="15" customHeight="1" x14ac:dyDescent="0.25"/>
    <row r="18" ht="15" customHeight="1" x14ac:dyDescent="0.25"/>
    <row r="19" ht="15" customHeight="1" x14ac:dyDescent="0.25"/>
  </sheetData>
  <mergeCells count="84">
    <mergeCell ref="B13:D13"/>
    <mergeCell ref="E13:G13"/>
    <mergeCell ref="H13:H14"/>
    <mergeCell ref="B7:H7"/>
    <mergeCell ref="B8:D8"/>
    <mergeCell ref="E8:G8"/>
    <mergeCell ref="H8:H9"/>
    <mergeCell ref="B12:H12"/>
    <mergeCell ref="E3:G3"/>
    <mergeCell ref="H3:H4"/>
    <mergeCell ref="B2:H2"/>
    <mergeCell ref="J2:P2"/>
    <mergeCell ref="J3:L3"/>
    <mergeCell ref="M3:O3"/>
    <mergeCell ref="P3:P4"/>
    <mergeCell ref="B3:D3"/>
    <mergeCell ref="R2:X2"/>
    <mergeCell ref="R3:T3"/>
    <mergeCell ref="U3:W3"/>
    <mergeCell ref="X3:X4"/>
    <mergeCell ref="Z2:AF2"/>
    <mergeCell ref="Z3:AB3"/>
    <mergeCell ref="AC3:AE3"/>
    <mergeCell ref="AF3:AF4"/>
    <mergeCell ref="AX2:BD2"/>
    <mergeCell ref="AX3:AZ3"/>
    <mergeCell ref="BA3:BC3"/>
    <mergeCell ref="BD3:BD4"/>
    <mergeCell ref="AH2:AN2"/>
    <mergeCell ref="AH3:AJ3"/>
    <mergeCell ref="AK3:AM3"/>
    <mergeCell ref="AN3:AN4"/>
    <mergeCell ref="AP2:AV2"/>
    <mergeCell ref="AP3:AR3"/>
    <mergeCell ref="AS3:AU3"/>
    <mergeCell ref="AV3:AV4"/>
    <mergeCell ref="J7:P7"/>
    <mergeCell ref="R7:X7"/>
    <mergeCell ref="Z7:AF7"/>
    <mergeCell ref="AH7:AN7"/>
    <mergeCell ref="AP7:AV7"/>
    <mergeCell ref="AX7:BD7"/>
    <mergeCell ref="J8:L8"/>
    <mergeCell ref="M8:O8"/>
    <mergeCell ref="P8:P9"/>
    <mergeCell ref="R8:T8"/>
    <mergeCell ref="U8:W8"/>
    <mergeCell ref="X8:X9"/>
    <mergeCell ref="Z8:AB8"/>
    <mergeCell ref="AC8:AE8"/>
    <mergeCell ref="AF8:AF9"/>
    <mergeCell ref="AH8:AJ8"/>
    <mergeCell ref="AK8:AM8"/>
    <mergeCell ref="AN8:AN9"/>
    <mergeCell ref="AP8:AR8"/>
    <mergeCell ref="AS8:AU8"/>
    <mergeCell ref="AV8:AV9"/>
    <mergeCell ref="AX8:AZ8"/>
    <mergeCell ref="BA8:BC8"/>
    <mergeCell ref="BD8:BD9"/>
    <mergeCell ref="J12:P12"/>
    <mergeCell ref="R12:X12"/>
    <mergeCell ref="Z12:AF12"/>
    <mergeCell ref="AH12:AN12"/>
    <mergeCell ref="AP12:AV12"/>
    <mergeCell ref="AX12:BD12"/>
    <mergeCell ref="J13:L13"/>
    <mergeCell ref="M13:O13"/>
    <mergeCell ref="P13:P14"/>
    <mergeCell ref="R13:T13"/>
    <mergeCell ref="U13:W13"/>
    <mergeCell ref="X13:X14"/>
    <mergeCell ref="Z13:AB13"/>
    <mergeCell ref="AC13:AE13"/>
    <mergeCell ref="AF13:AF14"/>
    <mergeCell ref="AH13:AJ13"/>
    <mergeCell ref="AX13:AZ13"/>
    <mergeCell ref="BA13:BC13"/>
    <mergeCell ref="BD13:BD14"/>
    <mergeCell ref="AK13:AM13"/>
    <mergeCell ref="AN13:AN14"/>
    <mergeCell ref="AP13:AR13"/>
    <mergeCell ref="AS13:AU13"/>
    <mergeCell ref="AV13:AV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5" zoomScaleNormal="85" workbookViewId="0">
      <selection activeCell="C10" sqref="C10"/>
    </sheetView>
  </sheetViews>
  <sheetFormatPr defaultRowHeight="15" x14ac:dyDescent="0.25"/>
  <cols>
    <col min="1" max="1" width="4.85546875" style="1" customWidth="1"/>
    <col min="2" max="2" width="14.5703125" style="1" bestFit="1" customWidth="1"/>
    <col min="3" max="3" width="9.85546875" style="1" bestFit="1" customWidth="1"/>
    <col min="4" max="4" width="10.140625" style="1" customWidth="1"/>
    <col min="5" max="5" width="11.42578125" style="1" customWidth="1"/>
    <col min="6" max="6" width="10.85546875" style="1" customWidth="1"/>
    <col min="7" max="7" width="14.28515625" style="1" customWidth="1"/>
    <col min="8" max="8" width="11.85546875" style="1" bestFit="1" customWidth="1"/>
    <col min="9" max="9" width="9.85546875" style="1" bestFit="1" customWidth="1"/>
    <col min="10" max="11" width="9.28515625" style="1" bestFit="1" customWidth="1"/>
    <col min="12" max="22" width="10.28515625" style="1" bestFit="1" customWidth="1"/>
    <col min="23" max="23" width="10.85546875" style="1" bestFit="1" customWidth="1"/>
    <col min="24" max="16384" width="9.140625" style="1"/>
  </cols>
  <sheetData>
    <row r="1" spans="2:23" ht="15.75" thickBot="1" x14ac:dyDescent="0.3">
      <c r="D1" s="1">
        <v>9425</v>
      </c>
    </row>
    <row r="2" spans="2:23" ht="16.5" customHeight="1" thickTop="1" thickBot="1" x14ac:dyDescent="0.3">
      <c r="B2" s="278" t="s">
        <v>0</v>
      </c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80"/>
    </row>
    <row r="3" spans="2:23" ht="45.75" thickBot="1" x14ac:dyDescent="0.3">
      <c r="B3" s="3"/>
      <c r="C3" s="104" t="str">
        <f>IF(Overview!E3="","",Overview!E3)</f>
        <v>Homeworld</v>
      </c>
      <c r="D3" s="104" t="str">
        <f>IF(Overview!F3="","",Overview!F3)</f>
        <v/>
      </c>
      <c r="E3" s="104" t="str">
        <f>IF(Overview!G3="","",Overview!G3)</f>
        <v/>
      </c>
      <c r="F3" s="104" t="str">
        <f>IF(Overview!H3="","",Overview!H3)</f>
        <v/>
      </c>
      <c r="G3" s="104" t="str">
        <f>IF(Overview!I3="","",Overview!I3)</f>
        <v/>
      </c>
      <c r="H3" s="104" t="str">
        <f>IF(Overview!J3="","",Overview!J3)</f>
        <v/>
      </c>
      <c r="I3" s="104" t="str">
        <f>IF(Overview!K3="","",Overview!K3)</f>
        <v/>
      </c>
      <c r="J3" s="104" t="str">
        <f>IF(Overview!L3="","",Overview!L3)</f>
        <v/>
      </c>
      <c r="K3" s="104" t="str">
        <f>IF(Overview!M3="","",Overview!M3)</f>
        <v/>
      </c>
      <c r="L3" s="104" t="str">
        <f>IF(Overview!N3="","",Overview!N3)</f>
        <v/>
      </c>
      <c r="M3" s="104" t="str">
        <f>IF(Overview!O3="","",Overview!O3)</f>
        <v/>
      </c>
      <c r="N3" s="104" t="str">
        <f>IF(Overview!P3="","",Overview!P3)</f>
        <v/>
      </c>
      <c r="O3" s="104" t="str">
        <f>IF(Overview!Q3="","",Overview!Q3)</f>
        <v/>
      </c>
      <c r="P3" s="104" t="str">
        <f>IF(Overview!R3="","",Overview!R3)</f>
        <v/>
      </c>
      <c r="Q3" s="104" t="str">
        <f>IF(Overview!S3="","",Overview!S3)</f>
        <v/>
      </c>
      <c r="R3" s="104" t="str">
        <f>IF(Overview!T3="","",Overview!T3)</f>
        <v/>
      </c>
      <c r="S3" s="104" t="str">
        <f>IF(Overview!U3="","",Overview!U3)</f>
        <v/>
      </c>
      <c r="T3" s="104" t="str">
        <f>IF(Overview!V3="","",Overview!V3)</f>
        <v/>
      </c>
      <c r="U3" s="104" t="str">
        <f>IF(Overview!W3="","",Overview!W3)</f>
        <v/>
      </c>
      <c r="V3" s="104" t="str">
        <f>IF(Overview!X3="","",Overview!X3)</f>
        <v/>
      </c>
      <c r="W3" s="5" t="s">
        <v>8</v>
      </c>
    </row>
    <row r="4" spans="2:23" ht="15.75" customHeight="1" thickBot="1" x14ac:dyDescent="0.3">
      <c r="B4" s="3" t="s">
        <v>3</v>
      </c>
      <c r="C4" s="107">
        <v>120</v>
      </c>
      <c r="D4" s="107" t="str">
        <f>IF(D3&lt;&gt;"",210," ")</f>
        <v xml:space="preserve"> </v>
      </c>
      <c r="E4" s="107" t="str">
        <f>IF(E3&lt;&gt;"",210," ")</f>
        <v xml:space="preserve"> </v>
      </c>
      <c r="F4" s="107" t="str">
        <f t="shared" ref="F4:V4" si="0">IF(F3&lt;&gt;"",210," ")</f>
        <v xml:space="preserve"> </v>
      </c>
      <c r="G4" s="107" t="str">
        <f t="shared" si="0"/>
        <v xml:space="preserve"> </v>
      </c>
      <c r="H4" s="107" t="str">
        <f t="shared" si="0"/>
        <v xml:space="preserve"> </v>
      </c>
      <c r="I4" s="107" t="str">
        <f t="shared" si="0"/>
        <v xml:space="preserve"> </v>
      </c>
      <c r="J4" s="107" t="str">
        <f t="shared" si="0"/>
        <v xml:space="preserve"> </v>
      </c>
      <c r="K4" s="107" t="str">
        <f t="shared" si="0"/>
        <v xml:space="preserve"> </v>
      </c>
      <c r="L4" s="107" t="str">
        <f t="shared" si="0"/>
        <v xml:space="preserve"> </v>
      </c>
      <c r="M4" s="107" t="str">
        <f t="shared" si="0"/>
        <v xml:space="preserve"> </v>
      </c>
      <c r="N4" s="107" t="str">
        <f t="shared" si="0"/>
        <v xml:space="preserve"> </v>
      </c>
      <c r="O4" s="107" t="str">
        <f t="shared" si="0"/>
        <v xml:space="preserve"> </v>
      </c>
      <c r="P4" s="107" t="str">
        <f t="shared" si="0"/>
        <v xml:space="preserve"> </v>
      </c>
      <c r="Q4" s="107" t="str">
        <f t="shared" si="0"/>
        <v xml:space="preserve"> </v>
      </c>
      <c r="R4" s="107" t="str">
        <f t="shared" si="0"/>
        <v xml:space="preserve"> </v>
      </c>
      <c r="S4" s="107" t="str">
        <f t="shared" si="0"/>
        <v xml:space="preserve"> </v>
      </c>
      <c r="T4" s="107" t="str">
        <f t="shared" si="0"/>
        <v xml:space="preserve"> </v>
      </c>
      <c r="U4" s="107" t="str">
        <f t="shared" si="0"/>
        <v xml:space="preserve"> </v>
      </c>
      <c r="V4" s="107" t="str">
        <f t="shared" si="0"/>
        <v xml:space="preserve"> </v>
      </c>
      <c r="W4" s="109">
        <f>SUM(C4:V4)</f>
        <v>120</v>
      </c>
    </row>
    <row r="5" spans="2:23" ht="15.75" customHeight="1" thickBot="1" x14ac:dyDescent="0.3">
      <c r="B5" s="3" t="s">
        <v>7</v>
      </c>
      <c r="C5" s="107">
        <f>IF(C3&lt;&gt;"",ROUNDUP(210*Overview!E13*(1.1^Overview!E13),0)," ")</f>
        <v>0</v>
      </c>
      <c r="D5" s="107" t="str">
        <f>IF(D3&lt;&gt;"",ROUNDUP(210*Overview!F13*(1.1^Overview!F13),0)," ")</f>
        <v xml:space="preserve"> </v>
      </c>
      <c r="E5" s="107" t="str">
        <f>IF(E3&lt;&gt;"",ROUNDUP(210*Overview!G13*(1.1^Overview!G13),0)," ")</f>
        <v xml:space="preserve"> </v>
      </c>
      <c r="F5" s="107" t="str">
        <f>IF(F3&lt;&gt;"",ROUNDUP(210*Overview!H13*(1.1^Overview!H13),0)," ")</f>
        <v xml:space="preserve"> </v>
      </c>
      <c r="G5" s="107" t="str">
        <f>IF(G3&lt;&gt;"",ROUNDUP(210*Overview!I13*(1.1^Overview!I13),0)," ")</f>
        <v xml:space="preserve"> </v>
      </c>
      <c r="H5" s="107" t="str">
        <f>IF(H3&lt;&gt;"",ROUNDUP(210*Overview!J13*(1.1^Overview!J13),0)," ")</f>
        <v xml:space="preserve"> </v>
      </c>
      <c r="I5" s="107" t="str">
        <f>IF(I3&lt;&gt;"",ROUNDUP(210*Overview!K13*(1.1^Overview!K13),0)," ")</f>
        <v xml:space="preserve"> </v>
      </c>
      <c r="J5" s="107" t="str">
        <f>IF(J3&lt;&gt;"",ROUNDUP(210*Overview!L13*(1.1^Overview!L13),0)," ")</f>
        <v xml:space="preserve"> </v>
      </c>
      <c r="K5" s="107" t="str">
        <f>IF(K3&lt;&gt;"",ROUNDUP(210*Overview!M13*(1.1^Overview!M13),0)," ")</f>
        <v xml:space="preserve"> </v>
      </c>
      <c r="L5" s="107" t="str">
        <f>IF(L3&lt;&gt;"",ROUNDUP(210*Overview!N13*(1.1^Overview!N13),0)," ")</f>
        <v xml:space="preserve"> </v>
      </c>
      <c r="M5" s="107" t="str">
        <f>IF(M3&lt;&gt;"",ROUNDUP(210*Overview!O13*(1.1^Overview!O13),0)," ")</f>
        <v xml:space="preserve"> </v>
      </c>
      <c r="N5" s="107" t="str">
        <f>IF(N3&lt;&gt;"",ROUNDUP(210*Overview!P13*(1.1^Overview!P13),0)," ")</f>
        <v xml:space="preserve"> </v>
      </c>
      <c r="O5" s="107" t="str">
        <f>IF(O3&lt;&gt;"",ROUNDUP(210*Overview!Q13*(1.1^Overview!Q13),0)," ")</f>
        <v xml:space="preserve"> </v>
      </c>
      <c r="P5" s="107" t="str">
        <f>IF(P3&lt;&gt;"",ROUNDUP(210*Overview!R13*(1.1^Overview!R13),0)," ")</f>
        <v xml:space="preserve"> </v>
      </c>
      <c r="Q5" s="107" t="str">
        <f>IF(Q3&lt;&gt;"",ROUNDUP(210*Overview!S13*(1.1^Overview!S13),0)," ")</f>
        <v xml:space="preserve"> </v>
      </c>
      <c r="R5" s="107" t="str">
        <f>IF(R3&lt;&gt;"",ROUNDUP(210*Overview!T13*(1.1^Overview!T13),0)," ")</f>
        <v xml:space="preserve"> </v>
      </c>
      <c r="S5" s="107" t="str">
        <f>IF(S3&lt;&gt;"",ROUNDUP(210*Overview!U13*(1.1^Overview!U13),0)," ")</f>
        <v xml:space="preserve"> </v>
      </c>
      <c r="T5" s="107" t="str">
        <f>IF(T3&lt;&gt;"",ROUNDUP(210*Overview!V13*(1.1^Overview!V13),0)," ")</f>
        <v xml:space="preserve"> </v>
      </c>
      <c r="U5" s="107" t="str">
        <f>IF(U3&lt;&gt;"",ROUNDUP(210*Overview!W13*(1.1^Overview!W13),0)," ")</f>
        <v xml:space="preserve"> </v>
      </c>
      <c r="V5" s="107" t="str">
        <f>IF(V3&lt;&gt;"",ROUNDUP(210*Overview!X13*(1.1^Overview!X13),0)," ")</f>
        <v xml:space="preserve"> </v>
      </c>
      <c r="W5" s="109">
        <f t="shared" ref="W5:W12" si="1">SUM(C5:V5)</f>
        <v>0</v>
      </c>
    </row>
    <row r="6" spans="2:23" ht="15.75" customHeight="1" thickBot="1" x14ac:dyDescent="0.3">
      <c r="B6" s="3" t="s">
        <v>110</v>
      </c>
      <c r="C6" s="107">
        <f>IF(C3&lt;&gt;"",ROUNDUP(C5*0.01*Research!$D$7,0)," ")</f>
        <v>0</v>
      </c>
      <c r="D6" s="107" t="str">
        <f>IF(D3&lt;&gt;"",ROUNDUP(D5*0.01*Research!$D$7,0)," ")</f>
        <v xml:space="preserve"> </v>
      </c>
      <c r="E6" s="107" t="str">
        <f>IF(E3&lt;&gt;"",ROUNDUP(E5*0.01*Research!$D$7,0)," ")</f>
        <v xml:space="preserve"> </v>
      </c>
      <c r="F6" s="107" t="str">
        <f>IF(F3&lt;&gt;"",ROUNDUP(F5*0.01*Research!$D$7,0)," ")</f>
        <v xml:space="preserve"> </v>
      </c>
      <c r="G6" s="107" t="str">
        <f>IF(G3&lt;&gt;"",ROUNDUP(G5*0.01*Research!$D$7,0)," ")</f>
        <v xml:space="preserve"> </v>
      </c>
      <c r="H6" s="107" t="str">
        <f>IF(H3&lt;&gt;"",ROUNDUP(H5*0.01*Research!$D$7,0)," ")</f>
        <v xml:space="preserve"> </v>
      </c>
      <c r="I6" s="107" t="str">
        <f>IF(I3&lt;&gt;"",ROUNDUP(I5*0.01*Research!$D$7,0)," ")</f>
        <v xml:space="preserve"> </v>
      </c>
      <c r="J6" s="107" t="str">
        <f>IF(J3&lt;&gt;"",ROUNDUP(J5*0.01*Research!$D$7,0)," ")</f>
        <v xml:space="preserve"> </v>
      </c>
      <c r="K6" s="107" t="str">
        <f>IF(K3&lt;&gt;"",ROUNDUP(K5*0.01*Research!$D$7,0)," ")</f>
        <v xml:space="preserve"> </v>
      </c>
      <c r="L6" s="107" t="str">
        <f>IF(L3&lt;&gt;"",ROUNDUP(L5*0.01*Research!$D$7,0)," ")</f>
        <v xml:space="preserve"> </v>
      </c>
      <c r="M6" s="107" t="str">
        <f>IF(M3&lt;&gt;"",ROUNDUP(M5*0.01*Research!$D$7,0)," ")</f>
        <v xml:space="preserve"> </v>
      </c>
      <c r="N6" s="107" t="str">
        <f>IF(N3&lt;&gt;"",ROUNDUP(N5*0.01*Research!$D$7,0)," ")</f>
        <v xml:space="preserve"> </v>
      </c>
      <c r="O6" s="107" t="str">
        <f>IF(O3&lt;&gt;"",ROUNDUP(O5*0.01*Research!$D$7,0)," ")</f>
        <v xml:space="preserve"> </v>
      </c>
      <c r="P6" s="107" t="str">
        <f>IF(P3&lt;&gt;"",ROUNDUP(P5*0.01*Research!$D$7,0)," ")</f>
        <v xml:space="preserve"> </v>
      </c>
      <c r="Q6" s="107" t="str">
        <f>IF(Q3&lt;&gt;"",ROUNDUP(Q5*0.01*Research!$D$7,0)," ")</f>
        <v xml:space="preserve"> </v>
      </c>
      <c r="R6" s="107" t="str">
        <f>IF(R3&lt;&gt;"",ROUNDUP(R5*0.01*Research!$D$7,0)," ")</f>
        <v xml:space="preserve"> </v>
      </c>
      <c r="S6" s="107" t="str">
        <f>IF(S3&lt;&gt;"",ROUNDUP(S5*0.01*Research!$D$7,0)," ")</f>
        <v xml:space="preserve"> </v>
      </c>
      <c r="T6" s="107" t="str">
        <f>IF(T3&lt;&gt;"",ROUNDUP(T5*0.01*Research!$D$7,0)," ")</f>
        <v xml:space="preserve"> </v>
      </c>
      <c r="U6" s="107" t="str">
        <f>IF(U3&lt;&gt;"",ROUNDUP(U5*0.01*Research!$D$7,0)," ")</f>
        <v xml:space="preserve"> </v>
      </c>
      <c r="V6" s="107" t="str">
        <f>IF(V3&lt;&gt;"",ROUNDUP(V5*0.01*Research!$D$7,0)," ")</f>
        <v xml:space="preserve"> </v>
      </c>
      <c r="W6" s="109">
        <f t="shared" si="1"/>
        <v>0</v>
      </c>
    </row>
    <row r="7" spans="2:23" s="126" customFormat="1" ht="15.75" customHeight="1" thickBot="1" x14ac:dyDescent="0.3">
      <c r="B7" s="3" t="s">
        <v>176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9"/>
    </row>
    <row r="8" spans="2:23" s="126" customFormat="1" ht="15.75" customHeight="1" thickBot="1" x14ac:dyDescent="0.3">
      <c r="B8" s="3" t="s">
        <v>174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9"/>
    </row>
    <row r="9" spans="2:23" s="126" customFormat="1" ht="15.75" customHeight="1" thickBot="1" x14ac:dyDescent="0.3">
      <c r="B9" s="3" t="s">
        <v>175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9"/>
    </row>
    <row r="10" spans="2:23" ht="15.75" customHeight="1" thickBot="1" x14ac:dyDescent="0.3">
      <c r="B10" s="3" t="s">
        <v>4</v>
      </c>
      <c r="C10" s="108">
        <f t="shared" ref="C10:D10" si="2">IF(C3&lt;&gt;"",C4+C5+C6+C8+C9," ")</f>
        <v>120</v>
      </c>
      <c r="D10" s="108" t="str">
        <f t="shared" si="2"/>
        <v xml:space="preserve"> </v>
      </c>
      <c r="E10" s="108" t="str">
        <f>IF(E3&lt;&gt;"",E4+E5+E6+E8+E9," ")</f>
        <v xml:space="preserve"> </v>
      </c>
      <c r="F10" s="108" t="str">
        <f t="shared" ref="F10:V10" si="3">IF(F3&lt;&gt;"",F4+F5+F6," ")</f>
        <v xml:space="preserve"> </v>
      </c>
      <c r="G10" s="108" t="str">
        <f t="shared" si="3"/>
        <v xml:space="preserve"> </v>
      </c>
      <c r="H10" s="108" t="str">
        <f t="shared" si="3"/>
        <v xml:space="preserve"> </v>
      </c>
      <c r="I10" s="108" t="str">
        <f t="shared" si="3"/>
        <v xml:space="preserve"> </v>
      </c>
      <c r="J10" s="108" t="str">
        <f t="shared" si="3"/>
        <v xml:space="preserve"> </v>
      </c>
      <c r="K10" s="108" t="str">
        <f t="shared" si="3"/>
        <v xml:space="preserve"> </v>
      </c>
      <c r="L10" s="108" t="str">
        <f t="shared" si="3"/>
        <v xml:space="preserve"> </v>
      </c>
      <c r="M10" s="108" t="str">
        <f t="shared" si="3"/>
        <v xml:space="preserve"> </v>
      </c>
      <c r="N10" s="108" t="str">
        <f t="shared" si="3"/>
        <v xml:space="preserve"> </v>
      </c>
      <c r="O10" s="108" t="str">
        <f t="shared" si="3"/>
        <v xml:space="preserve"> </v>
      </c>
      <c r="P10" s="108" t="str">
        <f t="shared" si="3"/>
        <v xml:space="preserve"> </v>
      </c>
      <c r="Q10" s="108" t="str">
        <f t="shared" si="3"/>
        <v xml:space="preserve"> </v>
      </c>
      <c r="R10" s="108" t="str">
        <f t="shared" si="3"/>
        <v xml:space="preserve"> </v>
      </c>
      <c r="S10" s="108" t="str">
        <f t="shared" si="3"/>
        <v xml:space="preserve"> </v>
      </c>
      <c r="T10" s="108" t="str">
        <f t="shared" si="3"/>
        <v xml:space="preserve"> </v>
      </c>
      <c r="U10" s="108" t="str">
        <f t="shared" si="3"/>
        <v xml:space="preserve"> </v>
      </c>
      <c r="V10" s="108" t="str">
        <f t="shared" si="3"/>
        <v xml:space="preserve"> </v>
      </c>
      <c r="W10" s="109">
        <f t="shared" si="1"/>
        <v>120</v>
      </c>
    </row>
    <row r="11" spans="2:23" ht="15.75" customHeight="1" thickBot="1" x14ac:dyDescent="0.3">
      <c r="B11" s="3" t="s">
        <v>5</v>
      </c>
      <c r="C11" s="108">
        <f t="shared" ref="C11:V11" si="4">IF(C3&lt;&gt;"",C10*24," ")</f>
        <v>2880</v>
      </c>
      <c r="D11" s="108" t="str">
        <f t="shared" si="4"/>
        <v xml:space="preserve"> </v>
      </c>
      <c r="E11" s="108" t="str">
        <f t="shared" si="4"/>
        <v xml:space="preserve"> </v>
      </c>
      <c r="F11" s="108" t="str">
        <f t="shared" si="4"/>
        <v xml:space="preserve"> </v>
      </c>
      <c r="G11" s="108" t="str">
        <f t="shared" si="4"/>
        <v xml:space="preserve"> </v>
      </c>
      <c r="H11" s="108" t="str">
        <f t="shared" si="4"/>
        <v xml:space="preserve"> </v>
      </c>
      <c r="I11" s="108" t="str">
        <f t="shared" si="4"/>
        <v xml:space="preserve"> </v>
      </c>
      <c r="J11" s="108" t="str">
        <f t="shared" si="4"/>
        <v xml:space="preserve"> </v>
      </c>
      <c r="K11" s="108" t="str">
        <f t="shared" si="4"/>
        <v xml:space="preserve"> </v>
      </c>
      <c r="L11" s="108" t="str">
        <f t="shared" si="4"/>
        <v xml:space="preserve"> </v>
      </c>
      <c r="M11" s="108" t="str">
        <f t="shared" si="4"/>
        <v xml:space="preserve"> </v>
      </c>
      <c r="N11" s="108" t="str">
        <f t="shared" si="4"/>
        <v xml:space="preserve"> </v>
      </c>
      <c r="O11" s="108" t="str">
        <f t="shared" si="4"/>
        <v xml:space="preserve"> </v>
      </c>
      <c r="P11" s="108" t="str">
        <f t="shared" si="4"/>
        <v xml:space="preserve"> </v>
      </c>
      <c r="Q11" s="108" t="str">
        <f t="shared" si="4"/>
        <v xml:space="preserve"> </v>
      </c>
      <c r="R11" s="108" t="str">
        <f t="shared" si="4"/>
        <v xml:space="preserve"> </v>
      </c>
      <c r="S11" s="108" t="str">
        <f t="shared" si="4"/>
        <v xml:space="preserve"> </v>
      </c>
      <c r="T11" s="108" t="str">
        <f t="shared" si="4"/>
        <v xml:space="preserve"> </v>
      </c>
      <c r="U11" s="108" t="str">
        <f t="shared" si="4"/>
        <v xml:space="preserve"> </v>
      </c>
      <c r="V11" s="108" t="str">
        <f t="shared" si="4"/>
        <v xml:space="preserve"> </v>
      </c>
      <c r="W11" s="109">
        <f t="shared" si="1"/>
        <v>2880</v>
      </c>
    </row>
    <row r="12" spans="2:23" ht="15.75" customHeight="1" thickBot="1" x14ac:dyDescent="0.3">
      <c r="B12" s="7" t="s">
        <v>6</v>
      </c>
      <c r="C12" s="110">
        <f t="shared" ref="C12:V12" si="5">IF(C3&lt;&gt;"",C11*7," ")</f>
        <v>20160</v>
      </c>
      <c r="D12" s="110" t="str">
        <f t="shared" si="5"/>
        <v xml:space="preserve"> </v>
      </c>
      <c r="E12" s="110" t="str">
        <f t="shared" si="5"/>
        <v xml:space="preserve"> </v>
      </c>
      <c r="F12" s="110" t="str">
        <f t="shared" si="5"/>
        <v xml:space="preserve"> </v>
      </c>
      <c r="G12" s="110" t="str">
        <f t="shared" si="5"/>
        <v xml:space="preserve"> </v>
      </c>
      <c r="H12" s="110" t="str">
        <f t="shared" si="5"/>
        <v xml:space="preserve"> </v>
      </c>
      <c r="I12" s="110" t="str">
        <f t="shared" si="5"/>
        <v xml:space="preserve"> </v>
      </c>
      <c r="J12" s="110" t="str">
        <f t="shared" si="5"/>
        <v xml:space="preserve"> </v>
      </c>
      <c r="K12" s="110" t="str">
        <f t="shared" si="5"/>
        <v xml:space="preserve"> </v>
      </c>
      <c r="L12" s="110" t="str">
        <f t="shared" si="5"/>
        <v xml:space="preserve"> </v>
      </c>
      <c r="M12" s="110" t="str">
        <f t="shared" si="5"/>
        <v xml:space="preserve"> </v>
      </c>
      <c r="N12" s="110" t="str">
        <f t="shared" si="5"/>
        <v xml:space="preserve"> </v>
      </c>
      <c r="O12" s="110" t="str">
        <f t="shared" si="5"/>
        <v xml:space="preserve"> </v>
      </c>
      <c r="P12" s="110" t="str">
        <f t="shared" si="5"/>
        <v xml:space="preserve"> </v>
      </c>
      <c r="Q12" s="110" t="str">
        <f t="shared" si="5"/>
        <v xml:space="preserve"> </v>
      </c>
      <c r="R12" s="110" t="str">
        <f t="shared" si="5"/>
        <v xml:space="preserve"> </v>
      </c>
      <c r="S12" s="110" t="str">
        <f t="shared" si="5"/>
        <v xml:space="preserve"> </v>
      </c>
      <c r="T12" s="110" t="str">
        <f t="shared" si="5"/>
        <v xml:space="preserve"> </v>
      </c>
      <c r="U12" s="110" t="str">
        <f t="shared" si="5"/>
        <v xml:space="preserve"> </v>
      </c>
      <c r="V12" s="110" t="str">
        <f t="shared" si="5"/>
        <v xml:space="preserve"> </v>
      </c>
      <c r="W12" s="109">
        <f t="shared" si="1"/>
        <v>20160</v>
      </c>
    </row>
    <row r="13" spans="2:23" ht="16.5" customHeight="1" thickTop="1" thickBot="1" x14ac:dyDescent="0.3">
      <c r="H13" s="39"/>
    </row>
    <row r="14" spans="2:23" ht="16.5" customHeight="1" thickTop="1" thickBot="1" x14ac:dyDescent="0.3">
      <c r="B14" s="278" t="s">
        <v>1</v>
      </c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80"/>
    </row>
    <row r="15" spans="2:23" ht="45.75" thickBot="1" x14ac:dyDescent="0.3">
      <c r="B15" s="3"/>
      <c r="C15" s="104" t="str">
        <f t="shared" ref="C15:V15" si="6">C3</f>
        <v>Homeworld</v>
      </c>
      <c r="D15" s="104" t="str">
        <f t="shared" si="6"/>
        <v/>
      </c>
      <c r="E15" s="104" t="str">
        <f t="shared" si="6"/>
        <v/>
      </c>
      <c r="F15" s="104" t="str">
        <f t="shared" si="6"/>
        <v/>
      </c>
      <c r="G15" s="104" t="str">
        <f t="shared" si="6"/>
        <v/>
      </c>
      <c r="H15" s="104" t="str">
        <f t="shared" si="6"/>
        <v/>
      </c>
      <c r="I15" s="104" t="str">
        <f t="shared" si="6"/>
        <v/>
      </c>
      <c r="J15" s="104" t="str">
        <f t="shared" si="6"/>
        <v/>
      </c>
      <c r="K15" s="104" t="str">
        <f t="shared" si="6"/>
        <v/>
      </c>
      <c r="L15" s="104" t="str">
        <f t="shared" si="6"/>
        <v/>
      </c>
      <c r="M15" s="104" t="str">
        <f t="shared" si="6"/>
        <v/>
      </c>
      <c r="N15" s="104" t="str">
        <f t="shared" si="6"/>
        <v/>
      </c>
      <c r="O15" s="104" t="str">
        <f t="shared" si="6"/>
        <v/>
      </c>
      <c r="P15" s="104" t="str">
        <f t="shared" si="6"/>
        <v/>
      </c>
      <c r="Q15" s="104" t="str">
        <f t="shared" si="6"/>
        <v/>
      </c>
      <c r="R15" s="104" t="str">
        <f t="shared" si="6"/>
        <v/>
      </c>
      <c r="S15" s="104" t="str">
        <f t="shared" si="6"/>
        <v/>
      </c>
      <c r="T15" s="104" t="str">
        <f t="shared" si="6"/>
        <v/>
      </c>
      <c r="U15" s="104" t="str">
        <f t="shared" si="6"/>
        <v/>
      </c>
      <c r="V15" s="104" t="str">
        <f t="shared" si="6"/>
        <v/>
      </c>
      <c r="W15" s="5" t="s">
        <v>8</v>
      </c>
    </row>
    <row r="16" spans="2:23" ht="15.75" customHeight="1" thickBot="1" x14ac:dyDescent="0.3">
      <c r="B16" s="8" t="s">
        <v>3</v>
      </c>
      <c r="C16" s="107">
        <v>60</v>
      </c>
      <c r="D16" s="107" t="str">
        <f>IF(D15&lt;&gt;"",105," ")</f>
        <v xml:space="preserve"> </v>
      </c>
      <c r="E16" s="107" t="str">
        <f>IF(E15&lt;&gt;"",105," ")</f>
        <v xml:space="preserve"> </v>
      </c>
      <c r="F16" s="107" t="str">
        <f t="shared" ref="F16:V16" si="7">IF(F15&lt;&gt;"",105," ")</f>
        <v xml:space="preserve"> </v>
      </c>
      <c r="G16" s="107" t="str">
        <f t="shared" si="7"/>
        <v xml:space="preserve"> </v>
      </c>
      <c r="H16" s="107" t="str">
        <f t="shared" si="7"/>
        <v xml:space="preserve"> </v>
      </c>
      <c r="I16" s="107" t="str">
        <f t="shared" si="7"/>
        <v xml:space="preserve"> </v>
      </c>
      <c r="J16" s="107" t="str">
        <f t="shared" si="7"/>
        <v xml:space="preserve"> </v>
      </c>
      <c r="K16" s="107" t="str">
        <f t="shared" si="7"/>
        <v xml:space="preserve"> </v>
      </c>
      <c r="L16" s="107" t="str">
        <f t="shared" si="7"/>
        <v xml:space="preserve"> </v>
      </c>
      <c r="M16" s="107" t="str">
        <f t="shared" si="7"/>
        <v xml:space="preserve"> </v>
      </c>
      <c r="N16" s="107" t="str">
        <f t="shared" si="7"/>
        <v xml:space="preserve"> </v>
      </c>
      <c r="O16" s="107" t="str">
        <f t="shared" si="7"/>
        <v xml:space="preserve"> </v>
      </c>
      <c r="P16" s="107" t="str">
        <f t="shared" si="7"/>
        <v xml:space="preserve"> </v>
      </c>
      <c r="Q16" s="107" t="str">
        <f t="shared" si="7"/>
        <v xml:space="preserve"> </v>
      </c>
      <c r="R16" s="107" t="str">
        <f t="shared" si="7"/>
        <v xml:space="preserve"> </v>
      </c>
      <c r="S16" s="107" t="str">
        <f t="shared" si="7"/>
        <v xml:space="preserve"> </v>
      </c>
      <c r="T16" s="107" t="str">
        <f t="shared" si="7"/>
        <v xml:space="preserve"> </v>
      </c>
      <c r="U16" s="107" t="str">
        <f t="shared" si="7"/>
        <v xml:space="preserve"> </v>
      </c>
      <c r="V16" s="107" t="str">
        <f t="shared" si="7"/>
        <v xml:space="preserve"> </v>
      </c>
      <c r="W16" s="109">
        <f>SUM(C16:V16)</f>
        <v>60</v>
      </c>
    </row>
    <row r="17" spans="2:23" ht="15.75" customHeight="1" thickBot="1" x14ac:dyDescent="0.3">
      <c r="B17" s="8" t="s">
        <v>7</v>
      </c>
      <c r="C17" s="107">
        <f>IF(C15&lt;&gt;"",ROUNDUP(140*Overview!E15*(1.1^Overview!E15),0)," ")</f>
        <v>0</v>
      </c>
      <c r="D17" s="107" t="str">
        <f>IF(D15&lt;&gt;"",ROUNDUP(140*Overview!F15*(1.1^Overview!F15),0)," ")</f>
        <v xml:space="preserve"> </v>
      </c>
      <c r="E17" s="107" t="str">
        <f>IF(E15&lt;&gt;"",ROUNDUP(140*Overview!G15*(1.1^Overview!G15),0)," ")</f>
        <v xml:space="preserve"> </v>
      </c>
      <c r="F17" s="107" t="str">
        <f>IF(F15&lt;&gt;"",ROUNDUP(140*Overview!H15*(1.1^Overview!H15),0)," ")</f>
        <v xml:space="preserve"> </v>
      </c>
      <c r="G17" s="107" t="str">
        <f>IF(G15&lt;&gt;"",ROUNDUP(140*Overview!I15*(1.1^Overview!I15),0)," ")</f>
        <v xml:space="preserve"> </v>
      </c>
      <c r="H17" s="107" t="str">
        <f>IF(H15&lt;&gt;"",ROUNDUP(140*Overview!J15*(1.1^Overview!J15),0)," ")</f>
        <v xml:space="preserve"> </v>
      </c>
      <c r="I17" s="107" t="str">
        <f>IF(I15&lt;&gt;"",ROUNDUP(140*Overview!K15*(1.1^Overview!K15),0)," ")</f>
        <v xml:space="preserve"> </v>
      </c>
      <c r="J17" s="107" t="str">
        <f>IF(J15&lt;&gt;"",ROUNDUP(140*Overview!L15*(1.1^Overview!L15),0)," ")</f>
        <v xml:space="preserve"> </v>
      </c>
      <c r="K17" s="107" t="str">
        <f>IF(K15&lt;&gt;"",ROUNDUP(140*Overview!M15*(1.1^Overview!M15),0)," ")</f>
        <v xml:space="preserve"> </v>
      </c>
      <c r="L17" s="107" t="str">
        <f>IF(L15&lt;&gt;"",ROUNDUP(140*Overview!N15*(1.1^Overview!N15),0)," ")</f>
        <v xml:space="preserve"> </v>
      </c>
      <c r="M17" s="107" t="str">
        <f>IF(M15&lt;&gt;"",ROUNDUP(140*Overview!O15*(1.1^Overview!O15),0)," ")</f>
        <v xml:space="preserve"> </v>
      </c>
      <c r="N17" s="107" t="str">
        <f>IF(N15&lt;&gt;"",ROUNDUP(140*Overview!P15*(1.1^Overview!P15),0)," ")</f>
        <v xml:space="preserve"> </v>
      </c>
      <c r="O17" s="107" t="str">
        <f>IF(O15&lt;&gt;"",ROUNDUP(140*Overview!Q15*(1.1^Overview!Q15),0)," ")</f>
        <v xml:space="preserve"> </v>
      </c>
      <c r="P17" s="107" t="str">
        <f>IF(P15&lt;&gt;"",ROUNDUP(140*Overview!R15*(1.1^Overview!R15),0)," ")</f>
        <v xml:space="preserve"> </v>
      </c>
      <c r="Q17" s="107" t="str">
        <f>IF(Q15&lt;&gt;"",ROUNDUP(140*Overview!S15*(1.1^Overview!S15),0)," ")</f>
        <v xml:space="preserve"> </v>
      </c>
      <c r="R17" s="107" t="str">
        <f>IF(R15&lt;&gt;"",ROUNDUP(140*Overview!T15*(1.1^Overview!T15),0)," ")</f>
        <v xml:space="preserve"> </v>
      </c>
      <c r="S17" s="107" t="str">
        <f>IF(S15&lt;&gt;"",ROUNDUP(140*Overview!U15*(1.1^Overview!U15),0)," ")</f>
        <v xml:space="preserve"> </v>
      </c>
      <c r="T17" s="107" t="str">
        <f>IF(T15&lt;&gt;"",ROUNDUP(140*Overview!V15*(1.1^Overview!V15),0)," ")</f>
        <v xml:space="preserve"> </v>
      </c>
      <c r="U17" s="107" t="str">
        <f>IF(U15&lt;&gt;"",ROUNDUP(140*Overview!W15*(1.1^Overview!W15),0)," ")</f>
        <v xml:space="preserve"> </v>
      </c>
      <c r="V17" s="107" t="str">
        <f>IF(V15&lt;&gt;"",ROUNDUP(140*Overview!X15*(1.1^Overview!X15),0)," ")</f>
        <v xml:space="preserve"> </v>
      </c>
      <c r="W17" s="109">
        <f t="shared" ref="W17:W24" si="8">SUM(C17:V17)</f>
        <v>0</v>
      </c>
    </row>
    <row r="18" spans="2:23" ht="15.75" customHeight="1" thickBot="1" x14ac:dyDescent="0.3">
      <c r="B18" s="8" t="s">
        <v>110</v>
      </c>
      <c r="C18" s="107">
        <f>IF(C15&lt;&gt;"",ROUNDUP(C17*0.0066*Research!$D$7,0)," ")</f>
        <v>0</v>
      </c>
      <c r="D18" s="107" t="str">
        <f>IF(D15&lt;&gt;"",ROUNDUP(D17*0.0066*Research!$D$7,0)," ")</f>
        <v xml:space="preserve"> </v>
      </c>
      <c r="E18" s="107" t="str">
        <f>IF(E15&lt;&gt;"",ROUNDUP(E17*0.0066*Research!$D$7,0)," ")</f>
        <v xml:space="preserve"> </v>
      </c>
      <c r="F18" s="107" t="str">
        <f>IF(F15&lt;&gt;"",ROUNDUP(F17*0.0066*Research!$D$7,0)," ")</f>
        <v xml:space="preserve"> </v>
      </c>
      <c r="G18" s="107" t="str">
        <f>IF(G15&lt;&gt;"",ROUNDUP(G17*0.0066*Research!$D$7,0)," ")</f>
        <v xml:space="preserve"> </v>
      </c>
      <c r="H18" s="107" t="str">
        <f>IF(H15&lt;&gt;"",ROUNDUP(H17*0.0066*Research!$D$7,0)," ")</f>
        <v xml:space="preserve"> </v>
      </c>
      <c r="I18" s="107" t="str">
        <f>IF(I15&lt;&gt;"",ROUNDUP(I17*0.0066*Research!$D$7,0)," ")</f>
        <v xml:space="preserve"> </v>
      </c>
      <c r="J18" s="107" t="str">
        <f>IF(J15&lt;&gt;"",ROUNDUP(J17*0.0066*Research!$D$7,0)," ")</f>
        <v xml:space="preserve"> </v>
      </c>
      <c r="K18" s="107" t="str">
        <f>IF(K15&lt;&gt;"",ROUNDUP(K17*0.0066*Research!$D$7,0)," ")</f>
        <v xml:space="preserve"> </v>
      </c>
      <c r="L18" s="107" t="str">
        <f>IF(L15&lt;&gt;"",ROUNDUP(L17*0.0066*Research!$D$7,0)," ")</f>
        <v xml:space="preserve"> </v>
      </c>
      <c r="M18" s="107" t="str">
        <f>IF(M15&lt;&gt;"",ROUNDUP(M17*0.0066*Research!$D$7,0)," ")</f>
        <v xml:space="preserve"> </v>
      </c>
      <c r="N18" s="107" t="str">
        <f>IF(N15&lt;&gt;"",ROUNDUP(N17*0.0066*Research!$D$7,0)," ")</f>
        <v xml:space="preserve"> </v>
      </c>
      <c r="O18" s="107" t="str">
        <f>IF(O15&lt;&gt;"",ROUNDUP(O17*0.0066*Research!$D$7,0)," ")</f>
        <v xml:space="preserve"> </v>
      </c>
      <c r="P18" s="107" t="str">
        <f>IF(P15&lt;&gt;"",ROUNDUP(P17*0.0066*Research!$D$7,0)," ")</f>
        <v xml:space="preserve"> </v>
      </c>
      <c r="Q18" s="107" t="str">
        <f>IF(Q15&lt;&gt;"",ROUNDUP(Q17*0.0066*Research!$D$7,0)," ")</f>
        <v xml:space="preserve"> </v>
      </c>
      <c r="R18" s="107" t="str">
        <f>IF(R15&lt;&gt;"",ROUNDUP(R17*0.0066*Research!$D$7,0)," ")</f>
        <v xml:space="preserve"> </v>
      </c>
      <c r="S18" s="107" t="str">
        <f>IF(S15&lt;&gt;"",ROUNDUP(S17*0.0066*Research!$D$7,0)," ")</f>
        <v xml:space="preserve"> </v>
      </c>
      <c r="T18" s="107" t="str">
        <f>IF(T15&lt;&gt;"",ROUNDUP(T17*0.0066*Research!$D$7,0)," ")</f>
        <v xml:space="preserve"> </v>
      </c>
      <c r="U18" s="107" t="str">
        <f>IF(U15&lt;&gt;"",ROUNDUP(U17*0.0066*Research!$D$7,0)," ")</f>
        <v xml:space="preserve"> </v>
      </c>
      <c r="V18" s="107" t="str">
        <f>IF(V15&lt;&gt;"",ROUNDUP(V17*0.0066*Research!$D$7,0)," ")</f>
        <v xml:space="preserve"> </v>
      </c>
      <c r="W18" s="109">
        <f t="shared" si="8"/>
        <v>0</v>
      </c>
    </row>
    <row r="19" spans="2:23" s="126" customFormat="1" ht="15.75" customHeight="1" thickBot="1" x14ac:dyDescent="0.3">
      <c r="B19" s="3" t="s">
        <v>176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9"/>
    </row>
    <row r="20" spans="2:23" s="126" customFormat="1" ht="15.75" customHeight="1" thickBot="1" x14ac:dyDescent="0.3">
      <c r="B20" s="3" t="s">
        <v>174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9"/>
    </row>
    <row r="21" spans="2:23" s="126" customFormat="1" ht="15.75" customHeight="1" thickBot="1" x14ac:dyDescent="0.3">
      <c r="B21" s="3" t="s">
        <v>175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9"/>
    </row>
    <row r="22" spans="2:23" ht="15.75" customHeight="1" thickBot="1" x14ac:dyDescent="0.3">
      <c r="B22" s="8" t="s">
        <v>4</v>
      </c>
      <c r="C22" s="108">
        <f>IF(C15&lt;&gt;"",C16+C17+C18," ")</f>
        <v>60</v>
      </c>
      <c r="D22" s="108" t="str">
        <f t="shared" ref="D22:V22" si="9">IF(D15&lt;&gt;"",D16+D17+D18," ")</f>
        <v xml:space="preserve"> </v>
      </c>
      <c r="E22" s="108" t="str">
        <f t="shared" si="9"/>
        <v xml:space="preserve"> </v>
      </c>
      <c r="F22" s="108" t="str">
        <f t="shared" si="9"/>
        <v xml:space="preserve"> </v>
      </c>
      <c r="G22" s="108" t="str">
        <f t="shared" si="9"/>
        <v xml:space="preserve"> </v>
      </c>
      <c r="H22" s="108" t="str">
        <f t="shared" si="9"/>
        <v xml:space="preserve"> </v>
      </c>
      <c r="I22" s="108" t="str">
        <f t="shared" si="9"/>
        <v xml:space="preserve"> </v>
      </c>
      <c r="J22" s="108" t="str">
        <f t="shared" si="9"/>
        <v xml:space="preserve"> </v>
      </c>
      <c r="K22" s="108" t="str">
        <f t="shared" si="9"/>
        <v xml:space="preserve"> </v>
      </c>
      <c r="L22" s="108" t="str">
        <f t="shared" si="9"/>
        <v xml:space="preserve"> </v>
      </c>
      <c r="M22" s="108" t="str">
        <f t="shared" si="9"/>
        <v xml:space="preserve"> </v>
      </c>
      <c r="N22" s="108" t="str">
        <f t="shared" si="9"/>
        <v xml:space="preserve"> </v>
      </c>
      <c r="O22" s="108" t="str">
        <f t="shared" si="9"/>
        <v xml:space="preserve"> </v>
      </c>
      <c r="P22" s="108" t="str">
        <f t="shared" si="9"/>
        <v xml:space="preserve"> </v>
      </c>
      <c r="Q22" s="108" t="str">
        <f t="shared" si="9"/>
        <v xml:space="preserve"> </v>
      </c>
      <c r="R22" s="108" t="str">
        <f t="shared" si="9"/>
        <v xml:space="preserve"> </v>
      </c>
      <c r="S22" s="108" t="str">
        <f t="shared" si="9"/>
        <v xml:space="preserve"> </v>
      </c>
      <c r="T22" s="108" t="str">
        <f t="shared" si="9"/>
        <v xml:space="preserve"> </v>
      </c>
      <c r="U22" s="108" t="str">
        <f t="shared" si="9"/>
        <v xml:space="preserve"> </v>
      </c>
      <c r="V22" s="108" t="str">
        <f t="shared" si="9"/>
        <v xml:space="preserve"> </v>
      </c>
      <c r="W22" s="109">
        <f t="shared" si="8"/>
        <v>60</v>
      </c>
    </row>
    <row r="23" spans="2:23" ht="15.75" customHeight="1" thickBot="1" x14ac:dyDescent="0.3">
      <c r="B23" s="8" t="s">
        <v>5</v>
      </c>
      <c r="C23" s="108">
        <f>IF(C15&lt;&gt;"",C22*24," ")</f>
        <v>1440</v>
      </c>
      <c r="D23" s="108" t="str">
        <f>IF(D15&lt;&gt;"",D22*24," ")</f>
        <v xml:space="preserve"> </v>
      </c>
      <c r="E23" s="108" t="str">
        <f>IF(E15&lt;&gt;"",E22*24," ")</f>
        <v xml:space="preserve"> </v>
      </c>
      <c r="F23" s="108" t="str">
        <f t="shared" ref="F23:V23" si="10">IF(F15&lt;&gt;"",F22*24," ")</f>
        <v xml:space="preserve"> </v>
      </c>
      <c r="G23" s="108" t="str">
        <f t="shared" si="10"/>
        <v xml:space="preserve"> </v>
      </c>
      <c r="H23" s="108" t="str">
        <f t="shared" si="10"/>
        <v xml:space="preserve"> </v>
      </c>
      <c r="I23" s="108" t="str">
        <f t="shared" si="10"/>
        <v xml:space="preserve"> </v>
      </c>
      <c r="J23" s="108" t="str">
        <f t="shared" si="10"/>
        <v xml:space="preserve"> </v>
      </c>
      <c r="K23" s="108" t="str">
        <f t="shared" si="10"/>
        <v xml:space="preserve"> </v>
      </c>
      <c r="L23" s="108" t="str">
        <f t="shared" si="10"/>
        <v xml:space="preserve"> </v>
      </c>
      <c r="M23" s="108" t="str">
        <f t="shared" si="10"/>
        <v xml:space="preserve"> </v>
      </c>
      <c r="N23" s="108" t="str">
        <f t="shared" si="10"/>
        <v xml:space="preserve"> </v>
      </c>
      <c r="O23" s="108" t="str">
        <f t="shared" si="10"/>
        <v xml:space="preserve"> </v>
      </c>
      <c r="P23" s="108" t="str">
        <f t="shared" si="10"/>
        <v xml:space="preserve"> </v>
      </c>
      <c r="Q23" s="108" t="str">
        <f t="shared" si="10"/>
        <v xml:space="preserve"> </v>
      </c>
      <c r="R23" s="108" t="str">
        <f t="shared" si="10"/>
        <v xml:space="preserve"> </v>
      </c>
      <c r="S23" s="108" t="str">
        <f t="shared" si="10"/>
        <v xml:space="preserve"> </v>
      </c>
      <c r="T23" s="108" t="str">
        <f t="shared" si="10"/>
        <v xml:space="preserve"> </v>
      </c>
      <c r="U23" s="108" t="str">
        <f t="shared" si="10"/>
        <v xml:space="preserve"> </v>
      </c>
      <c r="V23" s="108" t="str">
        <f t="shared" si="10"/>
        <v xml:space="preserve"> </v>
      </c>
      <c r="W23" s="109">
        <f t="shared" si="8"/>
        <v>1440</v>
      </c>
    </row>
    <row r="24" spans="2:23" ht="15.75" customHeight="1" thickBot="1" x14ac:dyDescent="0.3">
      <c r="B24" s="9" t="s">
        <v>6</v>
      </c>
      <c r="C24" s="110">
        <f>IF(C15&lt;&gt;"",C23*7," ")</f>
        <v>10080</v>
      </c>
      <c r="D24" s="110" t="str">
        <f>IF(D15&lt;&gt;"",D23*7," ")</f>
        <v xml:space="preserve"> </v>
      </c>
      <c r="E24" s="110" t="str">
        <f>IF(E15&lt;&gt;"",E23*7," ")</f>
        <v xml:space="preserve"> </v>
      </c>
      <c r="F24" s="110" t="str">
        <f t="shared" ref="F24:V24" si="11">IF(F15&lt;&gt;"",F23*7," ")</f>
        <v xml:space="preserve"> </v>
      </c>
      <c r="G24" s="110" t="str">
        <f t="shared" si="11"/>
        <v xml:space="preserve"> </v>
      </c>
      <c r="H24" s="110" t="str">
        <f t="shared" si="11"/>
        <v xml:space="preserve"> </v>
      </c>
      <c r="I24" s="110" t="str">
        <f t="shared" si="11"/>
        <v xml:space="preserve"> </v>
      </c>
      <c r="J24" s="110" t="str">
        <f t="shared" si="11"/>
        <v xml:space="preserve"> </v>
      </c>
      <c r="K24" s="110" t="str">
        <f t="shared" si="11"/>
        <v xml:space="preserve"> </v>
      </c>
      <c r="L24" s="110" t="str">
        <f t="shared" si="11"/>
        <v xml:space="preserve"> </v>
      </c>
      <c r="M24" s="110" t="str">
        <f t="shared" si="11"/>
        <v xml:space="preserve"> </v>
      </c>
      <c r="N24" s="110" t="str">
        <f t="shared" si="11"/>
        <v xml:space="preserve"> </v>
      </c>
      <c r="O24" s="110" t="str">
        <f t="shared" si="11"/>
        <v xml:space="preserve"> </v>
      </c>
      <c r="P24" s="110" t="str">
        <f t="shared" si="11"/>
        <v xml:space="preserve"> </v>
      </c>
      <c r="Q24" s="110" t="str">
        <f t="shared" si="11"/>
        <v xml:space="preserve"> </v>
      </c>
      <c r="R24" s="110" t="str">
        <f t="shared" si="11"/>
        <v xml:space="preserve"> </v>
      </c>
      <c r="S24" s="110" t="str">
        <f t="shared" si="11"/>
        <v xml:space="preserve"> </v>
      </c>
      <c r="T24" s="110" t="str">
        <f t="shared" si="11"/>
        <v xml:space="preserve"> </v>
      </c>
      <c r="U24" s="110" t="str">
        <f t="shared" si="11"/>
        <v xml:space="preserve"> </v>
      </c>
      <c r="V24" s="110" t="str">
        <f t="shared" si="11"/>
        <v xml:space="preserve"> </v>
      </c>
      <c r="W24" s="109">
        <f t="shared" si="8"/>
        <v>10080</v>
      </c>
    </row>
    <row r="25" spans="2:23" ht="16.5" customHeight="1" thickTop="1" thickBot="1" x14ac:dyDescent="0.3">
      <c r="B25" s="10"/>
      <c r="C25" s="10"/>
      <c r="D25" s="10"/>
      <c r="E25" s="10"/>
      <c r="H25" s="39"/>
      <c r="W25" s="10"/>
    </row>
    <row r="26" spans="2:23" ht="16.5" customHeight="1" thickTop="1" thickBot="1" x14ac:dyDescent="0.3">
      <c r="B26" s="281" t="s">
        <v>66</v>
      </c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3"/>
    </row>
    <row r="27" spans="2:23" ht="30.75" thickBot="1" x14ac:dyDescent="0.3">
      <c r="B27" s="8"/>
      <c r="C27" s="105" t="str">
        <f t="shared" ref="C27:V27" si="12">C3</f>
        <v>Homeworld</v>
      </c>
      <c r="D27" s="105" t="str">
        <f t="shared" si="12"/>
        <v/>
      </c>
      <c r="E27" s="105" t="str">
        <f t="shared" si="12"/>
        <v/>
      </c>
      <c r="F27" s="105" t="str">
        <f t="shared" si="12"/>
        <v/>
      </c>
      <c r="G27" s="105" t="str">
        <f t="shared" si="12"/>
        <v/>
      </c>
      <c r="H27" s="105" t="str">
        <f t="shared" si="12"/>
        <v/>
      </c>
      <c r="I27" s="105" t="str">
        <f t="shared" si="12"/>
        <v/>
      </c>
      <c r="J27" s="105" t="str">
        <f t="shared" si="12"/>
        <v/>
      </c>
      <c r="K27" s="105" t="str">
        <f t="shared" si="12"/>
        <v/>
      </c>
      <c r="L27" s="105" t="str">
        <f t="shared" si="12"/>
        <v/>
      </c>
      <c r="M27" s="105" t="str">
        <f t="shared" si="12"/>
        <v/>
      </c>
      <c r="N27" s="105" t="str">
        <f t="shared" si="12"/>
        <v/>
      </c>
      <c r="O27" s="105" t="str">
        <f t="shared" si="12"/>
        <v/>
      </c>
      <c r="P27" s="105" t="str">
        <f t="shared" si="12"/>
        <v/>
      </c>
      <c r="Q27" s="105" t="str">
        <f t="shared" si="12"/>
        <v/>
      </c>
      <c r="R27" s="105" t="str">
        <f t="shared" si="12"/>
        <v/>
      </c>
      <c r="S27" s="105" t="str">
        <f t="shared" si="12"/>
        <v/>
      </c>
      <c r="T27" s="105" t="str">
        <f t="shared" si="12"/>
        <v/>
      </c>
      <c r="U27" s="105" t="str">
        <f t="shared" si="12"/>
        <v/>
      </c>
      <c r="V27" s="105" t="str">
        <f t="shared" si="12"/>
        <v/>
      </c>
      <c r="W27" s="11" t="s">
        <v>8</v>
      </c>
    </row>
    <row r="28" spans="2:23" ht="15.75" customHeight="1" thickBot="1" x14ac:dyDescent="0.3">
      <c r="B28" s="8" t="s">
        <v>7</v>
      </c>
      <c r="C28" s="122">
        <f>IF(C27&lt;&gt;"",INT(70*Overview!E17*(1.1^Overview!E17)*(-0.004*(AVERAGE(Overview!E8,Overview!E9))+1.36))," ")</f>
        <v>0</v>
      </c>
      <c r="D28" s="122" t="str">
        <f>IF(D27&lt;&gt;"",INT(70*Overview!F17*(1.1^Overview!F17)*(-0.004*(AVERAGE(Overview!F8,Overview!F9))+1.36))," ")</f>
        <v xml:space="preserve"> </v>
      </c>
      <c r="E28" s="122" t="str">
        <f>IF(E27&lt;&gt;"",INT(70*Overview!G17*(1.1^Overview!G17)*(-0.004*(AVERAGE(Overview!G8,Overview!G9))+1.36))," ")</f>
        <v xml:space="preserve"> </v>
      </c>
      <c r="F28" s="122" t="str">
        <f>IF(F27&lt;&gt;"",INT(70*Overview!H17*(1.1^Overview!H17)*(-0.004*(AVERAGE(Overview!H8,Overview!H9))+1.36))," ")</f>
        <v xml:space="preserve"> </v>
      </c>
      <c r="G28" s="122" t="str">
        <f>IF(G27&lt;&gt;"",INT(70*Overview!I17*(1.1^Overview!I17)*(-0.004*(AVERAGE(Overview!I8,Overview!I9))+1.36))," ")</f>
        <v xml:space="preserve"> </v>
      </c>
      <c r="H28" s="122" t="str">
        <f>IF(H27&lt;&gt;"",INT(70*Overview!J17*(1.1^Overview!J17)*(-0.004*(AVERAGE(Overview!J8,Overview!J9))+1.36))," ")</f>
        <v xml:space="preserve"> </v>
      </c>
      <c r="I28" s="122" t="str">
        <f>IF(I27&lt;&gt;"",INT(70*Overview!K17*(1.1^Overview!K17)*(-0.004*(AVERAGE(Overview!K8,Overview!K9))+1.36))," ")</f>
        <v xml:space="preserve"> </v>
      </c>
      <c r="J28" s="122" t="str">
        <f>IF(J27&lt;&gt;"",INT(70*Overview!L17*(1.1^Overview!L17)*(-0.004*(AVERAGE(Overview!L8,Overview!L9))+1.36))," ")</f>
        <v xml:space="preserve"> </v>
      </c>
      <c r="K28" s="122" t="str">
        <f>IF(K27&lt;&gt;"",INT(70*Overview!M17*(1.1^Overview!M17)*(-0.004*(AVERAGE(Overview!M8,Overview!M9))+1.36))," ")</f>
        <v xml:space="preserve"> </v>
      </c>
      <c r="L28" s="122" t="str">
        <f>IF(L27&lt;&gt;"",INT(70*Overview!N17*(1.1^Overview!N17)*(-0.004*(AVERAGE(Overview!N8,Overview!N9))+1.36))," ")</f>
        <v xml:space="preserve"> </v>
      </c>
      <c r="M28" s="122" t="str">
        <f>IF(M27&lt;&gt;"",INT(70*Overview!O17*(1.1^Overview!O17)*(-0.004*(AVERAGE(Overview!O8,Overview!O9))+1.36))," ")</f>
        <v xml:space="preserve"> </v>
      </c>
      <c r="N28" s="122" t="str">
        <f>IF(N27&lt;&gt;"",INT(70*Overview!P17*(1.1^Overview!P17)*(-0.004*(AVERAGE(Overview!P8,Overview!P9))+1.36))," ")</f>
        <v xml:space="preserve"> </v>
      </c>
      <c r="O28" s="122" t="str">
        <f>IF(O27&lt;&gt;"",INT(70*Overview!Q17*(1.1^Overview!Q17)*(-0.004*(AVERAGE(Overview!Q8,Overview!Q9))+1.36))," ")</f>
        <v xml:space="preserve"> </v>
      </c>
      <c r="P28" s="122" t="str">
        <f>IF(P27&lt;&gt;"",INT(70*Overview!R17*(1.1^Overview!R17)*(-0.004*(AVERAGE(Overview!R8,Overview!R9))+1.36))," ")</f>
        <v xml:space="preserve"> </v>
      </c>
      <c r="Q28" s="122" t="str">
        <f>IF(Q27&lt;&gt;"",INT(70*Overview!S17*(1.1^Overview!S17)*(-0.004*(AVERAGE(Overview!S8,Overview!S9))+1.36))," ")</f>
        <v xml:space="preserve"> </v>
      </c>
      <c r="R28" s="122" t="str">
        <f>IF(R27&lt;&gt;"",INT(70*Overview!T17*(1.1^Overview!T17)*(-0.004*(AVERAGE(Overview!T8,Overview!T9))+1.36))," ")</f>
        <v xml:space="preserve"> </v>
      </c>
      <c r="S28" s="122" t="str">
        <f>IF(S27&lt;&gt;"",INT(70*Overview!U17*(1.1^Overview!U17)*(-0.004*(AVERAGE(Overview!U8,Overview!U9))+1.36))," ")</f>
        <v xml:space="preserve"> </v>
      </c>
      <c r="T28" s="122" t="str">
        <f>IF(T27&lt;&gt;"",INT(70*Overview!V17*(1.1^Overview!V17)*(-0.004*(AVERAGE(Overview!V8,Overview!V9))+1.36))," ")</f>
        <v xml:space="preserve"> </v>
      </c>
      <c r="U28" s="122" t="str">
        <f>IF(U27&lt;&gt;"",INT(70*Overview!W17*(1.1^Overview!W17)*(-0.004*(AVERAGE(Overview!W8,Overview!W9))+1.36))," ")</f>
        <v xml:space="preserve"> </v>
      </c>
      <c r="V28" s="122" t="str">
        <f>IF(V27&lt;&gt;"",INT(70*Overview!X17*(1.1^Overview!X17)*(-0.004*(AVERAGE(Overview!X8,Overview!X9))+1.36))," ")</f>
        <v xml:space="preserve"> </v>
      </c>
      <c r="W28" s="109">
        <f>SUM(C28:V28)</f>
        <v>0</v>
      </c>
    </row>
    <row r="29" spans="2:23" s="126" customFormat="1" ht="15.75" customHeight="1" thickBot="1" x14ac:dyDescent="0.3">
      <c r="B29" s="8" t="s">
        <v>110</v>
      </c>
      <c r="C29" s="107">
        <f>IF(C27&lt;&gt;"",ROUNDUP(C28*0.0033*Research!$D$7,0)," ")</f>
        <v>0</v>
      </c>
      <c r="D29" s="107" t="str">
        <f>IF(D27&lt;&gt;"",ROUNDUP(D28*0.0033*Research!$D$7,0)," ")</f>
        <v xml:space="preserve"> </v>
      </c>
      <c r="E29" s="107" t="str">
        <f>IF(E27&lt;&gt;"",ROUNDUP(E28*0.0033*Research!$D$7,0)," ")</f>
        <v xml:space="preserve"> </v>
      </c>
      <c r="F29" s="107" t="str">
        <f>IF(F27&lt;&gt;"",ROUNDUP(F28*0.0033*Research!$D$7,0)," ")</f>
        <v xml:space="preserve"> </v>
      </c>
      <c r="G29" s="107" t="str">
        <f>IF(G27&lt;&gt;"",ROUNDUP(G28*0.0033*Research!$D$7,0)," ")</f>
        <v xml:space="preserve"> </v>
      </c>
      <c r="H29" s="107" t="str">
        <f>IF(H27&lt;&gt;"",ROUNDUP(H28*0.0033*Research!$D$7,0)," ")</f>
        <v xml:space="preserve"> </v>
      </c>
      <c r="I29" s="107" t="str">
        <f>IF(I27&lt;&gt;"",ROUNDUP(I28*0.0033*Research!$D$7,0)," ")</f>
        <v xml:space="preserve"> </v>
      </c>
      <c r="J29" s="107" t="str">
        <f>IF(J27&lt;&gt;"",ROUNDUP(J28*0.0033*Research!$D$7,0)," ")</f>
        <v xml:space="preserve"> </v>
      </c>
      <c r="K29" s="107" t="str">
        <f>IF(K27&lt;&gt;"",ROUNDUP(K28*0.0033*Research!$D$7,0)," ")</f>
        <v xml:space="preserve"> </v>
      </c>
      <c r="L29" s="107" t="str">
        <f>IF(L27&lt;&gt;"",ROUNDUP(L28*0.0033*Research!$D$7,0)," ")</f>
        <v xml:space="preserve"> </v>
      </c>
      <c r="M29" s="107" t="str">
        <f>IF(M27&lt;&gt;"",ROUNDUP(M28*0.0033*Research!$D$7,0)," ")</f>
        <v xml:space="preserve"> </v>
      </c>
      <c r="N29" s="107" t="str">
        <f>IF(N27&lt;&gt;"",ROUNDUP(N28*0.0033*Research!$D$7,0)," ")</f>
        <v xml:space="preserve"> </v>
      </c>
      <c r="O29" s="107" t="str">
        <f>IF(O27&lt;&gt;"",ROUNDUP(O28*0.0033*Research!$D$7,0)," ")</f>
        <v xml:space="preserve"> </v>
      </c>
      <c r="P29" s="107" t="str">
        <f>IF(P27&lt;&gt;"",ROUNDUP(P28*0.0033*Research!$D$7,0)," ")</f>
        <v xml:space="preserve"> </v>
      </c>
      <c r="Q29" s="107" t="str">
        <f>IF(Q27&lt;&gt;"",ROUNDUP(Q28*0.0033*Research!$D$7,0)," ")</f>
        <v xml:space="preserve"> </v>
      </c>
      <c r="R29" s="107" t="str">
        <f>IF(R27&lt;&gt;"",ROUNDUP(R28*0.0033*Research!$D$7,0)," ")</f>
        <v xml:space="preserve"> </v>
      </c>
      <c r="S29" s="107" t="str">
        <f>IF(S27&lt;&gt;"",ROUNDUP(S28*0.0033*Research!$D$7,0)," ")</f>
        <v xml:space="preserve"> </v>
      </c>
      <c r="T29" s="107" t="str">
        <f>IF(T27&lt;&gt;"",ROUNDUP(T28*0.0033*Research!$D$7,0)," ")</f>
        <v xml:space="preserve"> </v>
      </c>
      <c r="U29" s="107" t="str">
        <f>IF(U27&lt;&gt;"",ROUNDUP(U28*0.0033*Research!$D$7,0)," ")</f>
        <v xml:space="preserve"> </v>
      </c>
      <c r="V29" s="107" t="str">
        <f>IF(V27&lt;&gt;"",ROUNDUP(V28*0.0033*Research!$D$7,0)," ")</f>
        <v xml:space="preserve"> </v>
      </c>
      <c r="W29" s="109"/>
    </row>
    <row r="30" spans="2:23" s="126" customFormat="1" ht="15.75" customHeight="1" thickBot="1" x14ac:dyDescent="0.3">
      <c r="B30" s="3" t="s">
        <v>176</v>
      </c>
      <c r="C30" s="107"/>
      <c r="D30" s="107"/>
      <c r="E30" s="107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09"/>
    </row>
    <row r="31" spans="2:23" s="126" customFormat="1" ht="15.75" customHeight="1" thickBot="1" x14ac:dyDescent="0.3">
      <c r="B31" s="3" t="s">
        <v>174</v>
      </c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09"/>
    </row>
    <row r="32" spans="2:23" s="126" customFormat="1" ht="15.75" customHeight="1" thickBot="1" x14ac:dyDescent="0.3">
      <c r="B32" s="3" t="s">
        <v>175</v>
      </c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09"/>
    </row>
    <row r="33" spans="1:23" ht="15.75" customHeight="1" thickBot="1" x14ac:dyDescent="0.3">
      <c r="B33" s="3" t="s">
        <v>4</v>
      </c>
      <c r="C33" s="108">
        <f>IF(C15&lt;&gt;"",C28," ")</f>
        <v>0</v>
      </c>
      <c r="D33" s="123" t="str">
        <f>IF(D15&lt;&gt;"",D28," ")</f>
        <v xml:space="preserve"> </v>
      </c>
      <c r="E33" s="108" t="str">
        <f t="shared" ref="E33:U33" si="13">IF(E15&lt;&gt;"",E28," ")</f>
        <v xml:space="preserve"> </v>
      </c>
      <c r="F33" s="108" t="str">
        <f t="shared" si="13"/>
        <v xml:space="preserve"> </v>
      </c>
      <c r="G33" s="108" t="str">
        <f t="shared" si="13"/>
        <v xml:space="preserve"> </v>
      </c>
      <c r="H33" s="108" t="str">
        <f t="shared" si="13"/>
        <v xml:space="preserve"> </v>
      </c>
      <c r="I33" s="108" t="str">
        <f t="shared" si="13"/>
        <v xml:space="preserve"> </v>
      </c>
      <c r="J33" s="108" t="str">
        <f t="shared" si="13"/>
        <v xml:space="preserve"> </v>
      </c>
      <c r="K33" s="108" t="str">
        <f t="shared" si="13"/>
        <v xml:space="preserve"> </v>
      </c>
      <c r="L33" s="108" t="str">
        <f t="shared" si="13"/>
        <v xml:space="preserve"> </v>
      </c>
      <c r="M33" s="108" t="str">
        <f t="shared" si="13"/>
        <v xml:space="preserve"> </v>
      </c>
      <c r="N33" s="108" t="str">
        <f t="shared" si="13"/>
        <v xml:space="preserve"> </v>
      </c>
      <c r="O33" s="108" t="str">
        <f t="shared" si="13"/>
        <v xml:space="preserve"> </v>
      </c>
      <c r="P33" s="108" t="str">
        <f t="shared" si="13"/>
        <v xml:space="preserve"> </v>
      </c>
      <c r="Q33" s="108" t="str">
        <f t="shared" si="13"/>
        <v xml:space="preserve"> </v>
      </c>
      <c r="R33" s="108" t="str">
        <f t="shared" si="13"/>
        <v xml:space="preserve"> </v>
      </c>
      <c r="S33" s="108" t="str">
        <f t="shared" si="13"/>
        <v xml:space="preserve"> </v>
      </c>
      <c r="T33" s="108" t="str">
        <f t="shared" si="13"/>
        <v xml:space="preserve"> </v>
      </c>
      <c r="U33" s="108" t="str">
        <f t="shared" si="13"/>
        <v xml:space="preserve"> </v>
      </c>
      <c r="V33" s="108" t="str">
        <f>IF(V15&lt;&gt;"",V28," ")</f>
        <v xml:space="preserve"> </v>
      </c>
      <c r="W33" s="109">
        <f t="shared" ref="W33:W35" si="14">SUM(C33:V33)</f>
        <v>0</v>
      </c>
    </row>
    <row r="34" spans="1:23" ht="15.75" customHeight="1" thickBot="1" x14ac:dyDescent="0.3">
      <c r="B34" s="3" t="s">
        <v>5</v>
      </c>
      <c r="C34" s="108">
        <f>IF(C27&lt;&gt;"",C33*24," ")</f>
        <v>0</v>
      </c>
      <c r="D34" s="123" t="str">
        <f>IF(D27&lt;&gt;"",D33*24," ")</f>
        <v xml:space="preserve"> </v>
      </c>
      <c r="E34" s="108" t="str">
        <f t="shared" ref="E34:U34" si="15">IF(E27&lt;&gt;"",E33*24," ")</f>
        <v xml:space="preserve"> </v>
      </c>
      <c r="F34" s="108" t="str">
        <f t="shared" si="15"/>
        <v xml:space="preserve"> </v>
      </c>
      <c r="G34" s="108" t="str">
        <f t="shared" si="15"/>
        <v xml:space="preserve"> </v>
      </c>
      <c r="H34" s="108" t="str">
        <f t="shared" si="15"/>
        <v xml:space="preserve"> </v>
      </c>
      <c r="I34" s="108" t="str">
        <f t="shared" si="15"/>
        <v xml:space="preserve"> </v>
      </c>
      <c r="J34" s="108" t="str">
        <f t="shared" si="15"/>
        <v xml:space="preserve"> </v>
      </c>
      <c r="K34" s="108" t="str">
        <f t="shared" si="15"/>
        <v xml:space="preserve"> </v>
      </c>
      <c r="L34" s="108" t="str">
        <f t="shared" si="15"/>
        <v xml:space="preserve"> </v>
      </c>
      <c r="M34" s="108" t="str">
        <f t="shared" si="15"/>
        <v xml:space="preserve"> </v>
      </c>
      <c r="N34" s="108" t="str">
        <f t="shared" si="15"/>
        <v xml:space="preserve"> </v>
      </c>
      <c r="O34" s="108" t="str">
        <f t="shared" si="15"/>
        <v xml:space="preserve"> </v>
      </c>
      <c r="P34" s="108" t="str">
        <f t="shared" si="15"/>
        <v xml:space="preserve"> </v>
      </c>
      <c r="Q34" s="108" t="str">
        <f t="shared" si="15"/>
        <v xml:space="preserve"> </v>
      </c>
      <c r="R34" s="108" t="str">
        <f t="shared" si="15"/>
        <v xml:space="preserve"> </v>
      </c>
      <c r="S34" s="108" t="str">
        <f t="shared" si="15"/>
        <v xml:space="preserve"> </v>
      </c>
      <c r="T34" s="108" t="str">
        <f t="shared" si="15"/>
        <v xml:space="preserve"> </v>
      </c>
      <c r="U34" s="108" t="str">
        <f t="shared" si="15"/>
        <v xml:space="preserve"> </v>
      </c>
      <c r="V34" s="108" t="str">
        <f>IF(V27&lt;&gt;"",V33*24," ")</f>
        <v xml:space="preserve"> </v>
      </c>
      <c r="W34" s="109">
        <f t="shared" si="14"/>
        <v>0</v>
      </c>
    </row>
    <row r="35" spans="1:23" ht="15.75" customHeight="1" thickBot="1" x14ac:dyDescent="0.3">
      <c r="B35" s="7" t="s">
        <v>6</v>
      </c>
      <c r="C35" s="110">
        <f>IF(C27&lt;&gt;"",C34*7," ")</f>
        <v>0</v>
      </c>
      <c r="D35" s="124" t="str">
        <f>IF(D27&lt;&gt;"",D34*7," ")</f>
        <v xml:space="preserve"> </v>
      </c>
      <c r="E35" s="110" t="str">
        <f t="shared" ref="E35:U35" si="16">IF(E27&lt;&gt;"",E34*7," ")</f>
        <v xml:space="preserve"> </v>
      </c>
      <c r="F35" s="110" t="str">
        <f t="shared" si="16"/>
        <v xml:space="preserve"> </v>
      </c>
      <c r="G35" s="110" t="str">
        <f t="shared" si="16"/>
        <v xml:space="preserve"> </v>
      </c>
      <c r="H35" s="110" t="str">
        <f t="shared" si="16"/>
        <v xml:space="preserve"> </v>
      </c>
      <c r="I35" s="110" t="str">
        <f t="shared" si="16"/>
        <v xml:space="preserve"> </v>
      </c>
      <c r="J35" s="110" t="str">
        <f t="shared" si="16"/>
        <v xml:space="preserve"> </v>
      </c>
      <c r="K35" s="110" t="str">
        <f t="shared" si="16"/>
        <v xml:space="preserve"> </v>
      </c>
      <c r="L35" s="110" t="str">
        <f t="shared" si="16"/>
        <v xml:space="preserve"> </v>
      </c>
      <c r="M35" s="110" t="str">
        <f t="shared" si="16"/>
        <v xml:space="preserve"> </v>
      </c>
      <c r="N35" s="110" t="str">
        <f t="shared" si="16"/>
        <v xml:space="preserve"> </v>
      </c>
      <c r="O35" s="110" t="str">
        <f t="shared" si="16"/>
        <v xml:space="preserve"> </v>
      </c>
      <c r="P35" s="110" t="str">
        <f t="shared" si="16"/>
        <v xml:space="preserve"> </v>
      </c>
      <c r="Q35" s="110" t="str">
        <f t="shared" si="16"/>
        <v xml:space="preserve"> </v>
      </c>
      <c r="R35" s="110" t="str">
        <f t="shared" si="16"/>
        <v xml:space="preserve"> </v>
      </c>
      <c r="S35" s="110" t="str">
        <f t="shared" si="16"/>
        <v xml:space="preserve"> </v>
      </c>
      <c r="T35" s="110" t="str">
        <f t="shared" si="16"/>
        <v xml:space="preserve"> </v>
      </c>
      <c r="U35" s="110" t="str">
        <f t="shared" si="16"/>
        <v xml:space="preserve"> </v>
      </c>
      <c r="V35" s="110" t="str">
        <f>IF(V27&lt;&gt;"",V34*7," ")</f>
        <v xml:space="preserve"> </v>
      </c>
      <c r="W35" s="109">
        <f t="shared" si="14"/>
        <v>0</v>
      </c>
    </row>
    <row r="36" spans="1:23" ht="15.75" thickTop="1" x14ac:dyDescent="0.25">
      <c r="E36" s="1">
        <f>27531+999</f>
        <v>28530</v>
      </c>
      <c r="F36" s="1">
        <f>7*(10*25*(1.1^25))*(1.36-0.004*43)</f>
        <v>22525.353656304465</v>
      </c>
      <c r="G36" s="1">
        <f>(10*25*(1.1^25))*(1.28-0.002*(-43))</f>
        <v>3700.0520796671358</v>
      </c>
    </row>
    <row r="37" spans="1:23" ht="15.75" thickBot="1" x14ac:dyDescent="0.3"/>
    <row r="38" spans="1:23" ht="31.5" thickTop="1" thickBot="1" x14ac:dyDescent="0.3">
      <c r="B38" s="45"/>
      <c r="C38" s="106" t="str">
        <f t="shared" ref="C38:V38" si="17">C3</f>
        <v>Homeworld</v>
      </c>
      <c r="D38" s="38" t="str">
        <f t="shared" si="17"/>
        <v/>
      </c>
      <c r="E38" s="38" t="str">
        <f t="shared" si="17"/>
        <v/>
      </c>
      <c r="F38" s="38" t="str">
        <f t="shared" si="17"/>
        <v/>
      </c>
      <c r="G38" s="38" t="str">
        <f t="shared" si="17"/>
        <v/>
      </c>
      <c r="H38" s="38" t="str">
        <f t="shared" si="17"/>
        <v/>
      </c>
      <c r="I38" s="38" t="str">
        <f t="shared" si="17"/>
        <v/>
      </c>
      <c r="J38" s="38" t="str">
        <f t="shared" si="17"/>
        <v/>
      </c>
      <c r="K38" s="38" t="str">
        <f t="shared" si="17"/>
        <v/>
      </c>
      <c r="L38" s="38" t="str">
        <f t="shared" si="17"/>
        <v/>
      </c>
      <c r="M38" s="38" t="str">
        <f t="shared" si="17"/>
        <v/>
      </c>
      <c r="N38" s="38" t="str">
        <f t="shared" si="17"/>
        <v/>
      </c>
      <c r="O38" s="38" t="str">
        <f t="shared" si="17"/>
        <v/>
      </c>
      <c r="P38" s="38" t="str">
        <f t="shared" si="17"/>
        <v/>
      </c>
      <c r="Q38" s="38" t="str">
        <f t="shared" si="17"/>
        <v/>
      </c>
      <c r="R38" s="38" t="str">
        <f t="shared" si="17"/>
        <v/>
      </c>
      <c r="S38" s="38" t="str">
        <f t="shared" si="17"/>
        <v/>
      </c>
      <c r="T38" s="38" t="str">
        <f t="shared" si="17"/>
        <v/>
      </c>
      <c r="U38" s="38" t="str">
        <f t="shared" si="17"/>
        <v/>
      </c>
      <c r="V38" s="38" t="str">
        <f t="shared" si="17"/>
        <v/>
      </c>
    </row>
    <row r="39" spans="1:23" ht="16.5" thickTop="1" thickBot="1" x14ac:dyDescent="0.3">
      <c r="A39" s="44"/>
      <c r="B39" s="12" t="s">
        <v>0</v>
      </c>
      <c r="C39" s="83">
        <f t="shared" ref="C39:V39" si="18">C10</f>
        <v>120</v>
      </c>
      <c r="D39" s="79" t="str">
        <f t="shared" si="18"/>
        <v xml:space="preserve"> </v>
      </c>
      <c r="E39" s="79" t="str">
        <f t="shared" si="18"/>
        <v xml:space="preserve"> </v>
      </c>
      <c r="F39" s="79" t="str">
        <f t="shared" si="18"/>
        <v xml:space="preserve"> </v>
      </c>
      <c r="G39" s="79" t="str">
        <f t="shared" si="18"/>
        <v xml:space="preserve"> </v>
      </c>
      <c r="H39" s="79" t="str">
        <f t="shared" si="18"/>
        <v xml:space="preserve"> </v>
      </c>
      <c r="I39" s="79" t="str">
        <f t="shared" si="18"/>
        <v xml:space="preserve"> </v>
      </c>
      <c r="J39" s="79" t="str">
        <f t="shared" si="18"/>
        <v xml:space="preserve"> </v>
      </c>
      <c r="K39" s="79" t="str">
        <f t="shared" si="18"/>
        <v xml:space="preserve"> </v>
      </c>
      <c r="L39" s="79" t="str">
        <f t="shared" si="18"/>
        <v xml:space="preserve"> </v>
      </c>
      <c r="M39" s="79" t="str">
        <f t="shared" si="18"/>
        <v xml:space="preserve"> </v>
      </c>
      <c r="N39" s="79" t="str">
        <f t="shared" si="18"/>
        <v xml:space="preserve"> </v>
      </c>
      <c r="O39" s="79" t="str">
        <f t="shared" si="18"/>
        <v xml:space="preserve"> </v>
      </c>
      <c r="P39" s="79" t="str">
        <f t="shared" si="18"/>
        <v xml:space="preserve"> </v>
      </c>
      <c r="Q39" s="79" t="str">
        <f t="shared" si="18"/>
        <v xml:space="preserve"> </v>
      </c>
      <c r="R39" s="79" t="str">
        <f t="shared" si="18"/>
        <v xml:space="preserve"> </v>
      </c>
      <c r="S39" s="79" t="str">
        <f t="shared" si="18"/>
        <v xml:space="preserve"> </v>
      </c>
      <c r="T39" s="79" t="str">
        <f t="shared" si="18"/>
        <v xml:space="preserve"> </v>
      </c>
      <c r="U39" s="79" t="str">
        <f t="shared" si="18"/>
        <v xml:space="preserve"> </v>
      </c>
      <c r="V39" s="111" t="str">
        <f t="shared" si="18"/>
        <v xml:space="preserve"> </v>
      </c>
    </row>
    <row r="40" spans="1:23" ht="15.75" thickBot="1" x14ac:dyDescent="0.3">
      <c r="A40" s="42"/>
      <c r="B40" s="3" t="s">
        <v>1</v>
      </c>
      <c r="C40" s="84">
        <f t="shared" ref="C40:V40" si="19">C22</f>
        <v>60</v>
      </c>
      <c r="D40" s="76" t="str">
        <f t="shared" si="19"/>
        <v xml:space="preserve"> </v>
      </c>
      <c r="E40" s="76" t="str">
        <f t="shared" si="19"/>
        <v xml:space="preserve"> </v>
      </c>
      <c r="F40" s="76" t="str">
        <f t="shared" si="19"/>
        <v xml:space="preserve"> </v>
      </c>
      <c r="G40" s="76" t="str">
        <f t="shared" si="19"/>
        <v xml:space="preserve"> </v>
      </c>
      <c r="H40" s="76" t="str">
        <f t="shared" si="19"/>
        <v xml:space="preserve"> </v>
      </c>
      <c r="I40" s="76" t="str">
        <f t="shared" si="19"/>
        <v xml:space="preserve"> </v>
      </c>
      <c r="J40" s="76" t="str">
        <f t="shared" si="19"/>
        <v xml:space="preserve"> </v>
      </c>
      <c r="K40" s="76" t="str">
        <f t="shared" si="19"/>
        <v xml:space="preserve"> </v>
      </c>
      <c r="L40" s="76" t="str">
        <f t="shared" si="19"/>
        <v xml:space="preserve"> </v>
      </c>
      <c r="M40" s="76" t="str">
        <f t="shared" si="19"/>
        <v xml:space="preserve"> </v>
      </c>
      <c r="N40" s="76" t="str">
        <f t="shared" si="19"/>
        <v xml:space="preserve"> </v>
      </c>
      <c r="O40" s="76" t="str">
        <f t="shared" si="19"/>
        <v xml:space="preserve"> </v>
      </c>
      <c r="P40" s="76" t="str">
        <f t="shared" si="19"/>
        <v xml:space="preserve"> </v>
      </c>
      <c r="Q40" s="76" t="str">
        <f t="shared" si="19"/>
        <v xml:space="preserve"> </v>
      </c>
      <c r="R40" s="76" t="str">
        <f t="shared" si="19"/>
        <v xml:space="preserve"> </v>
      </c>
      <c r="S40" s="76" t="str">
        <f t="shared" si="19"/>
        <v xml:space="preserve"> </v>
      </c>
      <c r="T40" s="76" t="str">
        <f t="shared" si="19"/>
        <v xml:space="preserve"> </v>
      </c>
      <c r="U40" s="76" t="str">
        <f t="shared" si="19"/>
        <v xml:space="preserve"> </v>
      </c>
      <c r="V40" s="96" t="str">
        <f t="shared" si="19"/>
        <v xml:space="preserve"> </v>
      </c>
    </row>
    <row r="41" spans="1:23" ht="15.75" thickBot="1" x14ac:dyDescent="0.3">
      <c r="A41" s="42"/>
      <c r="B41" s="7" t="s">
        <v>2</v>
      </c>
      <c r="C41" s="85">
        <f t="shared" ref="C41:V41" si="20">C33</f>
        <v>0</v>
      </c>
      <c r="D41" s="77" t="str">
        <f t="shared" si="20"/>
        <v xml:space="preserve"> </v>
      </c>
      <c r="E41" s="77" t="str">
        <f t="shared" si="20"/>
        <v xml:space="preserve"> </v>
      </c>
      <c r="F41" s="77" t="str">
        <f t="shared" si="20"/>
        <v xml:space="preserve"> </v>
      </c>
      <c r="G41" s="77" t="str">
        <f t="shared" si="20"/>
        <v xml:space="preserve"> </v>
      </c>
      <c r="H41" s="77" t="str">
        <f t="shared" si="20"/>
        <v xml:space="preserve"> </v>
      </c>
      <c r="I41" s="77" t="str">
        <f t="shared" si="20"/>
        <v xml:space="preserve"> </v>
      </c>
      <c r="J41" s="77" t="str">
        <f t="shared" si="20"/>
        <v xml:space="preserve"> </v>
      </c>
      <c r="K41" s="77" t="str">
        <f t="shared" si="20"/>
        <v xml:space="preserve"> </v>
      </c>
      <c r="L41" s="77" t="str">
        <f t="shared" si="20"/>
        <v xml:space="preserve"> </v>
      </c>
      <c r="M41" s="77" t="str">
        <f t="shared" si="20"/>
        <v xml:space="preserve"> </v>
      </c>
      <c r="N41" s="77" t="str">
        <f t="shared" si="20"/>
        <v xml:space="preserve"> </v>
      </c>
      <c r="O41" s="77" t="str">
        <f t="shared" si="20"/>
        <v xml:space="preserve"> </v>
      </c>
      <c r="P41" s="77" t="str">
        <f t="shared" si="20"/>
        <v xml:space="preserve"> </v>
      </c>
      <c r="Q41" s="77" t="str">
        <f t="shared" si="20"/>
        <v xml:space="preserve"> </v>
      </c>
      <c r="R41" s="77" t="str">
        <f t="shared" si="20"/>
        <v xml:space="preserve"> </v>
      </c>
      <c r="S41" s="77" t="str">
        <f t="shared" si="20"/>
        <v xml:space="preserve"> </v>
      </c>
      <c r="T41" s="77" t="str">
        <f t="shared" si="20"/>
        <v xml:space="preserve"> </v>
      </c>
      <c r="U41" s="77" t="str">
        <f t="shared" si="20"/>
        <v xml:space="preserve"> </v>
      </c>
      <c r="V41" s="97" t="str">
        <f t="shared" si="20"/>
        <v xml:space="preserve"> </v>
      </c>
    </row>
    <row r="42" spans="1:23" ht="15.75" thickTop="1" x14ac:dyDescent="0.25">
      <c r="A42" s="42"/>
      <c r="B42" s="42"/>
    </row>
    <row r="43" spans="1:23" x14ac:dyDescent="0.25">
      <c r="A43" s="42"/>
    </row>
    <row r="44" spans="1:23" x14ac:dyDescent="0.25">
      <c r="C44" s="1">
        <v>2273</v>
      </c>
      <c r="D44" s="1">
        <v>1973</v>
      </c>
    </row>
  </sheetData>
  <mergeCells count="3">
    <mergeCell ref="B2:W2"/>
    <mergeCell ref="B14:W14"/>
    <mergeCell ref="B26:W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9"/>
  <sheetViews>
    <sheetView workbookViewId="0">
      <selection activeCell="M3" sqref="M3"/>
    </sheetView>
  </sheetViews>
  <sheetFormatPr defaultRowHeight="15" x14ac:dyDescent="0.25"/>
  <cols>
    <col min="1" max="1" width="9.140625" style="1"/>
    <col min="2" max="2" width="16.42578125" style="1" bestFit="1" customWidth="1"/>
    <col min="3" max="4" width="9.140625" style="1"/>
    <col min="5" max="5" width="10.5703125" style="1" bestFit="1" customWidth="1"/>
    <col min="6" max="6" width="9.140625" style="1"/>
    <col min="7" max="7" width="21.5703125" style="1" bestFit="1" customWidth="1"/>
    <col min="8" max="9" width="8" style="1" bestFit="1" customWidth="1"/>
    <col min="10" max="10" width="9.85546875" style="1" customWidth="1"/>
    <col min="11" max="11" width="9.7109375" style="1" bestFit="1" customWidth="1"/>
    <col min="12" max="12" width="21.5703125" style="1" bestFit="1" customWidth="1"/>
    <col min="13" max="13" width="11.42578125" style="1" bestFit="1" customWidth="1"/>
    <col min="14" max="14" width="10.85546875" style="1" bestFit="1" customWidth="1"/>
    <col min="15" max="15" width="8.85546875" style="1" bestFit="1" customWidth="1"/>
    <col min="16" max="16" width="10" style="1" bestFit="1" customWidth="1"/>
    <col min="17" max="17" width="10" style="126" customWidth="1"/>
    <col min="18" max="18" width="11.28515625" style="1" bestFit="1" customWidth="1"/>
    <col min="19" max="19" width="13" style="1" customWidth="1"/>
    <col min="20" max="20" width="9.7109375" style="1" bestFit="1" customWidth="1"/>
    <col min="21" max="21" width="11.7109375" style="1" bestFit="1" customWidth="1"/>
    <col min="22" max="16384" width="9.140625" style="1"/>
  </cols>
  <sheetData>
    <row r="1" spans="2:22" ht="15.75" thickBot="1" x14ac:dyDescent="0.3">
      <c r="Q1" s="126" t="s">
        <v>181</v>
      </c>
      <c r="R1" s="1" t="s">
        <v>182</v>
      </c>
    </row>
    <row r="2" spans="2:22" ht="31.5" thickTop="1" thickBot="1" x14ac:dyDescent="0.3">
      <c r="B2" s="70"/>
      <c r="C2" s="25" t="s">
        <v>0</v>
      </c>
      <c r="D2" s="26" t="s">
        <v>1</v>
      </c>
      <c r="E2" s="69" t="s">
        <v>66</v>
      </c>
      <c r="F2" s="46"/>
      <c r="G2" s="24"/>
      <c r="H2" s="25" t="s">
        <v>0</v>
      </c>
      <c r="I2" s="26" t="s">
        <v>1</v>
      </c>
      <c r="J2" s="27" t="s">
        <v>66</v>
      </c>
      <c r="L2" s="194" t="s">
        <v>170</v>
      </c>
      <c r="M2" s="200" t="s">
        <v>153</v>
      </c>
      <c r="N2" s="200" t="s">
        <v>152</v>
      </c>
      <c r="O2" s="200" t="s">
        <v>169</v>
      </c>
      <c r="P2" s="200" t="s">
        <v>168</v>
      </c>
      <c r="Q2" s="284" t="s">
        <v>179</v>
      </c>
      <c r="R2" s="284"/>
      <c r="S2" s="199" t="s">
        <v>166</v>
      </c>
      <c r="T2" s="36"/>
      <c r="U2" s="36"/>
      <c r="V2" s="36"/>
    </row>
    <row r="3" spans="2:22" ht="16.5" thickTop="1" thickBot="1" x14ac:dyDescent="0.3">
      <c r="B3" s="28" t="s">
        <v>9</v>
      </c>
      <c r="C3" s="29">
        <v>3000</v>
      </c>
      <c r="D3" s="30">
        <v>1000</v>
      </c>
      <c r="E3" s="59"/>
      <c r="F3" s="61"/>
      <c r="G3" s="28" t="s">
        <v>21</v>
      </c>
      <c r="H3" s="29">
        <v>2000</v>
      </c>
      <c r="I3" s="19"/>
      <c r="J3" s="71"/>
      <c r="L3" s="3" t="s">
        <v>9</v>
      </c>
      <c r="M3" s="198">
        <f>Details!S31+(Details!S47*$V$10)</f>
        <v>9200</v>
      </c>
      <c r="N3" s="198">
        <f>Details!T31+(Details!T47*$V$9)</f>
        <v>21</v>
      </c>
      <c r="O3" s="198">
        <f>Details!U31+(Details!U47*$V$8)</f>
        <v>115</v>
      </c>
      <c r="P3" s="198">
        <f>Details!V31+(Details!V47*V5)</f>
        <v>27500</v>
      </c>
      <c r="Q3" s="76">
        <v>50</v>
      </c>
      <c r="R3" s="4">
        <f>Q3+((Q3*(5*Research!$D$6))/100)</f>
        <v>75</v>
      </c>
      <c r="S3" s="197">
        <f>Details!X31</f>
        <v>10</v>
      </c>
      <c r="T3" s="126"/>
      <c r="U3" s="126"/>
      <c r="V3" s="126"/>
    </row>
    <row r="4" spans="2:22" ht="16.5" thickTop="1" thickBot="1" x14ac:dyDescent="0.3">
      <c r="B4" s="32" t="s">
        <v>10</v>
      </c>
      <c r="C4" s="33">
        <v>6000</v>
      </c>
      <c r="D4" s="34">
        <v>4000</v>
      </c>
      <c r="E4" s="60"/>
      <c r="F4" s="61"/>
      <c r="G4" s="32" t="s">
        <v>22</v>
      </c>
      <c r="H4" s="33">
        <v>1500</v>
      </c>
      <c r="I4" s="34">
        <v>500</v>
      </c>
      <c r="J4" s="54"/>
      <c r="L4" s="3" t="s">
        <v>10</v>
      </c>
      <c r="M4" s="198">
        <f>Details!S32+(Details!S48*$V$10)</f>
        <v>23000</v>
      </c>
      <c r="N4" s="198">
        <f>Details!T32+(Details!T48*$V$9)</f>
        <v>52.5</v>
      </c>
      <c r="O4" s="198">
        <f>Details!U32+(Details!U48*$V$8)</f>
        <v>345</v>
      </c>
      <c r="P4" s="198">
        <f>Details!V32+(Details!V48*V6)</f>
        <v>30000</v>
      </c>
      <c r="Q4" s="76">
        <v>100</v>
      </c>
      <c r="R4" s="4">
        <f>Q4+((Q4*(5*Research!$D$6))/100)</f>
        <v>150</v>
      </c>
      <c r="S4" s="197">
        <f>Details!X32</f>
        <v>37.5</v>
      </c>
      <c r="T4" s="126"/>
      <c r="U4" s="182" t="s">
        <v>165</v>
      </c>
      <c r="V4" s="184" t="s">
        <v>63</v>
      </c>
    </row>
    <row r="5" spans="2:22" ht="15.75" thickBot="1" x14ac:dyDescent="0.3">
      <c r="B5" s="28" t="s">
        <v>11</v>
      </c>
      <c r="C5" s="62">
        <v>20000</v>
      </c>
      <c r="D5" s="63">
        <v>7000</v>
      </c>
      <c r="E5" s="64">
        <v>2000</v>
      </c>
      <c r="F5" s="61"/>
      <c r="G5" s="28" t="s">
        <v>23</v>
      </c>
      <c r="H5" s="29">
        <v>6000</v>
      </c>
      <c r="I5" s="30">
        <v>2000</v>
      </c>
      <c r="J5" s="71"/>
      <c r="L5" s="3" t="s">
        <v>11</v>
      </c>
      <c r="M5" s="198">
        <f>Details!S33+(Details!S49*$V$10)</f>
        <v>62100</v>
      </c>
      <c r="N5" s="198">
        <f>Details!T33+(Details!T49*$V$9)</f>
        <v>105</v>
      </c>
      <c r="O5" s="198">
        <f>Details!U33+(Details!U49*$V$8)</f>
        <v>920</v>
      </c>
      <c r="P5" s="198">
        <f>Details!V33+(Details!V49*V6)</f>
        <v>45000</v>
      </c>
      <c r="Q5" s="76">
        <v>800</v>
      </c>
      <c r="R5" s="4">
        <f>Q5+((Q5*(5*Research!$D$6))/100)</f>
        <v>1200</v>
      </c>
      <c r="S5" s="197">
        <f>Details!X33</f>
        <v>150</v>
      </c>
      <c r="T5" s="126"/>
      <c r="U5" s="3" t="s">
        <v>164</v>
      </c>
      <c r="V5" s="5">
        <f>Research!D13</f>
        <v>12</v>
      </c>
    </row>
    <row r="6" spans="2:22" ht="15.75" thickBot="1" x14ac:dyDescent="0.3">
      <c r="B6" s="32" t="s">
        <v>12</v>
      </c>
      <c r="C6" s="66">
        <v>45000</v>
      </c>
      <c r="D6" s="34">
        <v>15000</v>
      </c>
      <c r="E6" s="54"/>
      <c r="F6" s="44"/>
      <c r="G6" s="32" t="s">
        <v>24</v>
      </c>
      <c r="H6" s="33">
        <v>20000</v>
      </c>
      <c r="I6" s="34">
        <v>15000</v>
      </c>
      <c r="J6" s="35">
        <v>2000</v>
      </c>
      <c r="L6" s="3" t="s">
        <v>12</v>
      </c>
      <c r="M6" s="198">
        <f>Details!S34+(Details!S50*$V$10)</f>
        <v>138000</v>
      </c>
      <c r="N6" s="198">
        <f>Details!T34+(Details!T50*$V$9)</f>
        <v>420</v>
      </c>
      <c r="O6" s="198">
        <f>Details!U34+(Details!U50*$V$8)</f>
        <v>2300</v>
      </c>
      <c r="P6" s="198">
        <f>Details!V34+(Details!V50*V7)</f>
        <v>34000</v>
      </c>
      <c r="Q6" s="76">
        <v>1500</v>
      </c>
      <c r="R6" s="4">
        <f>Q6+((Q6*(5*Research!$D$6))/100)</f>
        <v>2250</v>
      </c>
      <c r="S6" s="197">
        <f>Details!X34</f>
        <v>250</v>
      </c>
      <c r="T6" s="126"/>
      <c r="U6" s="3" t="s">
        <v>163</v>
      </c>
      <c r="V6" s="5">
        <f>Research!D14</f>
        <v>10</v>
      </c>
    </row>
    <row r="7" spans="2:22" ht="15.75" thickBot="1" x14ac:dyDescent="0.3">
      <c r="B7" s="28" t="s">
        <v>13</v>
      </c>
      <c r="C7" s="62">
        <v>30000</v>
      </c>
      <c r="D7" s="63">
        <v>40000</v>
      </c>
      <c r="E7" s="65">
        <v>15000</v>
      </c>
      <c r="F7" s="42"/>
      <c r="G7" s="28" t="s">
        <v>25</v>
      </c>
      <c r="H7" s="29">
        <v>2000</v>
      </c>
      <c r="I7" s="30">
        <v>6000</v>
      </c>
      <c r="J7" s="71"/>
      <c r="L7" s="3" t="s">
        <v>13</v>
      </c>
      <c r="M7" s="198">
        <f>Details!S35+(Details!S51*$V$10)</f>
        <v>161000</v>
      </c>
      <c r="N7" s="198">
        <f>Details!T35+(Details!T51*$V$9)</f>
        <v>840</v>
      </c>
      <c r="O7" s="198">
        <f>Details!U35+(Details!U51*$V$8)</f>
        <v>1610</v>
      </c>
      <c r="P7" s="198">
        <f>Details!V35+(Details!V51*V7)</f>
        <v>34000</v>
      </c>
      <c r="Q7" s="76">
        <v>750</v>
      </c>
      <c r="R7" s="4">
        <f>Q7+((Q7*(5*Research!$D$6))/100)</f>
        <v>1125</v>
      </c>
      <c r="S7" s="197">
        <f>Details!X35</f>
        <v>125</v>
      </c>
      <c r="T7" s="126"/>
      <c r="U7" s="3" t="s">
        <v>162</v>
      </c>
      <c r="V7" s="5">
        <f>Research!D15</f>
        <v>8</v>
      </c>
    </row>
    <row r="8" spans="2:22" ht="15.75" thickBot="1" x14ac:dyDescent="0.3">
      <c r="B8" s="32" t="s">
        <v>14</v>
      </c>
      <c r="C8" s="66">
        <v>50000</v>
      </c>
      <c r="D8" s="34">
        <v>25000</v>
      </c>
      <c r="E8" s="35">
        <v>15000</v>
      </c>
      <c r="F8" s="42"/>
      <c r="G8" s="32" t="s">
        <v>26</v>
      </c>
      <c r="H8" s="33">
        <v>50000</v>
      </c>
      <c r="I8" s="34">
        <v>50000</v>
      </c>
      <c r="J8" s="35">
        <v>30000</v>
      </c>
      <c r="K8" s="42"/>
      <c r="L8" s="3" t="s">
        <v>14</v>
      </c>
      <c r="M8" s="198">
        <f>Details!S36+(Details!S52*$V$10)</f>
        <v>172500</v>
      </c>
      <c r="N8" s="198">
        <f>Details!T36+(Details!T52*$V$9)</f>
        <v>1050</v>
      </c>
      <c r="O8" s="198">
        <f>Details!U36+(Details!U52*$V$8)</f>
        <v>2300</v>
      </c>
      <c r="P8" s="198">
        <f>Details!V36+(Details!V52*V6)</f>
        <v>12000</v>
      </c>
      <c r="Q8" s="76">
        <v>500</v>
      </c>
      <c r="R8" s="4">
        <f>Q8+((Q8*(5*Research!$D$6))/100)</f>
        <v>750</v>
      </c>
      <c r="S8" s="197">
        <f>Details!X36</f>
        <v>500</v>
      </c>
      <c r="T8" s="126"/>
      <c r="U8" s="3" t="s">
        <v>161</v>
      </c>
      <c r="V8" s="5">
        <f>Research!D16</f>
        <v>13</v>
      </c>
    </row>
    <row r="9" spans="2:22" ht="15.75" thickBot="1" x14ac:dyDescent="0.3">
      <c r="B9" s="28" t="s">
        <v>15</v>
      </c>
      <c r="C9" s="62">
        <v>60000</v>
      </c>
      <c r="D9" s="63">
        <v>50000</v>
      </c>
      <c r="E9" s="65">
        <v>15000</v>
      </c>
      <c r="F9" s="42"/>
      <c r="G9" s="28" t="s">
        <v>27</v>
      </c>
      <c r="H9" s="29">
        <v>10000</v>
      </c>
      <c r="I9" s="30">
        <v>10000</v>
      </c>
      <c r="J9" s="71"/>
      <c r="K9" s="47"/>
      <c r="L9" s="3" t="s">
        <v>15</v>
      </c>
      <c r="M9" s="198">
        <f>Details!S37+(Details!S53*$V$10)</f>
        <v>253000</v>
      </c>
      <c r="N9" s="198">
        <f>Details!T37+(Details!T53*$V$9)</f>
        <v>1050</v>
      </c>
      <c r="O9" s="198">
        <f>Details!U37+(Details!U53*$V$8)</f>
        <v>4600</v>
      </c>
      <c r="P9" s="198">
        <f>Details!V37+(Details!V53*V7)</f>
        <v>17000</v>
      </c>
      <c r="Q9" s="76">
        <v>2000</v>
      </c>
      <c r="R9" s="4">
        <f>Q9+((Q9*(5*Research!$D$6))/100)</f>
        <v>3000</v>
      </c>
      <c r="S9" s="197">
        <f>Details!X37</f>
        <v>500</v>
      </c>
      <c r="T9" s="126"/>
      <c r="U9" s="3" t="s">
        <v>160</v>
      </c>
      <c r="V9" s="5">
        <f>Research!D17</f>
        <v>11</v>
      </c>
    </row>
    <row r="10" spans="2:22" ht="15.75" thickBot="1" x14ac:dyDescent="0.3">
      <c r="B10" s="32" t="s">
        <v>16</v>
      </c>
      <c r="C10" s="66">
        <v>5000000</v>
      </c>
      <c r="D10" s="34">
        <v>4000000</v>
      </c>
      <c r="E10" s="35">
        <v>1000000</v>
      </c>
      <c r="F10" s="42"/>
      <c r="G10" s="32" t="s">
        <v>28</v>
      </c>
      <c r="H10" s="33">
        <v>50000</v>
      </c>
      <c r="I10" s="34">
        <v>50000</v>
      </c>
      <c r="J10" s="54"/>
      <c r="K10" s="42"/>
      <c r="L10" s="3" t="s">
        <v>159</v>
      </c>
      <c r="M10" s="198">
        <f>Details!S38+(Details!S54*$V$10)</f>
        <v>20700000</v>
      </c>
      <c r="N10" s="198">
        <f>Details!T38+(Details!T54*$V$9)</f>
        <v>105000</v>
      </c>
      <c r="O10" s="198">
        <f>Details!U38+(Details!U54*$V$8)</f>
        <v>460000</v>
      </c>
      <c r="P10" s="198">
        <f>Details!V38+(Details!V54*V7)</f>
        <v>340</v>
      </c>
      <c r="Q10" s="76">
        <v>1000000</v>
      </c>
      <c r="R10" s="4">
        <f>Q10+((Q10*(5*Research!$D$6))/100)</f>
        <v>1500000</v>
      </c>
      <c r="S10" s="197">
        <f>Details!X38</f>
        <v>0.5</v>
      </c>
      <c r="T10" s="126"/>
      <c r="U10" s="7" t="s">
        <v>158</v>
      </c>
      <c r="V10" s="5">
        <f>Research!D18</f>
        <v>13</v>
      </c>
    </row>
    <row r="11" spans="2:22" ht="15.75" thickBot="1" x14ac:dyDescent="0.3">
      <c r="B11" s="28" t="s">
        <v>17</v>
      </c>
      <c r="C11" s="62">
        <v>2000</v>
      </c>
      <c r="D11" s="63">
        <v>2000</v>
      </c>
      <c r="E11" s="54"/>
      <c r="F11" s="42"/>
      <c r="G11" s="28" t="s">
        <v>29</v>
      </c>
      <c r="H11" s="29">
        <v>8000</v>
      </c>
      <c r="I11" s="19"/>
      <c r="J11" s="31">
        <v>2000</v>
      </c>
      <c r="K11" s="42"/>
      <c r="L11" s="3" t="s">
        <v>17</v>
      </c>
      <c r="M11" s="198">
        <f>Details!S39+(Details!S55*$V$10)</f>
        <v>9200</v>
      </c>
      <c r="N11" s="198">
        <f>Details!T39+(Details!T55*$V$9)</f>
        <v>21</v>
      </c>
      <c r="O11" s="198">
        <f>Details!U39+(Details!U55*$V$8)</f>
        <v>11.5</v>
      </c>
      <c r="P11" s="198">
        <f>Details!V39+(Details!V55*V5)</f>
        <v>11000</v>
      </c>
      <c r="Q11" s="76">
        <v>5000</v>
      </c>
      <c r="R11" s="4">
        <f>Q11+((Q11*(5*Research!$D$6))/100)</f>
        <v>7500</v>
      </c>
      <c r="S11" s="197">
        <f>Details!X39</f>
        <v>5</v>
      </c>
      <c r="T11" s="126"/>
      <c r="U11" s="126"/>
      <c r="V11" s="126"/>
    </row>
    <row r="12" spans="2:22" ht="15.75" thickBot="1" x14ac:dyDescent="0.3">
      <c r="B12" s="32" t="s">
        <v>18</v>
      </c>
      <c r="C12" s="66">
        <v>6000</v>
      </c>
      <c r="D12" s="34">
        <v>6000</v>
      </c>
      <c r="E12" s="54"/>
      <c r="F12" s="42"/>
      <c r="G12" s="32" t="s">
        <v>30</v>
      </c>
      <c r="H12" s="33">
        <v>12500</v>
      </c>
      <c r="I12" s="34">
        <v>2500</v>
      </c>
      <c r="J12" s="35">
        <v>10000</v>
      </c>
      <c r="K12" s="42"/>
      <c r="L12" s="3" t="s">
        <v>18</v>
      </c>
      <c r="M12" s="198">
        <f>Details!S40+(Details!S56*$V$10)</f>
        <v>27600</v>
      </c>
      <c r="N12" s="198">
        <f>Details!T40+(Details!T56*$V$9)</f>
        <v>52.5</v>
      </c>
      <c r="O12" s="198">
        <f>Details!U40+(Details!U56*$V$8)</f>
        <v>11.5</v>
      </c>
      <c r="P12" s="198">
        <f>Details!V40+(Details!V56*V5)</f>
        <v>16500</v>
      </c>
      <c r="Q12" s="76">
        <v>25000</v>
      </c>
      <c r="R12" s="4">
        <f>Q12+((Q12*(5*Research!$D$6))/100)</f>
        <v>37500</v>
      </c>
      <c r="S12" s="197">
        <f>Details!X40</f>
        <v>25</v>
      </c>
      <c r="T12" s="126"/>
      <c r="U12" s="126"/>
      <c r="V12" s="126"/>
    </row>
    <row r="13" spans="2:22" ht="15.75" thickBot="1" x14ac:dyDescent="0.3">
      <c r="B13" s="28" t="s">
        <v>19</v>
      </c>
      <c r="C13" s="62">
        <v>10000</v>
      </c>
      <c r="D13" s="63">
        <v>6000</v>
      </c>
      <c r="E13" s="65">
        <v>2000</v>
      </c>
      <c r="F13" s="42"/>
      <c r="G13" s="42"/>
      <c r="H13" s="42"/>
      <c r="I13" s="42"/>
      <c r="J13" s="42"/>
      <c r="K13" s="42"/>
      <c r="L13" s="3" t="s">
        <v>157</v>
      </c>
      <c r="M13" s="198">
        <f>Details!S41+(Details!S57*$V$10)</f>
        <v>69000</v>
      </c>
      <c r="N13" s="198">
        <f>Details!T41+(Details!T57*$V$9)</f>
        <v>210</v>
      </c>
      <c r="O13" s="198">
        <f>Details!U41+(Details!U57*$V$8)</f>
        <v>115</v>
      </c>
      <c r="P13" s="198">
        <f>Details!V41+(Details!V57*V6)</f>
        <v>7500</v>
      </c>
      <c r="Q13" s="76">
        <v>7500</v>
      </c>
      <c r="R13" s="4">
        <f>Q13+((Q13*(5*Research!$D$6))/100)</f>
        <v>11250</v>
      </c>
      <c r="S13" s="197">
        <f>Details!X41</f>
        <v>500</v>
      </c>
      <c r="T13" s="126"/>
      <c r="U13" s="126"/>
      <c r="V13" s="126"/>
    </row>
    <row r="14" spans="2:22" ht="15.75" thickBot="1" x14ac:dyDescent="0.3">
      <c r="B14" s="67" t="s">
        <v>20</v>
      </c>
      <c r="C14" s="58"/>
      <c r="D14" s="68">
        <v>1000</v>
      </c>
      <c r="E14" s="41"/>
      <c r="F14" s="42"/>
      <c r="G14" s="42"/>
      <c r="H14" s="42"/>
      <c r="I14" s="42"/>
      <c r="J14" s="42"/>
      <c r="K14" s="42"/>
      <c r="L14" s="3" t="s">
        <v>19</v>
      </c>
      <c r="M14" s="198">
        <f>Details!S42+(Details!S58*$V$10)</f>
        <v>36800</v>
      </c>
      <c r="N14" s="198">
        <f>Details!T42+(Details!T58*$V$9)</f>
        <v>21</v>
      </c>
      <c r="O14" s="198">
        <f>Details!U42+(Details!U58*$V$8)</f>
        <v>2.2999999999999998</v>
      </c>
      <c r="P14" s="198">
        <f>Details!V42+(Details!V58*V5)</f>
        <v>4400</v>
      </c>
      <c r="Q14" s="76">
        <v>20000</v>
      </c>
      <c r="R14" s="4">
        <f>Q14+((Q14*(5*Research!$D$6))/100)</f>
        <v>30000</v>
      </c>
      <c r="S14" s="197">
        <f>Details!X42</f>
        <v>150</v>
      </c>
      <c r="T14" s="126"/>
      <c r="U14" s="126"/>
      <c r="V14" s="126"/>
    </row>
    <row r="15" spans="2:22" ht="16.5" thickTop="1" thickBot="1" x14ac:dyDescent="0.3">
      <c r="B15" s="236" t="s">
        <v>155</v>
      </c>
      <c r="C15" s="239"/>
      <c r="D15" s="237">
        <v>2000</v>
      </c>
      <c r="E15" s="238">
        <v>500</v>
      </c>
      <c r="L15" s="3" t="s">
        <v>156</v>
      </c>
      <c r="M15" s="198">
        <f>Details!S43+(Details!S59*$V$10)</f>
        <v>2300</v>
      </c>
      <c r="N15" s="198">
        <f>Details!T43+(Details!T59*$V$9)</f>
        <v>2.0999999999999998E-2</v>
      </c>
      <c r="O15" s="198">
        <f>Details!U43+(Details!U59*$V$8)</f>
        <v>2.3E-2</v>
      </c>
      <c r="P15" s="198">
        <f>Details!V43+(Details!V59*V5)</f>
        <v>220000000</v>
      </c>
      <c r="Q15" s="76">
        <v>5</v>
      </c>
      <c r="R15" s="4">
        <f>Q15+((Q15*(5*Research!$D$6))/100)</f>
        <v>7.5</v>
      </c>
      <c r="S15" s="197">
        <f>Details!X43</f>
        <v>0.5</v>
      </c>
      <c r="T15" s="126"/>
      <c r="U15" s="126"/>
      <c r="V15" s="126"/>
    </row>
    <row r="16" spans="2:22" ht="16.5" thickTop="1" thickBot="1" x14ac:dyDescent="0.3">
      <c r="L16" s="7" t="s">
        <v>155</v>
      </c>
      <c r="M16" s="196">
        <f>Details!S44+(Details!S60*$V$10)</f>
        <v>4600</v>
      </c>
      <c r="N16" s="196">
        <f>Details!T44+(Details!T60*$V$9)</f>
        <v>2.1</v>
      </c>
      <c r="O16" s="196">
        <f>Details!U44+(Details!U60*$V$8)</f>
        <v>2.2999999999999998</v>
      </c>
      <c r="P16" s="196">
        <f>Details!V44+(Details!V60*'Ships&amp;Defence'!$V$5)</f>
        <v>0</v>
      </c>
      <c r="Q16" s="77">
        <v>0</v>
      </c>
      <c r="R16" s="4">
        <f>Q16+((Q16*(5*Research!$D$6))/100)</f>
        <v>0</v>
      </c>
      <c r="S16" s="195">
        <f>Details!X44</f>
        <v>0</v>
      </c>
      <c r="T16" s="126"/>
      <c r="U16" s="126"/>
      <c r="V16" s="126"/>
    </row>
    <row r="17" spans="12:22" ht="16.5" thickTop="1" thickBot="1" x14ac:dyDescent="0.3">
      <c r="L17" s="126"/>
      <c r="M17" s="126"/>
      <c r="N17" s="126"/>
      <c r="O17" s="126"/>
      <c r="P17" s="126"/>
      <c r="R17" s="126"/>
      <c r="S17" s="126"/>
      <c r="T17" s="126"/>
      <c r="U17" s="126"/>
      <c r="V17" s="126"/>
    </row>
    <row r="18" spans="12:22" ht="31.5" thickTop="1" thickBot="1" x14ac:dyDescent="0.3">
      <c r="L18" s="194" t="s">
        <v>154</v>
      </c>
      <c r="M18" s="193" t="s">
        <v>153</v>
      </c>
      <c r="N18" s="193" t="s">
        <v>152</v>
      </c>
      <c r="O18" s="192" t="s">
        <v>151</v>
      </c>
      <c r="P18" s="48"/>
      <c r="Q18" s="48"/>
      <c r="R18" s="48"/>
      <c r="S18" s="48"/>
      <c r="T18" s="48"/>
      <c r="U18" s="48"/>
      <c r="V18" s="42"/>
    </row>
    <row r="19" spans="12:22" ht="16.5" thickTop="1" thickBot="1" x14ac:dyDescent="0.3">
      <c r="L19" s="168" t="s">
        <v>150</v>
      </c>
      <c r="M19" s="182">
        <f>Details!AC31+($V$10*Details!AC47)</f>
        <v>4600</v>
      </c>
      <c r="N19" s="183">
        <f>Details!AD31+($V$9*Details!AD47)</f>
        <v>42</v>
      </c>
      <c r="O19" s="184">
        <f>Details!AE31+($V$8*Details!AE47)</f>
        <v>184</v>
      </c>
      <c r="P19" s="42"/>
      <c r="Q19" s="42"/>
      <c r="R19" s="42"/>
      <c r="S19" s="42"/>
      <c r="T19" s="42"/>
      <c r="U19" s="42"/>
      <c r="V19" s="42"/>
    </row>
    <row r="20" spans="12:22" ht="15.75" thickBot="1" x14ac:dyDescent="0.3">
      <c r="L20" s="168" t="s">
        <v>149</v>
      </c>
      <c r="M20" s="3">
        <f>Details!AC32+($V$10*Details!AC48)</f>
        <v>4600</v>
      </c>
      <c r="N20" s="4">
        <f>Details!AD32+($V$9*Details!AD48)</f>
        <v>52.5</v>
      </c>
      <c r="O20" s="5">
        <f>Details!AE32+($V$8*Details!AE48)</f>
        <v>230</v>
      </c>
      <c r="P20" s="42"/>
      <c r="Q20" s="42"/>
      <c r="R20" s="42"/>
      <c r="S20" s="42"/>
      <c r="T20" s="42"/>
      <c r="U20" s="42"/>
      <c r="V20" s="42"/>
    </row>
    <row r="21" spans="12:22" ht="15.75" thickBot="1" x14ac:dyDescent="0.3">
      <c r="L21" s="168" t="s">
        <v>148</v>
      </c>
      <c r="M21" s="3">
        <f>Details!AC33+($V$10*Details!AC49)</f>
        <v>18400</v>
      </c>
      <c r="N21" s="4">
        <f>Details!AD33+($V$9*Details!AD49)</f>
        <v>210</v>
      </c>
      <c r="O21" s="5">
        <f>Details!AE33+($V$8*Details!AE49)</f>
        <v>575</v>
      </c>
      <c r="P21" s="42"/>
      <c r="Q21" s="42"/>
      <c r="R21" s="42"/>
      <c r="S21" s="42"/>
      <c r="T21" s="42"/>
      <c r="U21" s="42"/>
      <c r="V21" s="42"/>
    </row>
    <row r="22" spans="12:22" ht="15.75" thickBot="1" x14ac:dyDescent="0.3">
      <c r="L22" s="168" t="s">
        <v>24</v>
      </c>
      <c r="M22" s="3">
        <f>Details!AC34+($V$10*Details!AC50)</f>
        <v>80500</v>
      </c>
      <c r="N22" s="4">
        <f>Details!AD34+($V$9*Details!AD50)</f>
        <v>420</v>
      </c>
      <c r="O22" s="5">
        <f>Details!AE34+($V$8*Details!AE50)</f>
        <v>2530</v>
      </c>
      <c r="P22" s="42"/>
      <c r="Q22" s="42"/>
      <c r="R22" s="42"/>
      <c r="S22" s="42"/>
      <c r="T22" s="42"/>
      <c r="U22" s="42"/>
      <c r="V22" s="42"/>
    </row>
    <row r="23" spans="12:22" ht="15.75" thickBot="1" x14ac:dyDescent="0.3">
      <c r="L23" s="168" t="s">
        <v>147</v>
      </c>
      <c r="M23" s="3">
        <f>Details!AC35+($V$10*Details!AC51)</f>
        <v>18400</v>
      </c>
      <c r="N23" s="4">
        <f>Details!AD35+($V$9*Details!AD51)</f>
        <v>1050</v>
      </c>
      <c r="O23" s="5">
        <f>Details!AE35+($V$8*Details!AE51)</f>
        <v>345</v>
      </c>
      <c r="P23" s="42"/>
      <c r="Q23" s="42"/>
      <c r="R23" s="42"/>
      <c r="S23" s="42"/>
      <c r="T23" s="42"/>
      <c r="U23" s="42"/>
      <c r="V23" s="42"/>
    </row>
    <row r="24" spans="12:22" ht="15.75" thickBot="1" x14ac:dyDescent="0.3">
      <c r="L24" s="168" t="s">
        <v>146</v>
      </c>
      <c r="M24" s="3">
        <f>Details!AC36+($V$10*Details!AC52)</f>
        <v>230000</v>
      </c>
      <c r="N24" s="4">
        <f>Details!AD36+($V$9*Details!AD52)</f>
        <v>630</v>
      </c>
      <c r="O24" s="5">
        <f>Details!AE36+($V$8*Details!AE52)</f>
        <v>6900</v>
      </c>
      <c r="P24" s="42"/>
      <c r="Q24" s="42"/>
      <c r="R24" s="42"/>
      <c r="S24" s="42"/>
      <c r="T24" s="42"/>
      <c r="U24" s="42"/>
      <c r="V24" s="42"/>
    </row>
    <row r="25" spans="12:22" ht="15.75" thickBot="1" x14ac:dyDescent="0.3">
      <c r="L25" s="168" t="s">
        <v>145</v>
      </c>
      <c r="M25" s="3">
        <f>Details!AC37+($V$10*Details!AC53)</f>
        <v>46000</v>
      </c>
      <c r="N25" s="4">
        <f>Details!AD37+($V$9*Details!AD53)</f>
        <v>4200</v>
      </c>
      <c r="O25" s="5">
        <f>Details!AE37+($V$8*Details!AE53)</f>
        <v>2.2999999999999998</v>
      </c>
      <c r="P25" s="42"/>
      <c r="Q25" s="42"/>
      <c r="R25" s="42"/>
      <c r="S25" s="42"/>
      <c r="T25" s="42"/>
      <c r="U25" s="42"/>
      <c r="V25" s="42"/>
    </row>
    <row r="26" spans="12:22" ht="15.75" thickBot="1" x14ac:dyDescent="0.3">
      <c r="L26" s="168" t="s">
        <v>144</v>
      </c>
      <c r="M26" s="3">
        <f>Details!AC38+($V$10*Details!AC54)</f>
        <v>230000</v>
      </c>
      <c r="N26" s="4">
        <f>Details!AD38+($V$9*Details!AD54)</f>
        <v>21000</v>
      </c>
      <c r="O26" s="5">
        <f>Details!AE38+($V$8*Details!AE54)</f>
        <v>2.2999999999999998</v>
      </c>
      <c r="P26" s="42"/>
      <c r="Q26" s="42"/>
      <c r="R26" s="42"/>
      <c r="S26" s="42"/>
      <c r="T26" s="42"/>
      <c r="U26" s="42"/>
      <c r="V26" s="42"/>
    </row>
    <row r="27" spans="12:22" ht="15.75" thickBot="1" x14ac:dyDescent="0.3">
      <c r="L27" s="168" t="s">
        <v>143</v>
      </c>
      <c r="M27" s="3">
        <f>Details!AC39+($V$10*Details!AC55)</f>
        <v>18400</v>
      </c>
      <c r="N27" s="4">
        <f>Details!AD39+($V$9*Details!AD55)</f>
        <v>2.1</v>
      </c>
      <c r="O27" s="5">
        <f>Details!AE39+($V$8*Details!AE55)</f>
        <v>2.2999999999999998</v>
      </c>
      <c r="P27" s="42"/>
      <c r="Q27" s="42"/>
      <c r="R27" s="42"/>
      <c r="S27" s="42"/>
      <c r="T27" s="42"/>
      <c r="U27" s="42"/>
      <c r="V27" s="42"/>
    </row>
    <row r="28" spans="12:22" ht="15.75" thickBot="1" x14ac:dyDescent="0.3">
      <c r="L28" s="169" t="s">
        <v>30</v>
      </c>
      <c r="M28" s="7">
        <f>Details!AC40+($V$10*Details!AC56)</f>
        <v>34500</v>
      </c>
      <c r="N28" s="15">
        <f>Details!AD40+($V$9*Details!AD56)</f>
        <v>2.1</v>
      </c>
      <c r="O28" s="16">
        <f>Details!AE40+($V$8*Details!AE56)</f>
        <v>27600</v>
      </c>
      <c r="P28" s="42"/>
      <c r="Q28" s="42"/>
      <c r="R28" s="42"/>
      <c r="S28" s="42"/>
      <c r="T28" s="42"/>
      <c r="U28" s="42"/>
      <c r="V28" s="42"/>
    </row>
    <row r="29" spans="12:22" ht="15.75" thickTop="1" x14ac:dyDescent="0.25"/>
  </sheetData>
  <mergeCells count="1">
    <mergeCell ref="Q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A22" workbookViewId="0">
      <selection activeCell="Z37" sqref="Z37"/>
    </sheetView>
  </sheetViews>
  <sheetFormatPr defaultRowHeight="15" x14ac:dyDescent="0.25"/>
  <cols>
    <col min="1" max="1" width="4.28515625" style="1" customWidth="1"/>
    <col min="2" max="2" width="5.7109375" style="1" bestFit="1" customWidth="1"/>
    <col min="3" max="3" width="11.85546875" style="1" bestFit="1" customWidth="1"/>
    <col min="4" max="4" width="7.85546875" style="1" bestFit="1" customWidth="1"/>
    <col min="5" max="5" width="4.28515625" style="1" customWidth="1"/>
    <col min="6" max="6" width="5.7109375" style="1" bestFit="1" customWidth="1"/>
    <col min="7" max="7" width="10.28515625" style="1" bestFit="1" customWidth="1"/>
    <col min="8" max="8" width="4.28515625" style="1" customWidth="1"/>
    <col min="9" max="9" width="5.7109375" style="1" bestFit="1" customWidth="1"/>
    <col min="10" max="10" width="7.7109375" style="1" bestFit="1" customWidth="1"/>
    <col min="11" max="11" width="4.28515625" style="1" customWidth="1"/>
    <col min="12" max="12" width="7.42578125" style="1" customWidth="1"/>
    <col min="13" max="13" width="7.7109375" style="1" bestFit="1" customWidth="1"/>
    <col min="14" max="14" width="12.7109375" style="1" bestFit="1" customWidth="1"/>
    <col min="15" max="17" width="10.28515625" style="1" customWidth="1"/>
    <col min="18" max="18" width="18" style="1" bestFit="1" customWidth="1"/>
    <col min="19" max="21" width="10.28515625" style="1" customWidth="1"/>
    <col min="22" max="22" width="11.85546875" style="1" bestFit="1" customWidth="1"/>
    <col min="23" max="23" width="11.140625" style="1" customWidth="1"/>
    <col min="24" max="24" width="12.5703125" style="1" bestFit="1" customWidth="1"/>
    <col min="25" max="25" width="21.85546875" style="1" bestFit="1" customWidth="1"/>
    <col min="26" max="26" width="18.42578125" style="1" bestFit="1" customWidth="1"/>
    <col min="27" max="28" width="9.140625" style="1" customWidth="1"/>
    <col min="29" max="16384" width="9.140625" style="1"/>
  </cols>
  <sheetData>
    <row r="1" spans="1:28" ht="15.75" thickBot="1" x14ac:dyDescent="0.3"/>
    <row r="2" spans="1:28" ht="16.5" thickTop="1" thickBot="1" x14ac:dyDescent="0.3">
      <c r="A2" s="42"/>
      <c r="B2" s="286" t="s">
        <v>67</v>
      </c>
      <c r="C2" s="287"/>
      <c r="D2" s="288"/>
      <c r="E2" s="48"/>
      <c r="F2" s="286" t="s">
        <v>69</v>
      </c>
      <c r="G2" s="288"/>
      <c r="H2" s="42"/>
      <c r="I2" s="285" t="s">
        <v>40</v>
      </c>
      <c r="J2" s="285"/>
      <c r="K2" s="42"/>
      <c r="L2" s="285" t="s">
        <v>108</v>
      </c>
      <c r="M2" s="285"/>
      <c r="N2" s="285"/>
      <c r="O2" s="46"/>
      <c r="P2" s="42"/>
      <c r="Q2" s="42"/>
      <c r="R2" s="42"/>
      <c r="S2" s="42"/>
      <c r="T2" s="42"/>
      <c r="U2" s="42"/>
      <c r="V2" s="42"/>
      <c r="W2" s="42"/>
    </row>
    <row r="3" spans="1:28" ht="16.5" thickTop="1" thickBot="1" x14ac:dyDescent="0.3">
      <c r="A3" s="42"/>
      <c r="B3" s="7" t="s">
        <v>63</v>
      </c>
      <c r="C3" s="15" t="s">
        <v>68</v>
      </c>
      <c r="D3" s="16" t="s">
        <v>65</v>
      </c>
      <c r="F3" s="7" t="s">
        <v>63</v>
      </c>
      <c r="G3" s="16" t="s">
        <v>68</v>
      </c>
      <c r="H3" s="42"/>
      <c r="I3" s="57" t="s">
        <v>63</v>
      </c>
      <c r="J3" s="57" t="s">
        <v>101</v>
      </c>
      <c r="K3" s="42"/>
      <c r="L3" s="57" t="s">
        <v>63</v>
      </c>
      <c r="M3" s="57" t="s">
        <v>101</v>
      </c>
      <c r="N3" s="57" t="s">
        <v>109</v>
      </c>
      <c r="O3" s="46"/>
      <c r="P3" s="42"/>
      <c r="Q3" s="42"/>
      <c r="R3" s="42"/>
      <c r="S3" s="42"/>
      <c r="T3" s="42"/>
      <c r="U3" s="42"/>
      <c r="V3" s="42"/>
      <c r="W3" s="42"/>
      <c r="Y3" s="48"/>
      <c r="Z3" s="48"/>
      <c r="AA3" s="48"/>
    </row>
    <row r="4" spans="1:28" ht="16.5" thickTop="1" thickBot="1" x14ac:dyDescent="0.3">
      <c r="A4" s="82"/>
      <c r="B4" s="12">
        <v>1</v>
      </c>
      <c r="C4" s="93">
        <v>20000</v>
      </c>
      <c r="D4" s="94">
        <v>1</v>
      </c>
      <c r="F4" s="12">
        <v>1</v>
      </c>
      <c r="G4" s="14">
        <v>10</v>
      </c>
      <c r="H4" s="42"/>
      <c r="I4" s="78">
        <v>1</v>
      </c>
      <c r="J4" s="20">
        <f t="shared" ref="J4:J18" si="0">INT(20*I4*(1.1^I4))</f>
        <v>22</v>
      </c>
      <c r="L4" s="78">
        <v>1</v>
      </c>
      <c r="M4" s="37">
        <f>INT(30*L4*((1.05+Research!$D$3*0.01)^Research!$D$3))</f>
        <v>197</v>
      </c>
      <c r="N4" s="20">
        <f>INT(70*L4*(1.1^L4))</f>
        <v>77</v>
      </c>
      <c r="O4" s="86">
        <v>32</v>
      </c>
      <c r="P4" s="89">
        <f>INT(30*L4*(1.05+Research!$D$3*(0.01^Research!$D$3)))</f>
        <v>31</v>
      </c>
      <c r="Q4" s="42"/>
      <c r="R4" s="42"/>
      <c r="S4" s="42"/>
      <c r="T4" s="42"/>
      <c r="U4" s="42"/>
      <c r="V4" s="42"/>
      <c r="W4" s="42"/>
      <c r="Y4" s="42"/>
      <c r="Z4" s="42"/>
      <c r="AA4" s="42"/>
    </row>
    <row r="5" spans="1:28" ht="15.75" thickBot="1" x14ac:dyDescent="0.3">
      <c r="A5" s="82"/>
      <c r="B5" s="3">
        <v>2</v>
      </c>
      <c r="C5" s="76">
        <v>40000</v>
      </c>
      <c r="D5" s="5">
        <v>2</v>
      </c>
      <c r="F5" s="3">
        <v>2</v>
      </c>
      <c r="G5" s="5">
        <v>20</v>
      </c>
      <c r="H5" s="42"/>
      <c r="I5" s="3">
        <v>2</v>
      </c>
      <c r="J5" s="5">
        <f t="shared" si="0"/>
        <v>48</v>
      </c>
      <c r="L5" s="3">
        <v>2</v>
      </c>
      <c r="M5" s="37">
        <f>INT(30*L5*((1.05+Research!$D$3*0.01)^Research!$D$3))</f>
        <v>394</v>
      </c>
      <c r="N5" s="5">
        <f t="shared" ref="N5:N28" si="1">INT(70*L5*(1.1^L5))</f>
        <v>169</v>
      </c>
      <c r="O5" s="46">
        <v>69</v>
      </c>
      <c r="P5" s="43">
        <f>INT(30*L5*(1.05+Research!$D$3*(0.01^Research!$D$3)))</f>
        <v>63</v>
      </c>
      <c r="Q5" s="42"/>
      <c r="R5" s="42"/>
      <c r="S5" s="42"/>
      <c r="T5" s="42" t="s">
        <v>112</v>
      </c>
      <c r="U5" s="42"/>
      <c r="V5" s="42"/>
      <c r="W5" s="42"/>
      <c r="Y5" s="42"/>
      <c r="Z5" s="82"/>
      <c r="AA5" s="81"/>
    </row>
    <row r="6" spans="1:28" ht="15.75" thickBot="1" x14ac:dyDescent="0.3">
      <c r="A6" s="82"/>
      <c r="B6" s="3">
        <v>3</v>
      </c>
      <c r="C6" s="76">
        <v>75000</v>
      </c>
      <c r="D6" s="5">
        <v>3</v>
      </c>
      <c r="F6" s="3">
        <v>3</v>
      </c>
      <c r="G6" s="5">
        <v>30</v>
      </c>
      <c r="H6" s="42"/>
      <c r="I6" s="3">
        <v>3</v>
      </c>
      <c r="J6" s="5">
        <f t="shared" si="0"/>
        <v>79</v>
      </c>
      <c r="L6" s="3">
        <v>3</v>
      </c>
      <c r="M6" s="37">
        <f>INT(30*L6*((1.05+Research!$D$3*0.01)^Research!$D$3))</f>
        <v>592</v>
      </c>
      <c r="N6" s="5">
        <f t="shared" si="1"/>
        <v>279</v>
      </c>
      <c r="O6" s="87">
        <v>113</v>
      </c>
      <c r="P6" s="92">
        <f>INT(30*L6*(1.05+Research!$D$3*(0.01^Research!$D$3)))</f>
        <v>94</v>
      </c>
      <c r="Q6" s="42"/>
      <c r="R6" s="42"/>
      <c r="S6" s="42"/>
      <c r="T6" s="42" t="s">
        <v>118</v>
      </c>
      <c r="U6" s="1" t="s">
        <v>119</v>
      </c>
      <c r="V6" s="1" t="s">
        <v>120</v>
      </c>
      <c r="W6" s="42"/>
      <c r="Y6" s="81"/>
      <c r="Z6" s="82"/>
      <c r="AA6" s="81"/>
    </row>
    <row r="7" spans="1:28" ht="15.75" thickBot="1" x14ac:dyDescent="0.3">
      <c r="A7" s="82"/>
      <c r="B7" s="3">
        <v>4</v>
      </c>
      <c r="C7" s="76">
        <v>140000</v>
      </c>
      <c r="D7" s="5">
        <v>4</v>
      </c>
      <c r="F7" s="3">
        <v>4</v>
      </c>
      <c r="G7" s="5">
        <v>40</v>
      </c>
      <c r="H7" s="42"/>
      <c r="I7" s="3">
        <v>4</v>
      </c>
      <c r="J7" s="5">
        <f t="shared" si="0"/>
        <v>117</v>
      </c>
      <c r="L7" s="3">
        <v>4</v>
      </c>
      <c r="M7" s="37">
        <f>INT(30*L7*((1.05+Research!$D$3*0.01)^Research!$D$3))</f>
        <v>789</v>
      </c>
      <c r="N7" s="5">
        <f t="shared" si="1"/>
        <v>409</v>
      </c>
      <c r="O7" s="46"/>
      <c r="P7" s="42"/>
      <c r="Q7" s="42"/>
      <c r="R7" s="42">
        <v>5</v>
      </c>
      <c r="S7" s="42" t="s">
        <v>117</v>
      </c>
      <c r="T7" s="42">
        <v>15783</v>
      </c>
      <c r="U7" s="82">
        <f>Resources!C11</f>
        <v>2880</v>
      </c>
      <c r="V7" s="42">
        <f>(U7*D8)/100</f>
        <v>144</v>
      </c>
      <c r="W7" s="42">
        <f>V7-T7</f>
        <v>-15639</v>
      </c>
      <c r="Y7" s="42"/>
      <c r="Z7" s="82"/>
      <c r="AA7" s="81"/>
    </row>
    <row r="8" spans="1:28" ht="15.75" thickBot="1" x14ac:dyDescent="0.3">
      <c r="A8" s="82"/>
      <c r="B8" s="3">
        <v>5</v>
      </c>
      <c r="C8" s="76">
        <v>255000</v>
      </c>
      <c r="D8" s="5">
        <v>5</v>
      </c>
      <c r="F8" s="3">
        <v>5</v>
      </c>
      <c r="G8" s="5">
        <v>50</v>
      </c>
      <c r="H8" s="42"/>
      <c r="I8" s="3">
        <v>5</v>
      </c>
      <c r="J8" s="5">
        <f t="shared" si="0"/>
        <v>161</v>
      </c>
      <c r="L8" s="3">
        <v>5</v>
      </c>
      <c r="M8" s="37">
        <f>INT(30*L8*((1.05+Research!$D$3*0.01)^Research!$D$3))</f>
        <v>987</v>
      </c>
      <c r="N8" s="5">
        <f t="shared" si="1"/>
        <v>563</v>
      </c>
      <c r="O8" s="46"/>
      <c r="P8" s="42"/>
      <c r="Q8" s="42"/>
      <c r="R8" s="42">
        <v>4</v>
      </c>
      <c r="S8" s="42" t="s">
        <v>115</v>
      </c>
      <c r="T8" s="42">
        <v>7143</v>
      </c>
      <c r="U8" s="82">
        <f>Resources!C23</f>
        <v>1440</v>
      </c>
      <c r="V8" s="42">
        <f>(U8*D7)/100</f>
        <v>57.6</v>
      </c>
      <c r="W8" s="42">
        <f t="shared" ref="W8:W9" si="2">V8-T8</f>
        <v>-7085.4</v>
      </c>
      <c r="Y8" s="42"/>
      <c r="Z8" s="82"/>
      <c r="AA8" s="42"/>
      <c r="AB8" s="80"/>
    </row>
    <row r="9" spans="1:28" ht="15.75" thickBot="1" x14ac:dyDescent="0.3">
      <c r="A9" s="82"/>
      <c r="B9" s="3">
        <v>6</v>
      </c>
      <c r="C9" s="76">
        <v>470000</v>
      </c>
      <c r="D9" s="5">
        <v>6</v>
      </c>
      <c r="F9" s="3">
        <v>6</v>
      </c>
      <c r="G9" s="5">
        <v>60</v>
      </c>
      <c r="H9" s="42"/>
      <c r="I9" s="3">
        <v>6</v>
      </c>
      <c r="J9" s="5">
        <f t="shared" si="0"/>
        <v>212</v>
      </c>
      <c r="L9" s="3">
        <v>6</v>
      </c>
      <c r="M9" s="37">
        <f>INT(30*L9*((1.05+Research!$D$3*0.01)^Research!$D$3))</f>
        <v>1184</v>
      </c>
      <c r="N9" s="5">
        <f t="shared" si="1"/>
        <v>744</v>
      </c>
      <c r="O9" s="42"/>
      <c r="P9" s="42"/>
      <c r="Q9" s="42"/>
      <c r="R9" s="42">
        <v>2</v>
      </c>
      <c r="S9" s="42" t="s">
        <v>116</v>
      </c>
      <c r="T9" s="42">
        <v>1088</v>
      </c>
      <c r="U9" s="82">
        <f>Resources!C34</f>
        <v>0</v>
      </c>
      <c r="V9" s="42">
        <f>(U9*D5)/100</f>
        <v>0</v>
      </c>
      <c r="W9" s="42">
        <f t="shared" si="2"/>
        <v>-1088</v>
      </c>
      <c r="Y9" s="42"/>
      <c r="Z9" s="82"/>
      <c r="AA9" s="42"/>
      <c r="AB9" s="80"/>
    </row>
    <row r="10" spans="1:28" ht="15.75" thickBot="1" x14ac:dyDescent="0.3">
      <c r="A10" s="82"/>
      <c r="B10" s="3">
        <v>7</v>
      </c>
      <c r="C10" s="76">
        <v>865000</v>
      </c>
      <c r="D10" s="5">
        <v>7</v>
      </c>
      <c r="F10" s="3">
        <v>7</v>
      </c>
      <c r="G10" s="5">
        <v>70</v>
      </c>
      <c r="H10" s="42"/>
      <c r="I10" s="3">
        <v>7</v>
      </c>
      <c r="J10" s="5">
        <f t="shared" si="0"/>
        <v>272</v>
      </c>
      <c r="L10" s="3">
        <v>7</v>
      </c>
      <c r="M10" s="37">
        <f>INT(30*L10*((1.05+Research!$D$3*0.01)^Research!$D$3))</f>
        <v>1381</v>
      </c>
      <c r="N10" s="5">
        <f t="shared" si="1"/>
        <v>954</v>
      </c>
      <c r="O10" s="42"/>
      <c r="P10" s="42"/>
      <c r="Q10" s="42"/>
      <c r="R10" s="42"/>
      <c r="S10" s="42"/>
      <c r="T10" s="42"/>
      <c r="U10" s="42"/>
      <c r="V10" s="42"/>
      <c r="W10" s="42"/>
      <c r="Y10" s="42"/>
      <c r="Z10" s="82"/>
      <c r="AA10" s="42"/>
      <c r="AB10" s="80"/>
    </row>
    <row r="11" spans="1:28" ht="15.75" thickBot="1" x14ac:dyDescent="0.3">
      <c r="A11" s="82"/>
      <c r="B11" s="3">
        <v>8</v>
      </c>
      <c r="C11" s="76">
        <v>1590000</v>
      </c>
      <c r="D11" s="5">
        <v>8</v>
      </c>
      <c r="F11" s="3">
        <v>8</v>
      </c>
      <c r="G11" s="5">
        <v>80</v>
      </c>
      <c r="H11" s="42"/>
      <c r="I11" s="3">
        <v>8</v>
      </c>
      <c r="J11" s="5">
        <f t="shared" si="0"/>
        <v>342</v>
      </c>
      <c r="L11" s="3">
        <v>8</v>
      </c>
      <c r="M11" s="4">
        <f>INT(30*L11*((1.05+Research!$D$3*0.01)^Research!$D$3))</f>
        <v>1579</v>
      </c>
      <c r="N11" s="5">
        <f t="shared" si="1"/>
        <v>1200</v>
      </c>
      <c r="O11" s="42"/>
      <c r="P11" s="42"/>
      <c r="Q11" s="42"/>
      <c r="R11" s="42"/>
      <c r="S11" s="42"/>
      <c r="T11" s="42" t="s">
        <v>113</v>
      </c>
      <c r="U11" s="42"/>
      <c r="V11" s="42"/>
      <c r="W11" s="42"/>
      <c r="Y11" s="42"/>
      <c r="Z11" s="82"/>
      <c r="AA11" s="42"/>
      <c r="AB11" s="80"/>
    </row>
    <row r="12" spans="1:28" ht="15.75" thickBot="1" x14ac:dyDescent="0.3">
      <c r="A12" s="82"/>
      <c r="B12" s="3">
        <v>9</v>
      </c>
      <c r="C12" s="76">
        <v>2920000</v>
      </c>
      <c r="D12" s="5">
        <v>9</v>
      </c>
      <c r="F12" s="3">
        <v>9</v>
      </c>
      <c r="G12" s="5">
        <v>90</v>
      </c>
      <c r="H12" s="42"/>
      <c r="I12" s="3">
        <v>9</v>
      </c>
      <c r="J12" s="5">
        <f t="shared" si="0"/>
        <v>424</v>
      </c>
      <c r="L12" s="3">
        <v>9</v>
      </c>
      <c r="M12" s="4">
        <f>INT(30*L12*((1.05+Research!$D$3*0.01)^Research!$D$3))</f>
        <v>1776</v>
      </c>
      <c r="N12" s="5">
        <f t="shared" si="1"/>
        <v>1485</v>
      </c>
      <c r="O12" s="42"/>
      <c r="P12" s="42"/>
      <c r="Q12" s="42"/>
      <c r="R12" s="42"/>
      <c r="S12" s="42"/>
      <c r="T12" s="42" t="s">
        <v>118</v>
      </c>
      <c r="U12" s="126" t="s">
        <v>119</v>
      </c>
      <c r="V12" s="126" t="s">
        <v>120</v>
      </c>
      <c r="W12" s="42"/>
      <c r="Y12" s="42"/>
      <c r="Z12" s="82"/>
      <c r="AA12" s="42"/>
      <c r="AB12" s="80"/>
    </row>
    <row r="13" spans="1:28" ht="15.75" thickBot="1" x14ac:dyDescent="0.3">
      <c r="A13" s="82"/>
      <c r="B13" s="3">
        <v>10</v>
      </c>
      <c r="C13" s="76">
        <v>5355000</v>
      </c>
      <c r="D13" s="5">
        <v>10</v>
      </c>
      <c r="F13" s="3">
        <v>10</v>
      </c>
      <c r="G13" s="5">
        <v>100</v>
      </c>
      <c r="H13" s="42"/>
      <c r="I13" s="3">
        <v>10</v>
      </c>
      <c r="J13" s="5">
        <f t="shared" si="0"/>
        <v>518</v>
      </c>
      <c r="L13" s="3">
        <v>10</v>
      </c>
      <c r="M13" s="4">
        <f>INT(30*L13*((1.05+Research!$D$3*0.01)^Research!$D$3))</f>
        <v>1974</v>
      </c>
      <c r="N13" s="5">
        <f t="shared" si="1"/>
        <v>1815</v>
      </c>
      <c r="O13" s="42"/>
      <c r="Q13" s="42"/>
      <c r="R13" s="42">
        <v>3</v>
      </c>
      <c r="S13" s="42" t="s">
        <v>117</v>
      </c>
      <c r="T13" s="42">
        <v>3921</v>
      </c>
      <c r="U13" s="82" t="str">
        <f>Resources!D11</f>
        <v xml:space="preserve"> </v>
      </c>
      <c r="V13" s="42"/>
      <c r="W13" s="42"/>
      <c r="X13" s="42"/>
      <c r="Y13" s="42"/>
      <c r="Z13" s="82"/>
      <c r="AA13" s="42"/>
      <c r="AB13" s="80"/>
    </row>
    <row r="14" spans="1:28" ht="15.75" thickBot="1" x14ac:dyDescent="0.3">
      <c r="A14" s="82"/>
      <c r="B14" s="3">
        <v>11</v>
      </c>
      <c r="C14" s="76">
        <v>9820000</v>
      </c>
      <c r="D14" s="5">
        <v>10</v>
      </c>
      <c r="F14" s="3">
        <v>11</v>
      </c>
      <c r="G14" s="5">
        <v>110</v>
      </c>
      <c r="H14" s="42"/>
      <c r="I14" s="3">
        <v>11</v>
      </c>
      <c r="J14" s="5">
        <f t="shared" si="0"/>
        <v>627</v>
      </c>
      <c r="L14" s="3">
        <v>11</v>
      </c>
      <c r="M14" s="4">
        <f>INT(30*L14*((1.05+Research!$D$3*0.01)^Research!$D$3))</f>
        <v>2171</v>
      </c>
      <c r="N14" s="5">
        <f t="shared" si="1"/>
        <v>2196</v>
      </c>
      <c r="O14" s="42"/>
      <c r="P14" s="42"/>
      <c r="Q14" s="42"/>
      <c r="R14" s="42">
        <v>2</v>
      </c>
      <c r="S14" s="42" t="s">
        <v>115</v>
      </c>
      <c r="T14" s="42">
        <v>1740</v>
      </c>
      <c r="U14" s="82" t="str">
        <f>Resources!D23</f>
        <v xml:space="preserve"> </v>
      </c>
      <c r="V14" s="42"/>
      <c r="W14" s="42"/>
      <c r="Y14" s="42"/>
      <c r="Z14" s="82"/>
      <c r="AA14" s="42"/>
      <c r="AB14" s="80"/>
    </row>
    <row r="15" spans="1:28" ht="15.75" thickBot="1" x14ac:dyDescent="0.3">
      <c r="A15" s="82"/>
      <c r="B15" s="3">
        <v>12</v>
      </c>
      <c r="C15" s="76">
        <v>18005000</v>
      </c>
      <c r="D15" s="5">
        <v>10</v>
      </c>
      <c r="F15" s="3">
        <v>12</v>
      </c>
      <c r="G15" s="5">
        <v>120</v>
      </c>
      <c r="H15" s="42"/>
      <c r="I15" s="3">
        <v>12</v>
      </c>
      <c r="J15" s="5">
        <f t="shared" si="0"/>
        <v>753</v>
      </c>
      <c r="L15" s="3">
        <v>12</v>
      </c>
      <c r="M15" s="4">
        <f>INT(30*L15*((1.05+Research!$D$3*0.01)^Research!$D$3))</f>
        <v>2368</v>
      </c>
      <c r="N15" s="5">
        <f t="shared" si="1"/>
        <v>2636</v>
      </c>
      <c r="O15" s="42"/>
      <c r="P15" s="42"/>
      <c r="Q15" s="42"/>
      <c r="R15" s="42">
        <v>3</v>
      </c>
      <c r="S15" s="42" t="s">
        <v>116</v>
      </c>
      <c r="T15" s="42">
        <v>2096</v>
      </c>
      <c r="U15" s="82" t="str">
        <f>Resources!D34</f>
        <v xml:space="preserve"> </v>
      </c>
      <c r="V15" s="42"/>
      <c r="W15" s="42"/>
      <c r="Y15" s="42"/>
      <c r="Z15" s="82"/>
      <c r="AA15" s="42"/>
      <c r="AB15" s="80"/>
    </row>
    <row r="16" spans="1:28" ht="15.75" thickBot="1" x14ac:dyDescent="0.3">
      <c r="A16" s="82"/>
      <c r="B16" s="3">
        <v>13</v>
      </c>
      <c r="C16" s="76">
        <v>33005000</v>
      </c>
      <c r="D16" s="5">
        <v>10</v>
      </c>
      <c r="F16" s="3">
        <v>13</v>
      </c>
      <c r="G16" s="5">
        <v>130</v>
      </c>
      <c r="H16" s="42"/>
      <c r="I16" s="3">
        <v>13</v>
      </c>
      <c r="J16" s="5">
        <f t="shared" si="0"/>
        <v>897</v>
      </c>
      <c r="L16" s="3">
        <v>13</v>
      </c>
      <c r="M16" s="4">
        <f>INT(30*L16*((1.05+Research!$D$3*0.01)^Research!$D$3))</f>
        <v>2566</v>
      </c>
      <c r="N16" s="5">
        <f t="shared" si="1"/>
        <v>3141</v>
      </c>
      <c r="O16" s="42"/>
      <c r="P16" s="42"/>
      <c r="Q16" s="42"/>
      <c r="R16" s="42"/>
      <c r="S16" s="42"/>
      <c r="T16" s="42"/>
      <c r="U16" s="42"/>
      <c r="V16" s="42"/>
      <c r="W16" s="42"/>
      <c r="Y16" s="42"/>
      <c r="Z16" s="82"/>
      <c r="AA16" s="42"/>
      <c r="AB16" s="80"/>
    </row>
    <row r="17" spans="1:31" ht="15.75" thickBot="1" x14ac:dyDescent="0.3">
      <c r="A17" s="82"/>
      <c r="B17" s="3">
        <v>14</v>
      </c>
      <c r="C17" s="76">
        <v>60510000</v>
      </c>
      <c r="D17" s="5">
        <v>10</v>
      </c>
      <c r="F17" s="3">
        <v>14</v>
      </c>
      <c r="G17" s="5">
        <v>140</v>
      </c>
      <c r="H17" s="42"/>
      <c r="I17" s="3">
        <v>14</v>
      </c>
      <c r="J17" s="5">
        <f t="shared" si="0"/>
        <v>1063</v>
      </c>
      <c r="L17" s="3">
        <v>14</v>
      </c>
      <c r="M17" s="4">
        <f>INT(30*L17*((1.05+Research!$D$3*0.01)^Research!$D$3))</f>
        <v>2763</v>
      </c>
      <c r="N17" s="5">
        <f t="shared" si="1"/>
        <v>3721</v>
      </c>
      <c r="O17" s="42"/>
      <c r="P17" s="42"/>
      <c r="Q17" s="42"/>
      <c r="R17" s="42"/>
      <c r="S17" s="42"/>
      <c r="T17" s="42" t="s">
        <v>114</v>
      </c>
      <c r="U17" s="42"/>
      <c r="V17" s="42"/>
      <c r="W17" s="42"/>
      <c r="Y17" s="42"/>
      <c r="Z17" s="82"/>
      <c r="AA17" s="42"/>
      <c r="AB17" s="80"/>
    </row>
    <row r="18" spans="1:31" ht="15.75" thickBot="1" x14ac:dyDescent="0.3">
      <c r="A18" s="82"/>
      <c r="B18" s="7">
        <v>15</v>
      </c>
      <c r="C18" s="77">
        <v>110925000</v>
      </c>
      <c r="D18" s="16">
        <v>10</v>
      </c>
      <c r="F18" s="7">
        <v>15</v>
      </c>
      <c r="G18" s="16">
        <v>150</v>
      </c>
      <c r="H18" s="42"/>
      <c r="I18" s="3">
        <v>15</v>
      </c>
      <c r="J18" s="5">
        <f t="shared" si="0"/>
        <v>1253</v>
      </c>
      <c r="L18" s="3">
        <v>15</v>
      </c>
      <c r="M18" s="4">
        <f>INT(30*L18*((1.05+Research!$D$3*0.01)^Research!$D$3))</f>
        <v>2961</v>
      </c>
      <c r="N18" s="5">
        <f t="shared" si="1"/>
        <v>4386</v>
      </c>
      <c r="O18" s="42"/>
      <c r="P18" s="42"/>
      <c r="Q18" s="42"/>
      <c r="R18" s="42"/>
      <c r="S18" s="42"/>
      <c r="T18" s="42" t="s">
        <v>118</v>
      </c>
      <c r="U18" s="126" t="s">
        <v>119</v>
      </c>
      <c r="V18" s="126" t="s">
        <v>120</v>
      </c>
      <c r="W18" s="42"/>
      <c r="Y18" s="42"/>
      <c r="Z18" s="82"/>
      <c r="AA18" s="42"/>
      <c r="AB18" s="80"/>
    </row>
    <row r="19" spans="1:31" ht="16.5" thickTop="1" thickBot="1" x14ac:dyDescent="0.3">
      <c r="A19" s="82"/>
      <c r="I19" s="3">
        <v>16</v>
      </c>
      <c r="J19" s="5">
        <f t="shared" ref="J19:J28" si="3">INT(20*I19*(1.1^I19))</f>
        <v>1470</v>
      </c>
      <c r="L19" s="3">
        <v>16</v>
      </c>
      <c r="M19" s="4">
        <f>INT(30*L19*((1.05+Research!$D$3*0.01)^Research!$D$3))</f>
        <v>3158</v>
      </c>
      <c r="N19" s="5">
        <f t="shared" si="1"/>
        <v>5146</v>
      </c>
      <c r="R19" s="1">
        <v>3</v>
      </c>
      <c r="S19" s="42" t="s">
        <v>117</v>
      </c>
      <c r="T19" s="1">
        <v>882</v>
      </c>
      <c r="U19" s="82" t="str">
        <f>Resources!E11</f>
        <v xml:space="preserve"> </v>
      </c>
      <c r="Y19" s="42"/>
      <c r="Z19" s="82"/>
      <c r="AA19" s="42"/>
      <c r="AB19" s="80"/>
    </row>
    <row r="20" spans="1:31" ht="15.75" thickBot="1" x14ac:dyDescent="0.3">
      <c r="A20" s="82"/>
      <c r="I20" s="3">
        <v>17</v>
      </c>
      <c r="J20" s="5">
        <f t="shared" si="3"/>
        <v>1718</v>
      </c>
      <c r="L20" s="3">
        <v>17</v>
      </c>
      <c r="M20" s="4">
        <f>INT(30*L20*((1.05+Research!$D$3*0.01)^Research!$D$3))</f>
        <v>3355</v>
      </c>
      <c r="N20" s="5">
        <f t="shared" si="1"/>
        <v>6014</v>
      </c>
      <c r="R20" s="1">
        <v>3</v>
      </c>
      <c r="S20" s="42" t="s">
        <v>115</v>
      </c>
      <c r="T20" s="1">
        <v>589</v>
      </c>
      <c r="U20" s="82" t="str">
        <f>Resources!E23</f>
        <v xml:space="preserve"> </v>
      </c>
      <c r="AB20" s="80"/>
    </row>
    <row r="21" spans="1:31" ht="15.75" thickBot="1" x14ac:dyDescent="0.3">
      <c r="A21" s="82"/>
      <c r="I21" s="3">
        <v>18</v>
      </c>
      <c r="J21" s="5">
        <f t="shared" si="3"/>
        <v>2001</v>
      </c>
      <c r="L21" s="3">
        <v>18</v>
      </c>
      <c r="M21" s="4">
        <f>INT(30*L21*((1.05+Research!$D$3*0.01)^Research!$D$3))</f>
        <v>3553</v>
      </c>
      <c r="N21" s="5">
        <f t="shared" si="1"/>
        <v>7005</v>
      </c>
      <c r="R21" s="1">
        <v>4</v>
      </c>
      <c r="S21" s="42" t="s">
        <v>116</v>
      </c>
      <c r="T21" s="1">
        <v>1330</v>
      </c>
      <c r="U21" s="82" t="str">
        <f>Resources!E34</f>
        <v xml:space="preserve"> </v>
      </c>
      <c r="AB21" s="80"/>
    </row>
    <row r="22" spans="1:31" ht="15.75" thickBot="1" x14ac:dyDescent="0.3">
      <c r="A22" s="82"/>
      <c r="I22" s="3">
        <v>19</v>
      </c>
      <c r="J22" s="5">
        <f t="shared" si="3"/>
        <v>2324</v>
      </c>
      <c r="L22" s="3">
        <v>19</v>
      </c>
      <c r="M22" s="4">
        <f>INT(30*L22*((1.05+Research!$D$3*0.01)^Research!$D$3))</f>
        <v>3750</v>
      </c>
      <c r="N22" s="5">
        <f t="shared" si="1"/>
        <v>8134</v>
      </c>
      <c r="AB22" s="80"/>
    </row>
    <row r="23" spans="1:31" ht="15.75" thickBot="1" x14ac:dyDescent="0.3">
      <c r="A23" s="82"/>
      <c r="I23" s="3">
        <v>20</v>
      </c>
      <c r="J23" s="5">
        <f t="shared" si="3"/>
        <v>2690</v>
      </c>
      <c r="L23" s="3">
        <v>20</v>
      </c>
      <c r="M23" s="4">
        <f>INT(30*L23*((1.05+Research!$D$3*0.01)^Research!$D$3))</f>
        <v>3948</v>
      </c>
      <c r="N23" s="5">
        <f t="shared" si="1"/>
        <v>9418</v>
      </c>
    </row>
    <row r="24" spans="1:31" ht="15.75" thickBot="1" x14ac:dyDescent="0.3">
      <c r="A24" s="82"/>
      <c r="I24" s="3">
        <v>21</v>
      </c>
      <c r="J24" s="5">
        <f t="shared" si="3"/>
        <v>3108</v>
      </c>
      <c r="L24" s="3">
        <v>21</v>
      </c>
      <c r="M24" s="4">
        <f>INT(30*L24*((1.05+Research!$D$3*0.01)^Research!$D$3))</f>
        <v>4145</v>
      </c>
      <c r="N24" s="5">
        <f t="shared" si="1"/>
        <v>10878</v>
      </c>
    </row>
    <row r="25" spans="1:31" ht="15.75" thickBot="1" x14ac:dyDescent="0.3">
      <c r="A25" s="82"/>
      <c r="I25" s="3">
        <v>22</v>
      </c>
      <c r="J25" s="5">
        <f t="shared" si="3"/>
        <v>3581</v>
      </c>
      <c r="L25" s="3">
        <v>22</v>
      </c>
      <c r="M25" s="4">
        <f>INT(30*L25*((1.05+Research!$D$3*0.01)^Research!$D$3))</f>
        <v>4342</v>
      </c>
      <c r="N25" s="5">
        <f t="shared" si="1"/>
        <v>12536</v>
      </c>
    </row>
    <row r="26" spans="1:31" ht="15.75" thickBot="1" x14ac:dyDescent="0.3">
      <c r="A26" s="82"/>
      <c r="I26" s="3">
        <v>23</v>
      </c>
      <c r="J26" s="5">
        <f t="shared" si="3"/>
        <v>4118</v>
      </c>
      <c r="L26" s="3">
        <v>23</v>
      </c>
      <c r="M26" s="4">
        <f>INT(30*L26*((1.05+Research!$D$3*0.01)^Research!$D$3))</f>
        <v>4540</v>
      </c>
      <c r="N26" s="5">
        <f t="shared" si="1"/>
        <v>14416</v>
      </c>
    </row>
    <row r="27" spans="1:31" ht="15.75" thickBot="1" x14ac:dyDescent="0.3">
      <c r="A27" s="82"/>
      <c r="I27" s="3">
        <v>24</v>
      </c>
      <c r="J27" s="5">
        <f t="shared" si="3"/>
        <v>4727</v>
      </c>
      <c r="L27" s="3">
        <v>24</v>
      </c>
      <c r="M27" s="4">
        <f>INT(30*L27*((1.05+Research!$D$3*0.01)^Research!$D$3))</f>
        <v>4737</v>
      </c>
      <c r="N27" s="5">
        <f t="shared" si="1"/>
        <v>16547</v>
      </c>
    </row>
    <row r="28" spans="1:31" ht="15.75" thickBot="1" x14ac:dyDescent="0.3">
      <c r="A28" s="82"/>
      <c r="I28" s="7">
        <v>25</v>
      </c>
      <c r="J28" s="16">
        <f t="shared" si="3"/>
        <v>5417</v>
      </c>
      <c r="L28" s="7">
        <v>25</v>
      </c>
      <c r="M28" s="15">
        <f>INT(30*L28*((1.05+Research!$D$3*0.01)^Research!$D$3))</f>
        <v>4935</v>
      </c>
      <c r="N28" s="16">
        <f t="shared" si="1"/>
        <v>18960</v>
      </c>
    </row>
    <row r="29" spans="1:31" ht="16.5" thickTop="1" thickBot="1" x14ac:dyDescent="0.3"/>
    <row r="30" spans="1:31" ht="41.25" customHeight="1" thickTop="1" thickBot="1" x14ac:dyDescent="0.3">
      <c r="R30" s="180" t="s">
        <v>170</v>
      </c>
      <c r="S30" s="180" t="s">
        <v>153</v>
      </c>
      <c r="T30" s="180" t="s">
        <v>152</v>
      </c>
      <c r="U30" s="180" t="s">
        <v>169</v>
      </c>
      <c r="V30" s="180" t="s">
        <v>168</v>
      </c>
      <c r="W30" s="180" t="s">
        <v>167</v>
      </c>
      <c r="X30" s="180" t="s">
        <v>166</v>
      </c>
      <c r="Y30" s="36"/>
      <c r="Z30" s="36"/>
      <c r="AA30" s="36"/>
      <c r="AB30" s="180" t="s">
        <v>154</v>
      </c>
      <c r="AC30" s="180" t="s">
        <v>153</v>
      </c>
      <c r="AD30" s="180" t="s">
        <v>152</v>
      </c>
      <c r="AE30" s="180" t="s">
        <v>151</v>
      </c>
    </row>
    <row r="31" spans="1:31" ht="16.5" thickTop="1" thickBot="1" x14ac:dyDescent="0.3">
      <c r="R31" s="181" t="s">
        <v>9</v>
      </c>
      <c r="S31" s="83">
        <v>4000</v>
      </c>
      <c r="T31" s="79">
        <v>10</v>
      </c>
      <c r="U31" s="79">
        <v>50</v>
      </c>
      <c r="V31" s="79">
        <v>12500</v>
      </c>
      <c r="W31" s="79">
        <v>50</v>
      </c>
      <c r="X31" s="111">
        <v>10</v>
      </c>
      <c r="Y31" s="126"/>
      <c r="Z31" s="126"/>
      <c r="AA31" s="126"/>
      <c r="AB31" s="181" t="s">
        <v>150</v>
      </c>
      <c r="AC31" s="208">
        <v>2000</v>
      </c>
      <c r="AD31" s="37">
        <v>20</v>
      </c>
      <c r="AE31" s="20">
        <v>80</v>
      </c>
    </row>
    <row r="32" spans="1:31" ht="16.5" thickTop="1" thickBot="1" x14ac:dyDescent="0.3">
      <c r="R32" s="181" t="s">
        <v>10</v>
      </c>
      <c r="S32" s="84">
        <v>10000</v>
      </c>
      <c r="T32" s="76">
        <v>25</v>
      </c>
      <c r="U32" s="76">
        <v>150</v>
      </c>
      <c r="V32" s="76">
        <v>10000</v>
      </c>
      <c r="W32" s="76">
        <v>100</v>
      </c>
      <c r="X32" s="96">
        <v>37.5</v>
      </c>
      <c r="Y32" s="126"/>
      <c r="Z32" s="126"/>
      <c r="AA32" s="126"/>
      <c r="AB32" s="181" t="s">
        <v>149</v>
      </c>
      <c r="AC32" s="18">
        <v>2000</v>
      </c>
      <c r="AD32" s="4">
        <v>25</v>
      </c>
      <c r="AE32" s="5">
        <v>100</v>
      </c>
    </row>
    <row r="33" spans="18:31" ht="16.5" thickTop="1" thickBot="1" x14ac:dyDescent="0.3">
      <c r="R33" s="181" t="s">
        <v>11</v>
      </c>
      <c r="S33" s="84">
        <v>27000</v>
      </c>
      <c r="T33" s="76">
        <v>50</v>
      </c>
      <c r="U33" s="76">
        <v>400</v>
      </c>
      <c r="V33" s="76">
        <v>15000</v>
      </c>
      <c r="W33" s="76">
        <v>800</v>
      </c>
      <c r="X33" s="96">
        <v>150</v>
      </c>
      <c r="Y33" s="126"/>
      <c r="Z33" s="126"/>
      <c r="AA33" s="126"/>
      <c r="AB33" s="181" t="s">
        <v>148</v>
      </c>
      <c r="AC33" s="18">
        <v>8000</v>
      </c>
      <c r="AD33" s="4">
        <v>100</v>
      </c>
      <c r="AE33" s="5">
        <v>250</v>
      </c>
    </row>
    <row r="34" spans="18:31" ht="16.5" thickTop="1" thickBot="1" x14ac:dyDescent="0.3">
      <c r="R34" s="181" t="s">
        <v>12</v>
      </c>
      <c r="S34" s="84">
        <v>60000</v>
      </c>
      <c r="T34" s="76">
        <v>200</v>
      </c>
      <c r="U34" s="76">
        <v>1000</v>
      </c>
      <c r="V34" s="76">
        <v>10000</v>
      </c>
      <c r="W34" s="76">
        <v>1500</v>
      </c>
      <c r="X34" s="96">
        <v>250</v>
      </c>
      <c r="Y34" s="126"/>
      <c r="Z34" s="126"/>
      <c r="AA34" s="126"/>
      <c r="AB34" s="181" t="s">
        <v>24</v>
      </c>
      <c r="AC34" s="18">
        <v>35000</v>
      </c>
      <c r="AD34" s="4">
        <v>200</v>
      </c>
      <c r="AE34" s="5">
        <v>1100</v>
      </c>
    </row>
    <row r="35" spans="18:31" ht="16.5" thickTop="1" thickBot="1" x14ac:dyDescent="0.3">
      <c r="R35" s="181" t="s">
        <v>13</v>
      </c>
      <c r="S35" s="84">
        <v>70000</v>
      </c>
      <c r="T35" s="76">
        <v>400</v>
      </c>
      <c r="U35" s="76">
        <v>700</v>
      </c>
      <c r="V35" s="76">
        <v>10000</v>
      </c>
      <c r="W35" s="76">
        <v>750</v>
      </c>
      <c r="X35" s="96">
        <v>125</v>
      </c>
      <c r="Y35" s="126"/>
      <c r="Z35" s="126"/>
      <c r="AA35" s="126"/>
      <c r="AB35" s="181" t="s">
        <v>147</v>
      </c>
      <c r="AC35" s="18">
        <v>8000</v>
      </c>
      <c r="AD35" s="4">
        <v>500</v>
      </c>
      <c r="AE35" s="5">
        <v>150</v>
      </c>
    </row>
    <row r="36" spans="18:31" ht="16.5" thickTop="1" thickBot="1" x14ac:dyDescent="0.3">
      <c r="R36" s="181" t="s">
        <v>14</v>
      </c>
      <c r="S36" s="84">
        <v>75000</v>
      </c>
      <c r="T36" s="76">
        <v>500</v>
      </c>
      <c r="U36" s="76">
        <v>1000</v>
      </c>
      <c r="V36" s="76">
        <v>4000</v>
      </c>
      <c r="W36" s="76">
        <v>500</v>
      </c>
      <c r="X36" s="96">
        <v>500</v>
      </c>
      <c r="Y36" s="126"/>
      <c r="Z36" s="126"/>
      <c r="AA36" s="126"/>
      <c r="AB36" s="181" t="s">
        <v>146</v>
      </c>
      <c r="AC36" s="18">
        <v>100000</v>
      </c>
      <c r="AD36" s="4">
        <v>300</v>
      </c>
      <c r="AE36" s="5">
        <v>3000</v>
      </c>
    </row>
    <row r="37" spans="18:31" ht="16.5" thickTop="1" thickBot="1" x14ac:dyDescent="0.3">
      <c r="R37" s="181" t="s">
        <v>15</v>
      </c>
      <c r="S37" s="84">
        <v>110000</v>
      </c>
      <c r="T37" s="76">
        <v>500</v>
      </c>
      <c r="U37" s="76">
        <v>2000</v>
      </c>
      <c r="V37" s="76">
        <v>5000</v>
      </c>
      <c r="W37" s="76">
        <v>2000</v>
      </c>
      <c r="X37" s="96">
        <v>500</v>
      </c>
      <c r="Y37" s="126"/>
      <c r="Z37" s="126"/>
      <c r="AA37" s="126"/>
      <c r="AB37" s="181" t="s">
        <v>145</v>
      </c>
      <c r="AC37" s="18">
        <v>20000</v>
      </c>
      <c r="AD37" s="4">
        <v>2000</v>
      </c>
      <c r="AE37" s="5">
        <v>1</v>
      </c>
    </row>
    <row r="38" spans="18:31" ht="16.5" thickTop="1" thickBot="1" x14ac:dyDescent="0.3">
      <c r="R38" s="181" t="s">
        <v>159</v>
      </c>
      <c r="S38" s="84">
        <v>9000000</v>
      </c>
      <c r="T38" s="76">
        <v>50000</v>
      </c>
      <c r="U38" s="76">
        <v>200000</v>
      </c>
      <c r="V38" s="76">
        <v>100</v>
      </c>
      <c r="W38" s="76">
        <v>1000000</v>
      </c>
      <c r="X38" s="96">
        <v>0.5</v>
      </c>
      <c r="Y38" s="126"/>
      <c r="Z38" s="126"/>
      <c r="AA38" s="126"/>
      <c r="AB38" s="181" t="s">
        <v>144</v>
      </c>
      <c r="AC38" s="18">
        <v>100000</v>
      </c>
      <c r="AD38" s="4">
        <v>10000</v>
      </c>
      <c r="AE38" s="5">
        <v>1</v>
      </c>
    </row>
    <row r="39" spans="18:31" ht="16.5" thickTop="1" thickBot="1" x14ac:dyDescent="0.3">
      <c r="R39" s="181" t="s">
        <v>17</v>
      </c>
      <c r="S39" s="84">
        <v>4000</v>
      </c>
      <c r="T39" s="76">
        <v>10</v>
      </c>
      <c r="U39" s="76">
        <v>5</v>
      </c>
      <c r="V39" s="76">
        <v>5000</v>
      </c>
      <c r="W39" s="76">
        <v>5000</v>
      </c>
      <c r="X39" s="96">
        <v>5</v>
      </c>
      <c r="Y39" s="126"/>
      <c r="Z39" s="126"/>
      <c r="AA39" s="126"/>
      <c r="AB39" s="181" t="s">
        <v>143</v>
      </c>
      <c r="AC39" s="18">
        <v>8000</v>
      </c>
      <c r="AD39" s="4">
        <v>1</v>
      </c>
      <c r="AE39" s="5">
        <v>1</v>
      </c>
    </row>
    <row r="40" spans="18:31" ht="16.5" thickTop="1" thickBot="1" x14ac:dyDescent="0.3">
      <c r="R40" s="181" t="s">
        <v>18</v>
      </c>
      <c r="S40" s="84">
        <v>12000</v>
      </c>
      <c r="T40" s="76">
        <v>25</v>
      </c>
      <c r="U40" s="76">
        <v>5</v>
      </c>
      <c r="V40" s="76">
        <v>7500</v>
      </c>
      <c r="W40" s="76">
        <v>25000</v>
      </c>
      <c r="X40" s="96">
        <v>25</v>
      </c>
      <c r="Y40" s="126"/>
      <c r="Z40" s="126"/>
      <c r="AA40" s="126"/>
      <c r="AB40" s="181" t="s">
        <v>30</v>
      </c>
      <c r="AC40" s="207">
        <v>15000</v>
      </c>
      <c r="AD40" s="15">
        <v>1</v>
      </c>
      <c r="AE40" s="16">
        <v>12000</v>
      </c>
    </row>
    <row r="41" spans="18:31" ht="16.5" thickTop="1" thickBot="1" x14ac:dyDescent="0.3">
      <c r="R41" s="181" t="s">
        <v>157</v>
      </c>
      <c r="S41" s="84">
        <v>30000</v>
      </c>
      <c r="T41" s="76">
        <v>100</v>
      </c>
      <c r="U41" s="76">
        <v>50</v>
      </c>
      <c r="V41" s="76">
        <v>2500</v>
      </c>
      <c r="W41" s="76">
        <v>7500</v>
      </c>
      <c r="X41" s="96">
        <v>500</v>
      </c>
      <c r="Y41" s="126"/>
      <c r="Z41" s="126"/>
      <c r="AA41" s="126"/>
      <c r="AB41"/>
      <c r="AC41"/>
      <c r="AD41"/>
      <c r="AE41"/>
    </row>
    <row r="42" spans="18:31" ht="16.5" thickTop="1" thickBot="1" x14ac:dyDescent="0.3">
      <c r="R42" s="181" t="s">
        <v>19</v>
      </c>
      <c r="S42" s="84">
        <v>16000</v>
      </c>
      <c r="T42" s="76">
        <v>10</v>
      </c>
      <c r="U42" s="76">
        <v>1</v>
      </c>
      <c r="V42" s="76">
        <v>2000</v>
      </c>
      <c r="W42" s="76">
        <v>20000</v>
      </c>
      <c r="X42" s="96">
        <v>150</v>
      </c>
      <c r="Y42" s="126"/>
      <c r="Z42" s="126"/>
      <c r="AA42" s="126"/>
      <c r="AB42" s="126"/>
      <c r="AC42" s="126"/>
      <c r="AD42" s="126"/>
      <c r="AE42" s="126"/>
    </row>
    <row r="43" spans="18:31" ht="16.5" thickTop="1" thickBot="1" x14ac:dyDescent="0.3">
      <c r="R43" s="181" t="s">
        <v>156</v>
      </c>
      <c r="S43" s="84">
        <v>1000</v>
      </c>
      <c r="T43" s="76">
        <v>0.01</v>
      </c>
      <c r="U43" s="76">
        <v>0.01</v>
      </c>
      <c r="V43" s="76">
        <v>100000000</v>
      </c>
      <c r="W43" s="76">
        <v>5</v>
      </c>
      <c r="X43" s="96">
        <v>0.5</v>
      </c>
      <c r="Y43" s="126"/>
      <c r="Z43" s="126"/>
      <c r="AA43" s="126"/>
      <c r="AB43" s="126"/>
      <c r="AC43" s="126"/>
      <c r="AD43" s="126"/>
      <c r="AE43" s="126"/>
    </row>
    <row r="44" spans="18:31" ht="16.5" thickTop="1" thickBot="1" x14ac:dyDescent="0.3">
      <c r="R44" s="181" t="s">
        <v>155</v>
      </c>
      <c r="S44" s="85">
        <v>2000</v>
      </c>
      <c r="T44" s="77">
        <v>1</v>
      </c>
      <c r="U44" s="77">
        <v>1</v>
      </c>
      <c r="V44" s="77">
        <v>0</v>
      </c>
      <c r="W44" s="77">
        <v>0</v>
      </c>
      <c r="X44" s="97">
        <v>0</v>
      </c>
      <c r="Y44" s="126"/>
      <c r="Z44" s="126"/>
      <c r="AA44" s="126"/>
      <c r="AB44" s="126"/>
      <c r="AC44" s="126"/>
      <c r="AD44" s="126"/>
      <c r="AE44" s="126"/>
    </row>
    <row r="45" spans="18:31" ht="16.5" thickTop="1" thickBot="1" x14ac:dyDescent="0.3"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</row>
    <row r="46" spans="18:31" ht="61.5" thickTop="1" thickBot="1" x14ac:dyDescent="0.3">
      <c r="R46" s="180" t="s">
        <v>170</v>
      </c>
      <c r="S46" s="180" t="s">
        <v>153</v>
      </c>
      <c r="T46" s="180" t="s">
        <v>152</v>
      </c>
      <c r="U46" s="180" t="s">
        <v>169</v>
      </c>
      <c r="V46" s="180" t="s">
        <v>168</v>
      </c>
      <c r="W46" s="126"/>
      <c r="X46" s="126"/>
      <c r="Y46" s="126"/>
      <c r="Z46" s="126"/>
      <c r="AA46" s="126"/>
      <c r="AB46" s="180" t="s">
        <v>154</v>
      </c>
      <c r="AC46" s="180" t="s">
        <v>153</v>
      </c>
      <c r="AD46" s="180" t="s">
        <v>152</v>
      </c>
      <c r="AE46" s="180" t="s">
        <v>151</v>
      </c>
    </row>
    <row r="47" spans="18:31" ht="16.5" thickTop="1" thickBot="1" x14ac:dyDescent="0.3">
      <c r="R47" s="181" t="s">
        <v>9</v>
      </c>
      <c r="S47" s="211">
        <v>400</v>
      </c>
      <c r="T47" s="210">
        <v>1</v>
      </c>
      <c r="U47" s="210">
        <v>5</v>
      </c>
      <c r="V47" s="209">
        <v>1250</v>
      </c>
      <c r="W47" s="126" t="s">
        <v>171</v>
      </c>
      <c r="X47" s="126"/>
      <c r="Y47" s="126"/>
      <c r="Z47" s="126"/>
      <c r="AA47" s="126"/>
      <c r="AB47" s="181" t="s">
        <v>150</v>
      </c>
      <c r="AC47" s="208">
        <v>200</v>
      </c>
      <c r="AD47" s="37">
        <v>2</v>
      </c>
      <c r="AE47" s="20">
        <v>8</v>
      </c>
    </row>
    <row r="48" spans="18:31" ht="16.5" thickTop="1" thickBot="1" x14ac:dyDescent="0.3">
      <c r="R48" s="181" t="s">
        <v>10</v>
      </c>
      <c r="S48" s="206">
        <v>1000</v>
      </c>
      <c r="T48" s="205">
        <v>2.5</v>
      </c>
      <c r="U48" s="205">
        <v>15</v>
      </c>
      <c r="V48" s="204">
        <v>2000</v>
      </c>
      <c r="W48" s="126" t="s">
        <v>172</v>
      </c>
      <c r="X48" s="126"/>
      <c r="Y48" s="126"/>
      <c r="Z48" s="126"/>
      <c r="AA48" s="126"/>
      <c r="AB48" s="181" t="s">
        <v>149</v>
      </c>
      <c r="AC48" s="18">
        <v>200</v>
      </c>
      <c r="AD48" s="4">
        <v>2.5</v>
      </c>
      <c r="AE48" s="5">
        <v>10</v>
      </c>
    </row>
    <row r="49" spans="18:31" ht="16.5" thickTop="1" thickBot="1" x14ac:dyDescent="0.3">
      <c r="R49" s="181" t="s">
        <v>11</v>
      </c>
      <c r="S49" s="206">
        <v>2700</v>
      </c>
      <c r="T49" s="205">
        <v>5</v>
      </c>
      <c r="U49" s="205">
        <v>40</v>
      </c>
      <c r="V49" s="204">
        <v>3000</v>
      </c>
      <c r="W49" s="126" t="s">
        <v>172</v>
      </c>
      <c r="X49" s="126"/>
      <c r="Y49" s="126"/>
      <c r="Z49" s="126"/>
      <c r="AA49" s="126"/>
      <c r="AB49" s="181" t="s">
        <v>148</v>
      </c>
      <c r="AC49" s="18">
        <v>800</v>
      </c>
      <c r="AD49" s="4">
        <v>10</v>
      </c>
      <c r="AE49" s="5">
        <v>25</v>
      </c>
    </row>
    <row r="50" spans="18:31" ht="16.5" thickTop="1" thickBot="1" x14ac:dyDescent="0.3">
      <c r="R50" s="181" t="s">
        <v>12</v>
      </c>
      <c r="S50" s="206">
        <v>6000</v>
      </c>
      <c r="T50" s="205">
        <v>20</v>
      </c>
      <c r="U50" s="205">
        <v>100</v>
      </c>
      <c r="V50" s="204">
        <v>3000</v>
      </c>
      <c r="W50" s="126" t="s">
        <v>173</v>
      </c>
      <c r="X50" s="126"/>
      <c r="Y50" s="126"/>
      <c r="Z50" s="126"/>
      <c r="AA50" s="126"/>
      <c r="AB50" s="181" t="s">
        <v>24</v>
      </c>
      <c r="AC50" s="18">
        <v>3500</v>
      </c>
      <c r="AD50" s="4">
        <v>20</v>
      </c>
      <c r="AE50" s="5">
        <v>110</v>
      </c>
    </row>
    <row r="51" spans="18:31" ht="16.5" thickTop="1" thickBot="1" x14ac:dyDescent="0.3">
      <c r="R51" s="181" t="s">
        <v>13</v>
      </c>
      <c r="S51" s="206">
        <v>7000</v>
      </c>
      <c r="T51" s="205">
        <v>40</v>
      </c>
      <c r="U51" s="205">
        <v>70</v>
      </c>
      <c r="V51" s="204">
        <v>3000</v>
      </c>
      <c r="W51" s="126" t="s">
        <v>173</v>
      </c>
      <c r="X51" s="126"/>
      <c r="Y51" s="126"/>
      <c r="Z51" s="126"/>
      <c r="AA51" s="126"/>
      <c r="AB51" s="181" t="s">
        <v>147</v>
      </c>
      <c r="AC51" s="18">
        <v>800</v>
      </c>
      <c r="AD51" s="4">
        <v>50</v>
      </c>
      <c r="AE51" s="5">
        <v>15</v>
      </c>
    </row>
    <row r="52" spans="18:31" ht="16.5" thickTop="1" thickBot="1" x14ac:dyDescent="0.3">
      <c r="R52" s="181" t="s">
        <v>14</v>
      </c>
      <c r="S52" s="206">
        <v>7500</v>
      </c>
      <c r="T52" s="205">
        <v>50</v>
      </c>
      <c r="U52" s="205">
        <v>100</v>
      </c>
      <c r="V52" s="204">
        <v>800</v>
      </c>
      <c r="W52" s="126" t="s">
        <v>172</v>
      </c>
      <c r="X52" s="126"/>
      <c r="Y52" s="126"/>
      <c r="Z52" s="126"/>
      <c r="AA52" s="126"/>
      <c r="AB52" s="181" t="s">
        <v>146</v>
      </c>
      <c r="AC52" s="18">
        <v>10000</v>
      </c>
      <c r="AD52" s="4">
        <v>30</v>
      </c>
      <c r="AE52" s="5">
        <v>300</v>
      </c>
    </row>
    <row r="53" spans="18:31" ht="16.5" thickTop="1" thickBot="1" x14ac:dyDescent="0.3">
      <c r="R53" s="181" t="s">
        <v>15</v>
      </c>
      <c r="S53" s="206">
        <v>11000</v>
      </c>
      <c r="T53" s="205">
        <v>50</v>
      </c>
      <c r="U53" s="205">
        <v>200</v>
      </c>
      <c r="V53" s="204">
        <v>1500</v>
      </c>
      <c r="W53" s="126" t="s">
        <v>173</v>
      </c>
      <c r="X53" s="126"/>
      <c r="Y53" s="126"/>
      <c r="Z53" s="126"/>
      <c r="AA53" s="126"/>
      <c r="AB53" s="181" t="s">
        <v>145</v>
      </c>
      <c r="AC53" s="18">
        <v>2000</v>
      </c>
      <c r="AD53" s="4">
        <v>200</v>
      </c>
      <c r="AE53" s="5">
        <v>0.1</v>
      </c>
    </row>
    <row r="54" spans="18:31" ht="16.5" thickTop="1" thickBot="1" x14ac:dyDescent="0.3">
      <c r="R54" s="181" t="s">
        <v>159</v>
      </c>
      <c r="S54" s="206">
        <v>900000</v>
      </c>
      <c r="T54" s="205">
        <v>5000</v>
      </c>
      <c r="U54" s="205">
        <v>20000</v>
      </c>
      <c r="V54" s="204">
        <v>30</v>
      </c>
      <c r="W54" s="126" t="s">
        <v>173</v>
      </c>
      <c r="X54" s="126"/>
      <c r="Y54" s="126"/>
      <c r="Z54" s="126"/>
      <c r="AA54" s="126"/>
      <c r="AB54" s="181" t="s">
        <v>144</v>
      </c>
      <c r="AC54" s="18">
        <v>10000</v>
      </c>
      <c r="AD54" s="4">
        <v>1000</v>
      </c>
      <c r="AE54" s="5">
        <v>0.1</v>
      </c>
    </row>
    <row r="55" spans="18:31" ht="16.5" thickTop="1" thickBot="1" x14ac:dyDescent="0.3">
      <c r="R55" s="181" t="s">
        <v>17</v>
      </c>
      <c r="S55" s="206">
        <v>400</v>
      </c>
      <c r="T55" s="205">
        <v>1</v>
      </c>
      <c r="U55" s="205">
        <v>0.5</v>
      </c>
      <c r="V55" s="204">
        <v>500</v>
      </c>
      <c r="W55" s="126" t="s">
        <v>171</v>
      </c>
      <c r="X55" s="126"/>
      <c r="Y55" s="126"/>
      <c r="Z55" s="126"/>
      <c r="AA55" s="126"/>
      <c r="AB55" s="181" t="s">
        <v>143</v>
      </c>
      <c r="AC55" s="18">
        <v>800</v>
      </c>
      <c r="AD55" s="4">
        <v>0.1</v>
      </c>
      <c r="AE55" s="5">
        <v>0.1</v>
      </c>
    </row>
    <row r="56" spans="18:31" ht="16.5" thickTop="1" thickBot="1" x14ac:dyDescent="0.3">
      <c r="R56" s="181" t="s">
        <v>18</v>
      </c>
      <c r="S56" s="206">
        <v>1200</v>
      </c>
      <c r="T56" s="205">
        <v>2.5</v>
      </c>
      <c r="U56" s="205">
        <v>0.5</v>
      </c>
      <c r="V56" s="204">
        <v>750</v>
      </c>
      <c r="W56" s="126" t="s">
        <v>171</v>
      </c>
      <c r="X56" s="126"/>
      <c r="Y56" s="126"/>
      <c r="Z56" s="126"/>
      <c r="AA56" s="126"/>
      <c r="AB56" s="181" t="s">
        <v>30</v>
      </c>
      <c r="AC56" s="207">
        <v>1500</v>
      </c>
      <c r="AD56" s="15">
        <v>0.1</v>
      </c>
      <c r="AE56" s="16">
        <v>1200</v>
      </c>
    </row>
    <row r="57" spans="18:31" ht="16.5" thickTop="1" thickBot="1" x14ac:dyDescent="0.3">
      <c r="R57" s="181" t="s">
        <v>157</v>
      </c>
      <c r="S57" s="206">
        <v>3000</v>
      </c>
      <c r="T57" s="205">
        <v>10</v>
      </c>
      <c r="U57" s="205">
        <v>5</v>
      </c>
      <c r="V57" s="204">
        <v>500</v>
      </c>
      <c r="W57" s="126" t="s">
        <v>172</v>
      </c>
      <c r="X57" s="126"/>
      <c r="Y57" s="126"/>
      <c r="Z57" s="126"/>
      <c r="AA57" s="126"/>
      <c r="AB57" s="126"/>
      <c r="AC57" s="126"/>
      <c r="AD57" s="126"/>
      <c r="AE57" s="126"/>
    </row>
    <row r="58" spans="18:31" ht="16.5" thickTop="1" thickBot="1" x14ac:dyDescent="0.3">
      <c r="R58" s="181" t="s">
        <v>19</v>
      </c>
      <c r="S58" s="206">
        <v>1600</v>
      </c>
      <c r="T58" s="205">
        <v>1</v>
      </c>
      <c r="U58" s="205">
        <v>0.1</v>
      </c>
      <c r="V58" s="204">
        <v>200</v>
      </c>
      <c r="W58" s="126" t="s">
        <v>171</v>
      </c>
      <c r="X58" s="126"/>
      <c r="Y58" s="126"/>
      <c r="Z58" s="126"/>
      <c r="AA58" s="126"/>
      <c r="AB58" s="126"/>
      <c r="AC58" s="126"/>
      <c r="AD58" s="126"/>
      <c r="AE58" s="126"/>
    </row>
    <row r="59" spans="18:31" ht="16.5" thickTop="1" thickBot="1" x14ac:dyDescent="0.3">
      <c r="R59" s="181" t="s">
        <v>156</v>
      </c>
      <c r="S59" s="206">
        <v>100</v>
      </c>
      <c r="T59" s="205">
        <v>1E-3</v>
      </c>
      <c r="U59" s="205">
        <v>1E-3</v>
      </c>
      <c r="V59" s="204">
        <v>10000000</v>
      </c>
      <c r="W59" s="126" t="s">
        <v>171</v>
      </c>
      <c r="X59" s="126"/>
      <c r="Y59" s="126"/>
      <c r="Z59" s="126"/>
      <c r="AA59" s="126"/>
      <c r="AB59" s="126"/>
      <c r="AC59" s="126"/>
      <c r="AD59" s="126"/>
      <c r="AE59" s="126"/>
    </row>
    <row r="60" spans="18:31" ht="16.5" thickTop="1" thickBot="1" x14ac:dyDescent="0.3">
      <c r="R60" s="181" t="s">
        <v>155</v>
      </c>
      <c r="S60" s="203">
        <v>200</v>
      </c>
      <c r="T60" s="202">
        <v>0.1</v>
      </c>
      <c r="U60" s="202">
        <v>0.1</v>
      </c>
      <c r="V60" s="201">
        <v>0</v>
      </c>
      <c r="W60" s="126"/>
      <c r="X60" s="126"/>
      <c r="Y60" s="126"/>
      <c r="Z60" s="126"/>
      <c r="AA60" s="126"/>
      <c r="AB60" s="126"/>
      <c r="AC60" s="126"/>
      <c r="AD60" s="126"/>
      <c r="AE60" s="126"/>
    </row>
    <row r="61" spans="18:31" ht="15.75" thickTop="1" x14ac:dyDescent="0.25"/>
  </sheetData>
  <mergeCells count="4">
    <mergeCell ref="I2:J2"/>
    <mergeCell ref="L2:N2"/>
    <mergeCell ref="B2:D2"/>
    <mergeCell ref="F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59"/>
  <sheetViews>
    <sheetView workbookViewId="0">
      <selection activeCell="D20" sqref="D20"/>
    </sheetView>
  </sheetViews>
  <sheetFormatPr defaultRowHeight="15" x14ac:dyDescent="0.25"/>
  <cols>
    <col min="1" max="2" width="9.140625" style="1"/>
    <col min="3" max="3" width="19.42578125" style="1" bestFit="1" customWidth="1"/>
    <col min="4" max="4" width="9.140625" style="1"/>
    <col min="5" max="5" width="4.28515625" style="1" customWidth="1"/>
    <col min="6" max="6" width="5.7109375" style="1" bestFit="1" customWidth="1"/>
    <col min="7" max="7" width="9" style="1" bestFit="1" customWidth="1"/>
    <col min="8" max="8" width="10.5703125" style="1" bestFit="1" customWidth="1"/>
    <col min="9" max="9" width="4.28515625" style="1" customWidth="1"/>
    <col min="10" max="10" width="5.7109375" style="1" bestFit="1" customWidth="1"/>
    <col min="11" max="12" width="8" style="1" bestFit="1" customWidth="1"/>
    <col min="13" max="13" width="4.28515625" style="1" customWidth="1"/>
    <col min="14" max="14" width="5.7109375" style="1" bestFit="1" customWidth="1"/>
    <col min="15" max="15" width="9" style="1" bestFit="1" customWidth="1"/>
    <col min="16" max="16" width="8" style="1" bestFit="1" customWidth="1"/>
    <col min="17" max="17" width="10.5703125" style="1" customWidth="1"/>
    <col min="18" max="18" width="4.28515625" style="1" customWidth="1"/>
    <col min="19" max="19" width="5.7109375" style="1" bestFit="1" customWidth="1"/>
    <col min="20" max="20" width="9" style="1" bestFit="1" customWidth="1"/>
    <col min="21" max="21" width="10.5703125" style="1" bestFit="1" customWidth="1"/>
    <col min="22" max="22" width="4.28515625" style="1" customWidth="1"/>
    <col min="23" max="23" width="5.7109375" style="1" bestFit="1" customWidth="1"/>
    <col min="24" max="25" width="9" style="1" bestFit="1" customWidth="1"/>
    <col min="26" max="26" width="10.5703125" style="1" bestFit="1" customWidth="1"/>
    <col min="27" max="27" width="4.28515625" style="1" customWidth="1"/>
    <col min="28" max="28" width="6.5703125" style="1" bestFit="1" customWidth="1"/>
    <col min="29" max="29" width="8" style="1" bestFit="1" customWidth="1"/>
    <col min="30" max="30" width="9" style="1" bestFit="1" customWidth="1"/>
    <col min="31" max="31" width="10.5703125" style="1" bestFit="1" customWidth="1"/>
    <col min="32" max="32" width="4.28515625" style="1" customWidth="1"/>
    <col min="33" max="33" width="5.7109375" style="1" bestFit="1" customWidth="1"/>
    <col min="34" max="34" width="9" style="1" bestFit="1" customWidth="1"/>
    <col min="35" max="35" width="10.5703125" style="1" bestFit="1" customWidth="1"/>
    <col min="36" max="36" width="4.28515625" style="1" customWidth="1"/>
    <col min="37" max="37" width="5.7109375" style="1" bestFit="1" customWidth="1"/>
    <col min="38" max="38" width="9" style="1" bestFit="1" customWidth="1"/>
    <col min="39" max="39" width="10" style="1" bestFit="1" customWidth="1"/>
    <col min="40" max="40" width="10.5703125" style="1" bestFit="1" customWidth="1"/>
    <col min="41" max="41" width="4.28515625" style="1" customWidth="1"/>
    <col min="42" max="42" width="5.7109375" style="1" bestFit="1" customWidth="1"/>
    <col min="43" max="45" width="11" style="1" bestFit="1" customWidth="1"/>
    <col min="46" max="46" width="4.28515625" style="1" customWidth="1"/>
    <col min="47" max="47" width="9.140625" style="1"/>
    <col min="48" max="48" width="11" style="1" bestFit="1" customWidth="1"/>
    <col min="49" max="49" width="4.28515625" style="1" customWidth="1"/>
    <col min="50" max="50" width="5.7109375" style="1" bestFit="1" customWidth="1"/>
    <col min="51" max="51" width="9" style="1" bestFit="1" customWidth="1"/>
    <col min="52" max="52" width="10.5703125" style="1" bestFit="1" customWidth="1"/>
    <col min="53" max="53" width="4.28515625" style="1" customWidth="1"/>
    <col min="54" max="54" width="5.7109375" style="1" bestFit="1" customWidth="1"/>
    <col min="55" max="55" width="9" style="1" bestFit="1" customWidth="1"/>
    <col min="56" max="56" width="10" style="1" bestFit="1" customWidth="1"/>
    <col min="57" max="57" width="10.5703125" style="1" bestFit="1" customWidth="1"/>
    <col min="58" max="58" width="4.28515625" style="1" customWidth="1"/>
    <col min="59" max="59" width="5.7109375" style="1" bestFit="1" customWidth="1"/>
    <col min="60" max="61" width="10" style="1" bestFit="1" customWidth="1"/>
    <col min="62" max="62" width="10.5703125" style="1" bestFit="1" customWidth="1"/>
    <col min="63" max="63" width="4.28515625" style="1" customWidth="1"/>
    <col min="64" max="64" width="5.7109375" style="1" bestFit="1" customWidth="1"/>
    <col min="65" max="65" width="9" style="1" bestFit="1" customWidth="1"/>
    <col min="66" max="66" width="8" style="1" bestFit="1" customWidth="1"/>
    <col min="67" max="67" width="4.28515625" style="1" customWidth="1"/>
    <col min="68" max="68" width="5.7109375" style="1" bestFit="1" customWidth="1"/>
    <col min="69" max="70" width="8" style="1" bestFit="1" customWidth="1"/>
    <col min="71" max="71" width="4.28515625" style="1" customWidth="1"/>
    <col min="72" max="72" width="5.7109375" style="1" bestFit="1" customWidth="1"/>
    <col min="73" max="73" width="9" style="1" bestFit="1" customWidth="1"/>
    <col min="74" max="16384" width="9.140625" style="1"/>
  </cols>
  <sheetData>
    <row r="1" spans="2:79" ht="15.75" thickBot="1" x14ac:dyDescent="0.3"/>
    <row r="2" spans="2:79" ht="16.5" thickTop="1" thickBot="1" x14ac:dyDescent="0.3">
      <c r="B2" s="116"/>
      <c r="C2" s="40"/>
      <c r="D2" s="56" t="s">
        <v>63</v>
      </c>
      <c r="F2" s="285" t="s">
        <v>93</v>
      </c>
      <c r="G2" s="285"/>
      <c r="H2" s="285"/>
      <c r="I2" s="2"/>
      <c r="J2" s="285" t="s">
        <v>94</v>
      </c>
      <c r="K2" s="285"/>
      <c r="L2" s="285"/>
      <c r="N2" s="285" t="s">
        <v>95</v>
      </c>
      <c r="O2" s="285"/>
      <c r="P2" s="285"/>
      <c r="Q2" s="285"/>
      <c r="S2" s="285" t="s">
        <v>82</v>
      </c>
      <c r="T2" s="285"/>
      <c r="U2" s="285"/>
      <c r="W2" s="285" t="s">
        <v>96</v>
      </c>
      <c r="X2" s="285"/>
      <c r="Y2" s="285"/>
      <c r="Z2" s="285"/>
      <c r="AB2" s="285" t="s">
        <v>97</v>
      </c>
      <c r="AC2" s="285"/>
      <c r="AD2" s="285"/>
      <c r="AE2" s="285"/>
      <c r="AG2" s="285" t="s">
        <v>86</v>
      </c>
      <c r="AH2" s="285"/>
      <c r="AI2" s="285"/>
      <c r="AJ2" s="2"/>
      <c r="AK2" s="285" t="s">
        <v>54</v>
      </c>
      <c r="AL2" s="285"/>
      <c r="AM2" s="285"/>
      <c r="AN2" s="285"/>
      <c r="AP2" s="285" t="s">
        <v>55</v>
      </c>
      <c r="AQ2" s="285"/>
      <c r="AR2" s="285"/>
      <c r="AS2" s="285"/>
      <c r="AU2" s="285" t="s">
        <v>98</v>
      </c>
      <c r="AV2" s="285"/>
      <c r="AX2" s="285" t="s">
        <v>57</v>
      </c>
      <c r="AY2" s="285"/>
      <c r="AZ2" s="285"/>
      <c r="BB2" s="285" t="s">
        <v>59</v>
      </c>
      <c r="BC2" s="285"/>
      <c r="BD2" s="285"/>
      <c r="BE2" s="285"/>
      <c r="BG2" s="285" t="s">
        <v>58</v>
      </c>
      <c r="BH2" s="285"/>
      <c r="BI2" s="285"/>
      <c r="BJ2" s="285"/>
      <c r="BL2" s="285" t="s">
        <v>99</v>
      </c>
      <c r="BM2" s="285"/>
      <c r="BN2" s="285"/>
      <c r="BP2" s="285" t="s">
        <v>100</v>
      </c>
      <c r="BQ2" s="285"/>
      <c r="BR2" s="285"/>
      <c r="BT2" s="285" t="s">
        <v>91</v>
      </c>
      <c r="BU2" s="285"/>
      <c r="BV2" s="2"/>
      <c r="BZ2" s="2"/>
      <c r="CA2" s="2"/>
    </row>
    <row r="3" spans="2:79" ht="16.5" thickTop="1" thickBot="1" x14ac:dyDescent="0.3">
      <c r="B3" s="289" t="s">
        <v>84</v>
      </c>
      <c r="C3" s="231" t="s">
        <v>52</v>
      </c>
      <c r="D3" s="21">
        <v>12</v>
      </c>
      <c r="F3" s="57" t="s">
        <v>63</v>
      </c>
      <c r="G3" s="57" t="s">
        <v>1</v>
      </c>
      <c r="H3" s="57" t="s">
        <v>66</v>
      </c>
      <c r="J3" s="57" t="s">
        <v>63</v>
      </c>
      <c r="K3" s="55" t="s">
        <v>0</v>
      </c>
      <c r="L3" s="55" t="s">
        <v>1</v>
      </c>
      <c r="N3" s="57" t="s">
        <v>63</v>
      </c>
      <c r="O3" s="55" t="s">
        <v>0</v>
      </c>
      <c r="P3" s="55" t="s">
        <v>1</v>
      </c>
      <c r="Q3" s="55" t="s">
        <v>66</v>
      </c>
      <c r="S3" s="57" t="s">
        <v>63</v>
      </c>
      <c r="T3" s="55" t="s">
        <v>1</v>
      </c>
      <c r="U3" s="55" t="s">
        <v>66</v>
      </c>
      <c r="W3" s="57" t="s">
        <v>63</v>
      </c>
      <c r="X3" s="55" t="s">
        <v>0</v>
      </c>
      <c r="Y3" s="55" t="s">
        <v>1</v>
      </c>
      <c r="Z3" s="55" t="s">
        <v>66</v>
      </c>
      <c r="AB3" s="57" t="s">
        <v>63</v>
      </c>
      <c r="AC3" s="57" t="s">
        <v>0</v>
      </c>
      <c r="AD3" s="57" t="s">
        <v>1</v>
      </c>
      <c r="AE3" s="57" t="s">
        <v>66</v>
      </c>
      <c r="AG3" s="57" t="s">
        <v>63</v>
      </c>
      <c r="AH3" s="57" t="s">
        <v>1</v>
      </c>
      <c r="AI3" s="57" t="s">
        <v>66</v>
      </c>
      <c r="AK3" s="57" t="s">
        <v>63</v>
      </c>
      <c r="AL3" s="57" t="s">
        <v>0</v>
      </c>
      <c r="AM3" s="57" t="s">
        <v>1</v>
      </c>
      <c r="AN3" s="57" t="s">
        <v>66</v>
      </c>
      <c r="AP3" s="57" t="s">
        <v>63</v>
      </c>
      <c r="AQ3" s="57" t="s">
        <v>0</v>
      </c>
      <c r="AR3" s="57" t="s">
        <v>1</v>
      </c>
      <c r="AS3" s="57" t="s">
        <v>66</v>
      </c>
      <c r="AU3" s="57" t="s">
        <v>63</v>
      </c>
      <c r="AV3" s="57" t="s">
        <v>101</v>
      </c>
      <c r="AX3" s="57" t="s">
        <v>63</v>
      </c>
      <c r="AY3" s="57" t="s">
        <v>0</v>
      </c>
      <c r="AZ3" s="57" t="s">
        <v>66</v>
      </c>
      <c r="BB3" s="57" t="s">
        <v>63</v>
      </c>
      <c r="BC3" s="57" t="s">
        <v>0</v>
      </c>
      <c r="BD3" s="57" t="s">
        <v>1</v>
      </c>
      <c r="BE3" s="57" t="s">
        <v>66</v>
      </c>
      <c r="BG3" s="55" t="s">
        <v>63</v>
      </c>
      <c r="BH3" s="55" t="s">
        <v>0</v>
      </c>
      <c r="BI3" s="55" t="s">
        <v>1</v>
      </c>
      <c r="BJ3" s="55" t="s">
        <v>66</v>
      </c>
      <c r="BL3" s="57" t="s">
        <v>63</v>
      </c>
      <c r="BM3" s="57" t="s">
        <v>0</v>
      </c>
      <c r="BN3" s="57" t="s">
        <v>1</v>
      </c>
      <c r="BP3" s="57" t="s">
        <v>63</v>
      </c>
      <c r="BQ3" s="57" t="s">
        <v>0</v>
      </c>
      <c r="BR3" s="57" t="s">
        <v>1</v>
      </c>
      <c r="BT3" s="57" t="s">
        <v>63</v>
      </c>
      <c r="BU3" s="57" t="s">
        <v>0</v>
      </c>
    </row>
    <row r="4" spans="2:79" ht="16.5" thickTop="1" thickBot="1" x14ac:dyDescent="0.3">
      <c r="B4" s="289"/>
      <c r="C4" s="230" t="s">
        <v>53</v>
      </c>
      <c r="D4" s="22">
        <v>12</v>
      </c>
      <c r="F4" s="12">
        <v>1</v>
      </c>
      <c r="G4" s="13">
        <v>800</v>
      </c>
      <c r="H4" s="14">
        <v>400</v>
      </c>
      <c r="J4" s="186">
        <v>1</v>
      </c>
      <c r="K4" s="216">
        <v>200</v>
      </c>
      <c r="L4" s="128">
        <v>100</v>
      </c>
      <c r="N4" s="186">
        <v>1</v>
      </c>
      <c r="O4" s="187">
        <v>1000</v>
      </c>
      <c r="P4" s="188">
        <v>300</v>
      </c>
      <c r="Q4" s="189">
        <v>100</v>
      </c>
      <c r="S4" s="186">
        <v>1</v>
      </c>
      <c r="T4" s="216">
        <v>4000</v>
      </c>
      <c r="U4" s="128">
        <v>2000</v>
      </c>
      <c r="W4" s="186">
        <v>1</v>
      </c>
      <c r="X4" s="187">
        <v>2000</v>
      </c>
      <c r="Y4" s="188">
        <v>4000</v>
      </c>
      <c r="Z4" s="189">
        <v>1000</v>
      </c>
      <c r="AB4" s="186">
        <v>1</v>
      </c>
      <c r="AC4" s="216">
        <v>200</v>
      </c>
      <c r="AD4" s="127">
        <v>1000</v>
      </c>
      <c r="AE4" s="128">
        <v>200</v>
      </c>
      <c r="AG4" s="186">
        <v>1</v>
      </c>
      <c r="AH4" s="216">
        <v>400</v>
      </c>
      <c r="AI4" s="128">
        <v>600</v>
      </c>
      <c r="AK4" s="186">
        <v>1</v>
      </c>
      <c r="AL4" s="216">
        <v>3500</v>
      </c>
      <c r="AM4" s="127">
        <v>7000</v>
      </c>
      <c r="AN4" s="128">
        <v>3500</v>
      </c>
      <c r="AP4" s="186">
        <v>1</v>
      </c>
      <c r="AQ4" s="187">
        <v>240000</v>
      </c>
      <c r="AR4" s="188">
        <v>400000</v>
      </c>
      <c r="AS4" s="189">
        <v>160000</v>
      </c>
      <c r="AU4" s="186">
        <v>1</v>
      </c>
      <c r="AV4" s="21">
        <v>300000</v>
      </c>
      <c r="AX4" s="186">
        <v>1</v>
      </c>
      <c r="AY4" s="216">
        <v>800</v>
      </c>
      <c r="AZ4" s="128">
        <v>1200</v>
      </c>
      <c r="BB4" s="186">
        <v>1</v>
      </c>
      <c r="BC4" s="216">
        <v>2000</v>
      </c>
      <c r="BD4" s="127">
        <v>4000</v>
      </c>
      <c r="BE4" s="128">
        <v>600</v>
      </c>
      <c r="BG4" s="186">
        <v>1</v>
      </c>
      <c r="BH4" s="187">
        <v>10000</v>
      </c>
      <c r="BI4" s="188">
        <v>20000</v>
      </c>
      <c r="BJ4" s="189">
        <v>6000</v>
      </c>
      <c r="BL4" s="186">
        <v>1</v>
      </c>
      <c r="BM4" s="216">
        <v>800</v>
      </c>
      <c r="BN4" s="128">
        <v>200</v>
      </c>
      <c r="BP4" s="186">
        <v>1</v>
      </c>
      <c r="BQ4" s="187">
        <v>200</v>
      </c>
      <c r="BR4" s="189">
        <v>600</v>
      </c>
      <c r="BT4" s="186">
        <v>1</v>
      </c>
      <c r="BU4" s="21">
        <v>2000</v>
      </c>
    </row>
    <row r="5" spans="2:79" ht="16.5" thickTop="1" thickBot="1" x14ac:dyDescent="0.3">
      <c r="B5" s="289"/>
      <c r="C5" s="230" t="s">
        <v>81</v>
      </c>
      <c r="D5" s="22">
        <v>8</v>
      </c>
      <c r="F5" s="3">
        <v>2</v>
      </c>
      <c r="G5" s="4">
        <f>G4*2</f>
        <v>1600</v>
      </c>
      <c r="H5" s="5">
        <f>H4*2</f>
        <v>800</v>
      </c>
      <c r="J5" s="168">
        <v>2</v>
      </c>
      <c r="K5" s="212">
        <f>K4*2</f>
        <v>400</v>
      </c>
      <c r="L5" s="163">
        <f>L4*2</f>
        <v>200</v>
      </c>
      <c r="N5" s="168">
        <v>2</v>
      </c>
      <c r="O5" s="212">
        <f>O4*2</f>
        <v>2000</v>
      </c>
      <c r="P5" s="185">
        <f>P4*2</f>
        <v>600</v>
      </c>
      <c r="Q5" s="163">
        <f>Q4*2</f>
        <v>200</v>
      </c>
      <c r="S5" s="168">
        <v>2</v>
      </c>
      <c r="T5" s="212">
        <f>T4*2</f>
        <v>8000</v>
      </c>
      <c r="U5" s="163">
        <f>U4*2</f>
        <v>4000</v>
      </c>
      <c r="W5" s="168">
        <v>2</v>
      </c>
      <c r="X5" s="212">
        <f>X4*2</f>
        <v>4000</v>
      </c>
      <c r="Y5" s="185">
        <f t="shared" ref="Y5:Z5" si="0">Y4*2</f>
        <v>8000</v>
      </c>
      <c r="Z5" s="163">
        <f t="shared" si="0"/>
        <v>2000</v>
      </c>
      <c r="AB5" s="168">
        <v>2</v>
      </c>
      <c r="AC5" s="212">
        <f>AC4*2</f>
        <v>400</v>
      </c>
      <c r="AD5" s="185">
        <f t="shared" ref="AD5:AE5" si="1">AD4*2</f>
        <v>2000</v>
      </c>
      <c r="AE5" s="163">
        <f t="shared" si="1"/>
        <v>400</v>
      </c>
      <c r="AG5" s="168">
        <v>2</v>
      </c>
      <c r="AH5" s="212">
        <f>AH4*2</f>
        <v>800</v>
      </c>
      <c r="AI5" s="163">
        <f>AI4*2</f>
        <v>1200</v>
      </c>
      <c r="AK5" s="168">
        <v>2</v>
      </c>
      <c r="AL5" s="3">
        <f>AL4*2</f>
        <v>7000</v>
      </c>
      <c r="AM5" s="4">
        <f t="shared" ref="AM5:AN5" si="2">AM4*2</f>
        <v>14000</v>
      </c>
      <c r="AN5" s="5">
        <f t="shared" si="2"/>
        <v>7000</v>
      </c>
      <c r="AP5" s="168">
        <v>2</v>
      </c>
      <c r="AQ5" s="212">
        <f>AQ4*2</f>
        <v>480000</v>
      </c>
      <c r="AR5" s="229">
        <f>AR4*2</f>
        <v>800000</v>
      </c>
      <c r="AS5" s="163">
        <f>AS4*2</f>
        <v>320000</v>
      </c>
      <c r="AU5" s="168">
        <v>2</v>
      </c>
      <c r="AV5" s="221">
        <f>AV4*2</f>
        <v>600000</v>
      </c>
      <c r="AX5" s="168">
        <v>2</v>
      </c>
      <c r="AY5" s="212">
        <f t="shared" ref="AY5:AZ8" si="3">AY4*2</f>
        <v>1600</v>
      </c>
      <c r="AZ5" s="163">
        <f t="shared" si="3"/>
        <v>2400</v>
      </c>
      <c r="BB5" s="168">
        <v>2</v>
      </c>
      <c r="BC5" s="212">
        <f>BC4*2</f>
        <v>4000</v>
      </c>
      <c r="BD5" s="185">
        <f t="shared" ref="BD5:BE5" si="4">BD4*2</f>
        <v>8000</v>
      </c>
      <c r="BE5" s="163">
        <f t="shared" si="4"/>
        <v>1200</v>
      </c>
      <c r="BG5" s="168">
        <v>2</v>
      </c>
      <c r="BH5" s="212">
        <f>BH4*2</f>
        <v>20000</v>
      </c>
      <c r="BI5" s="185">
        <f t="shared" ref="BI5:BJ5" si="5">BI4*2</f>
        <v>40000</v>
      </c>
      <c r="BJ5" s="163">
        <f t="shared" si="5"/>
        <v>12000</v>
      </c>
      <c r="BL5" s="168">
        <v>2</v>
      </c>
      <c r="BM5" s="212">
        <f>BM4*2</f>
        <v>1600</v>
      </c>
      <c r="BN5" s="163">
        <f>BN4*2</f>
        <v>400</v>
      </c>
      <c r="BP5" s="168">
        <v>2</v>
      </c>
      <c r="BQ5" s="212">
        <f>BQ4*2</f>
        <v>400</v>
      </c>
      <c r="BR5" s="163">
        <f>BR4*2</f>
        <v>1200</v>
      </c>
      <c r="BT5" s="168">
        <v>2</v>
      </c>
      <c r="BU5" s="22">
        <f>BU4*2</f>
        <v>4000</v>
      </c>
    </row>
    <row r="6" spans="2:79" ht="16.5" thickTop="1" thickBot="1" x14ac:dyDescent="0.3">
      <c r="B6" s="289"/>
      <c r="C6" s="230" t="s">
        <v>82</v>
      </c>
      <c r="D6" s="22">
        <v>10</v>
      </c>
      <c r="F6" s="3">
        <v>3</v>
      </c>
      <c r="G6" s="4">
        <f t="shared" ref="G6:G18" si="6">G5*2</f>
        <v>3200</v>
      </c>
      <c r="H6" s="5">
        <f t="shared" ref="H6:H18" si="7">H5*2</f>
        <v>1600</v>
      </c>
      <c r="J6" s="168">
        <v>3</v>
      </c>
      <c r="K6" s="212">
        <f t="shared" ref="K6:K18" si="8">K5*2</f>
        <v>800</v>
      </c>
      <c r="L6" s="163">
        <f t="shared" ref="L6:L18" si="9">L5*2</f>
        <v>400</v>
      </c>
      <c r="N6" s="168">
        <v>3</v>
      </c>
      <c r="O6" s="212">
        <f t="shared" ref="O6:O18" si="10">O5*2</f>
        <v>4000</v>
      </c>
      <c r="P6" s="185">
        <f t="shared" ref="P6:P18" si="11">P5*2</f>
        <v>1200</v>
      </c>
      <c r="Q6" s="163">
        <f t="shared" ref="Q6:Q18" si="12">Q5*2</f>
        <v>400</v>
      </c>
      <c r="S6" s="168">
        <v>3</v>
      </c>
      <c r="T6" s="212">
        <f t="shared" ref="T6:T18" si="13">T5*2</f>
        <v>16000</v>
      </c>
      <c r="U6" s="163">
        <f t="shared" ref="U6:U18" si="14">U5*2</f>
        <v>8000</v>
      </c>
      <c r="W6" s="168">
        <v>3</v>
      </c>
      <c r="X6" s="212">
        <f t="shared" ref="X6:X18" si="15">X5*2</f>
        <v>8000</v>
      </c>
      <c r="Y6" s="185">
        <f t="shared" ref="Y6:Y18" si="16">Y5*2</f>
        <v>16000</v>
      </c>
      <c r="Z6" s="163">
        <f t="shared" ref="Z6:Z18" si="17">Z5*2</f>
        <v>4000</v>
      </c>
      <c r="AB6" s="168">
        <v>3</v>
      </c>
      <c r="AC6" s="212">
        <f t="shared" ref="AC6:AC18" si="18">AC5*2</f>
        <v>800</v>
      </c>
      <c r="AD6" s="185">
        <f t="shared" ref="AD6:AD18" si="19">AD5*2</f>
        <v>4000</v>
      </c>
      <c r="AE6" s="163">
        <f t="shared" ref="AE6:AE18" si="20">AE5*2</f>
        <v>800</v>
      </c>
      <c r="AG6" s="168">
        <v>3</v>
      </c>
      <c r="AH6" s="212">
        <f>AH5*2</f>
        <v>1600</v>
      </c>
      <c r="AI6" s="163">
        <f>AI5*2</f>
        <v>2400</v>
      </c>
      <c r="AK6" s="168">
        <v>3</v>
      </c>
      <c r="AL6" s="217"/>
      <c r="AM6" s="118"/>
      <c r="AN6" s="119"/>
      <c r="AP6" s="168">
        <v>3</v>
      </c>
      <c r="AQ6" s="212">
        <f t="shared" ref="AQ6:AQ18" si="21">AQ5*2</f>
        <v>960000</v>
      </c>
      <c r="AR6" s="229">
        <f t="shared" ref="AR6:AR18" si="22">AR5*2</f>
        <v>1600000</v>
      </c>
      <c r="AS6" s="163">
        <f t="shared" ref="AS6:AS18" si="23">AS5*2</f>
        <v>640000</v>
      </c>
      <c r="AU6" s="168">
        <v>3</v>
      </c>
      <c r="AV6" s="221">
        <f t="shared" ref="AV6:AV18" si="24">AV5*2</f>
        <v>1200000</v>
      </c>
      <c r="AX6" s="168">
        <v>3</v>
      </c>
      <c r="AY6" s="212">
        <f t="shared" si="3"/>
        <v>3200</v>
      </c>
      <c r="AZ6" s="163">
        <f t="shared" si="3"/>
        <v>4800</v>
      </c>
      <c r="BB6" s="168">
        <v>3</v>
      </c>
      <c r="BC6" s="212">
        <f t="shared" ref="BC6:BC12" si="25">BC5*2</f>
        <v>8000</v>
      </c>
      <c r="BD6" s="185">
        <f t="shared" ref="BD6:BD12" si="26">BD5*2</f>
        <v>16000</v>
      </c>
      <c r="BE6" s="163">
        <f t="shared" ref="BE6:BE12" si="27">BE5*2</f>
        <v>2400</v>
      </c>
      <c r="BG6" s="168">
        <v>3</v>
      </c>
      <c r="BH6" s="212">
        <f t="shared" ref="BH6:BH18" si="28">BH5*2</f>
        <v>40000</v>
      </c>
      <c r="BI6" s="185">
        <f t="shared" ref="BI6:BI18" si="29">BI5*2</f>
        <v>80000</v>
      </c>
      <c r="BJ6" s="163">
        <f t="shared" ref="BJ6:BJ18" si="30">BJ5*2</f>
        <v>24000</v>
      </c>
      <c r="BL6" s="168">
        <v>3</v>
      </c>
      <c r="BM6" s="212">
        <f t="shared" ref="BM6:BM18" si="31">BM5*2</f>
        <v>3200</v>
      </c>
      <c r="BN6" s="163">
        <f t="shared" ref="BN6:BN18" si="32">BN5*2</f>
        <v>800</v>
      </c>
      <c r="BP6" s="168">
        <v>3</v>
      </c>
      <c r="BQ6" s="212">
        <f t="shared" ref="BQ6:BQ18" si="33">BQ5*2</f>
        <v>800</v>
      </c>
      <c r="BR6" s="163">
        <f t="shared" ref="BR6:BR18" si="34">BR5*2</f>
        <v>2400</v>
      </c>
      <c r="BT6" s="168">
        <v>3</v>
      </c>
      <c r="BU6" s="22">
        <f t="shared" ref="BU6:BU18" si="35">BU5*2</f>
        <v>8000</v>
      </c>
    </row>
    <row r="7" spans="2:79" ht="16.5" thickTop="1" thickBot="1" x14ac:dyDescent="0.3">
      <c r="B7" s="289"/>
      <c r="C7" s="230" t="s">
        <v>83</v>
      </c>
      <c r="D7" s="22">
        <v>11</v>
      </c>
      <c r="F7" s="3">
        <v>4</v>
      </c>
      <c r="G7" s="4">
        <f t="shared" si="6"/>
        <v>6400</v>
      </c>
      <c r="H7" s="5">
        <f t="shared" si="7"/>
        <v>3200</v>
      </c>
      <c r="J7" s="168">
        <v>4</v>
      </c>
      <c r="K7" s="212">
        <f t="shared" si="8"/>
        <v>1600</v>
      </c>
      <c r="L7" s="163">
        <f t="shared" si="9"/>
        <v>800</v>
      </c>
      <c r="N7" s="168">
        <v>4</v>
      </c>
      <c r="O7" s="212">
        <f t="shared" si="10"/>
        <v>8000</v>
      </c>
      <c r="P7" s="185">
        <f t="shared" si="11"/>
        <v>2400</v>
      </c>
      <c r="Q7" s="163">
        <f t="shared" si="12"/>
        <v>800</v>
      </c>
      <c r="S7" s="168">
        <v>4</v>
      </c>
      <c r="T7" s="212">
        <f t="shared" si="13"/>
        <v>32000</v>
      </c>
      <c r="U7" s="163">
        <f t="shared" si="14"/>
        <v>16000</v>
      </c>
      <c r="W7" s="168">
        <v>4</v>
      </c>
      <c r="X7" s="212">
        <f t="shared" si="15"/>
        <v>16000</v>
      </c>
      <c r="Y7" s="185">
        <f t="shared" si="16"/>
        <v>32000</v>
      </c>
      <c r="Z7" s="163">
        <f t="shared" si="17"/>
        <v>8000</v>
      </c>
      <c r="AB7" s="168">
        <v>4</v>
      </c>
      <c r="AC7" s="212">
        <f t="shared" si="18"/>
        <v>1600</v>
      </c>
      <c r="AD7" s="185">
        <f t="shared" si="19"/>
        <v>8000</v>
      </c>
      <c r="AE7" s="163">
        <f t="shared" si="20"/>
        <v>1600</v>
      </c>
      <c r="AG7" s="168">
        <v>4</v>
      </c>
      <c r="AH7" s="212">
        <f t="shared" ref="AH7:AH18" si="36">AH6*2</f>
        <v>3200</v>
      </c>
      <c r="AI7" s="163">
        <f t="shared" ref="AI7:AI18" si="37">AI6*2</f>
        <v>4800</v>
      </c>
      <c r="AK7" s="168">
        <v>4</v>
      </c>
      <c r="AL7" s="212">
        <v>21400</v>
      </c>
      <c r="AM7" s="185">
        <v>42900</v>
      </c>
      <c r="AN7" s="163">
        <v>21400</v>
      </c>
      <c r="AP7" s="168">
        <v>4</v>
      </c>
      <c r="AQ7" s="212">
        <f t="shared" si="21"/>
        <v>1920000</v>
      </c>
      <c r="AR7" s="229">
        <f t="shared" si="22"/>
        <v>3200000</v>
      </c>
      <c r="AS7" s="163">
        <f t="shared" si="23"/>
        <v>1280000</v>
      </c>
      <c r="AU7" s="168">
        <v>4</v>
      </c>
      <c r="AV7" s="221">
        <f t="shared" si="24"/>
        <v>2400000</v>
      </c>
      <c r="AX7" s="168">
        <v>4</v>
      </c>
      <c r="AY7" s="212">
        <f t="shared" si="3"/>
        <v>6400</v>
      </c>
      <c r="AZ7" s="163">
        <f t="shared" si="3"/>
        <v>9600</v>
      </c>
      <c r="BB7" s="168">
        <v>4</v>
      </c>
      <c r="BC7" s="212">
        <f t="shared" si="25"/>
        <v>16000</v>
      </c>
      <c r="BD7" s="185">
        <f t="shared" si="26"/>
        <v>32000</v>
      </c>
      <c r="BE7" s="163">
        <f t="shared" si="27"/>
        <v>4800</v>
      </c>
      <c r="BG7" s="168">
        <v>4</v>
      </c>
      <c r="BH7" s="212">
        <f t="shared" si="28"/>
        <v>80000</v>
      </c>
      <c r="BI7" s="185">
        <f t="shared" si="29"/>
        <v>160000</v>
      </c>
      <c r="BJ7" s="163">
        <f t="shared" si="30"/>
        <v>48000</v>
      </c>
      <c r="BL7" s="168">
        <v>4</v>
      </c>
      <c r="BM7" s="212">
        <f t="shared" si="31"/>
        <v>6400</v>
      </c>
      <c r="BN7" s="163">
        <f t="shared" si="32"/>
        <v>1600</v>
      </c>
      <c r="BP7" s="168">
        <v>4</v>
      </c>
      <c r="BQ7" s="212">
        <f t="shared" si="33"/>
        <v>1600</v>
      </c>
      <c r="BR7" s="163">
        <f t="shared" si="34"/>
        <v>4800</v>
      </c>
      <c r="BT7" s="168">
        <v>4</v>
      </c>
      <c r="BU7" s="22">
        <f t="shared" si="35"/>
        <v>16000</v>
      </c>
    </row>
    <row r="8" spans="2:79" ht="16.5" thickTop="1" thickBot="1" x14ac:dyDescent="0.3">
      <c r="B8" s="289" t="s">
        <v>87</v>
      </c>
      <c r="C8" s="230" t="s">
        <v>85</v>
      </c>
      <c r="D8" s="22">
        <v>11</v>
      </c>
      <c r="F8" s="3">
        <v>5</v>
      </c>
      <c r="G8" s="4">
        <f t="shared" si="6"/>
        <v>12800</v>
      </c>
      <c r="H8" s="5">
        <f t="shared" si="7"/>
        <v>6400</v>
      </c>
      <c r="J8" s="168">
        <v>5</v>
      </c>
      <c r="K8" s="212">
        <f t="shared" si="8"/>
        <v>3200</v>
      </c>
      <c r="L8" s="163">
        <f t="shared" si="9"/>
        <v>1600</v>
      </c>
      <c r="N8" s="168">
        <v>5</v>
      </c>
      <c r="O8" s="212">
        <f t="shared" si="10"/>
        <v>16000</v>
      </c>
      <c r="P8" s="185">
        <f t="shared" si="11"/>
        <v>4800</v>
      </c>
      <c r="Q8" s="163">
        <f t="shared" si="12"/>
        <v>1600</v>
      </c>
      <c r="S8" s="168">
        <v>5</v>
      </c>
      <c r="T8" s="212">
        <f t="shared" si="13"/>
        <v>64000</v>
      </c>
      <c r="U8" s="163">
        <f t="shared" si="14"/>
        <v>32000</v>
      </c>
      <c r="W8" s="168">
        <v>5</v>
      </c>
      <c r="X8" s="212">
        <f t="shared" si="15"/>
        <v>32000</v>
      </c>
      <c r="Y8" s="185">
        <f t="shared" si="16"/>
        <v>64000</v>
      </c>
      <c r="Z8" s="163">
        <f t="shared" si="17"/>
        <v>16000</v>
      </c>
      <c r="AB8" s="168">
        <v>5</v>
      </c>
      <c r="AC8" s="212">
        <f t="shared" si="18"/>
        <v>3200</v>
      </c>
      <c r="AD8" s="185">
        <f t="shared" si="19"/>
        <v>16000</v>
      </c>
      <c r="AE8" s="163">
        <f t="shared" si="20"/>
        <v>3200</v>
      </c>
      <c r="AG8" s="168">
        <v>5</v>
      </c>
      <c r="AH8" s="212">
        <f t="shared" si="36"/>
        <v>6400</v>
      </c>
      <c r="AI8" s="163">
        <f t="shared" si="37"/>
        <v>9600</v>
      </c>
      <c r="AK8" s="168">
        <v>5</v>
      </c>
      <c r="AL8" s="217"/>
      <c r="AM8" s="118"/>
      <c r="AN8" s="119"/>
      <c r="AP8" s="168">
        <v>5</v>
      </c>
      <c r="AQ8" s="212">
        <f t="shared" si="21"/>
        <v>3840000</v>
      </c>
      <c r="AR8" s="229">
        <f t="shared" si="22"/>
        <v>6400000</v>
      </c>
      <c r="AS8" s="163">
        <f t="shared" si="23"/>
        <v>2560000</v>
      </c>
      <c r="AU8" s="168">
        <v>5</v>
      </c>
      <c r="AV8" s="221">
        <f t="shared" si="24"/>
        <v>4800000</v>
      </c>
      <c r="AX8" s="168">
        <v>5</v>
      </c>
      <c r="AY8" s="212">
        <f t="shared" si="3"/>
        <v>12800</v>
      </c>
      <c r="AZ8" s="163">
        <f t="shared" si="3"/>
        <v>19200</v>
      </c>
      <c r="BB8" s="168">
        <v>5</v>
      </c>
      <c r="BC8" s="212">
        <f t="shared" si="25"/>
        <v>32000</v>
      </c>
      <c r="BD8" s="185">
        <f t="shared" si="26"/>
        <v>64000</v>
      </c>
      <c r="BE8" s="163">
        <f t="shared" si="27"/>
        <v>9600</v>
      </c>
      <c r="BG8" s="168">
        <v>5</v>
      </c>
      <c r="BH8" s="212">
        <f t="shared" si="28"/>
        <v>160000</v>
      </c>
      <c r="BI8" s="185">
        <f t="shared" si="29"/>
        <v>320000</v>
      </c>
      <c r="BJ8" s="163">
        <f t="shared" si="30"/>
        <v>96000</v>
      </c>
      <c r="BL8" s="168">
        <v>5</v>
      </c>
      <c r="BM8" s="212">
        <f t="shared" si="31"/>
        <v>12800</v>
      </c>
      <c r="BN8" s="163">
        <f t="shared" si="32"/>
        <v>3200</v>
      </c>
      <c r="BP8" s="168">
        <v>5</v>
      </c>
      <c r="BQ8" s="212">
        <f t="shared" si="33"/>
        <v>3200</v>
      </c>
      <c r="BR8" s="163">
        <f t="shared" si="34"/>
        <v>9600</v>
      </c>
      <c r="BT8" s="168">
        <v>5</v>
      </c>
      <c r="BU8" s="22">
        <f t="shared" si="35"/>
        <v>32000</v>
      </c>
    </row>
    <row r="9" spans="2:79" ht="16.5" thickTop="1" thickBot="1" x14ac:dyDescent="0.3">
      <c r="B9" s="289"/>
      <c r="C9" s="230" t="s">
        <v>86</v>
      </c>
      <c r="D9" s="22">
        <v>13</v>
      </c>
      <c r="F9" s="3">
        <v>6</v>
      </c>
      <c r="G9" s="4">
        <f t="shared" si="6"/>
        <v>25600</v>
      </c>
      <c r="H9" s="5">
        <f t="shared" si="7"/>
        <v>12800</v>
      </c>
      <c r="J9" s="168">
        <v>6</v>
      </c>
      <c r="K9" s="212">
        <f t="shared" si="8"/>
        <v>6400</v>
      </c>
      <c r="L9" s="163">
        <f t="shared" si="9"/>
        <v>3200</v>
      </c>
      <c r="N9" s="168">
        <v>6</v>
      </c>
      <c r="O9" s="212">
        <f t="shared" si="10"/>
        <v>32000</v>
      </c>
      <c r="P9" s="185">
        <f t="shared" si="11"/>
        <v>9600</v>
      </c>
      <c r="Q9" s="163">
        <f t="shared" si="12"/>
        <v>3200</v>
      </c>
      <c r="S9" s="168">
        <v>6</v>
      </c>
      <c r="T9" s="212">
        <f t="shared" si="13"/>
        <v>128000</v>
      </c>
      <c r="U9" s="163">
        <f t="shared" si="14"/>
        <v>64000</v>
      </c>
      <c r="W9" s="168">
        <v>6</v>
      </c>
      <c r="X9" s="212">
        <f t="shared" si="15"/>
        <v>64000</v>
      </c>
      <c r="Y9" s="185">
        <f t="shared" si="16"/>
        <v>128000</v>
      </c>
      <c r="Z9" s="163">
        <f t="shared" si="17"/>
        <v>32000</v>
      </c>
      <c r="AB9" s="168">
        <v>6</v>
      </c>
      <c r="AC9" s="212">
        <f t="shared" si="18"/>
        <v>6400</v>
      </c>
      <c r="AD9" s="185">
        <f t="shared" si="19"/>
        <v>32000</v>
      </c>
      <c r="AE9" s="163">
        <f t="shared" si="20"/>
        <v>6400</v>
      </c>
      <c r="AG9" s="168">
        <v>6</v>
      </c>
      <c r="AH9" s="212">
        <f t="shared" si="36"/>
        <v>12800</v>
      </c>
      <c r="AI9" s="163">
        <f t="shared" si="37"/>
        <v>19200</v>
      </c>
      <c r="AK9" s="168">
        <v>6</v>
      </c>
      <c r="AL9" s="212">
        <v>65700</v>
      </c>
      <c r="AM9" s="185">
        <v>131300</v>
      </c>
      <c r="AN9" s="163">
        <v>65700</v>
      </c>
      <c r="AP9" s="168">
        <v>6</v>
      </c>
      <c r="AQ9" s="212">
        <f t="shared" si="21"/>
        <v>7680000</v>
      </c>
      <c r="AR9" s="229">
        <f t="shared" si="22"/>
        <v>12800000</v>
      </c>
      <c r="AS9" s="163">
        <f t="shared" si="23"/>
        <v>5120000</v>
      </c>
      <c r="AU9" s="168">
        <v>6</v>
      </c>
      <c r="AV9" s="221">
        <f t="shared" si="24"/>
        <v>9600000</v>
      </c>
      <c r="AX9" s="168">
        <v>6</v>
      </c>
      <c r="AY9" s="212">
        <f t="shared" ref="AY9:AZ18" si="38">AY8*2</f>
        <v>25600</v>
      </c>
      <c r="AZ9" s="163">
        <f t="shared" si="38"/>
        <v>38400</v>
      </c>
      <c r="BB9" s="168">
        <v>6</v>
      </c>
      <c r="BC9" s="212">
        <f t="shared" si="25"/>
        <v>64000</v>
      </c>
      <c r="BD9" s="185">
        <f t="shared" si="26"/>
        <v>128000</v>
      </c>
      <c r="BE9" s="163">
        <f t="shared" si="27"/>
        <v>19200</v>
      </c>
      <c r="BG9" s="168">
        <v>6</v>
      </c>
      <c r="BH9" s="212">
        <f t="shared" si="28"/>
        <v>320000</v>
      </c>
      <c r="BI9" s="185">
        <f t="shared" si="29"/>
        <v>640000</v>
      </c>
      <c r="BJ9" s="163">
        <f t="shared" si="30"/>
        <v>192000</v>
      </c>
      <c r="BL9" s="168">
        <v>6</v>
      </c>
      <c r="BM9" s="212">
        <f t="shared" si="31"/>
        <v>25600</v>
      </c>
      <c r="BN9" s="163">
        <f t="shared" si="32"/>
        <v>6400</v>
      </c>
      <c r="BP9" s="168">
        <v>6</v>
      </c>
      <c r="BQ9" s="212">
        <f t="shared" si="33"/>
        <v>6400</v>
      </c>
      <c r="BR9" s="163">
        <f t="shared" si="34"/>
        <v>19200</v>
      </c>
      <c r="BT9" s="168">
        <v>6</v>
      </c>
      <c r="BU9" s="22">
        <f t="shared" si="35"/>
        <v>64000</v>
      </c>
    </row>
    <row r="10" spans="2:79" ht="16.5" thickTop="1" thickBot="1" x14ac:dyDescent="0.3">
      <c r="B10" s="289"/>
      <c r="C10" s="230" t="s">
        <v>54</v>
      </c>
      <c r="D10" s="22">
        <v>12</v>
      </c>
      <c r="F10" s="3">
        <v>7</v>
      </c>
      <c r="G10" s="4">
        <f t="shared" si="6"/>
        <v>51200</v>
      </c>
      <c r="H10" s="5">
        <f t="shared" si="7"/>
        <v>25600</v>
      </c>
      <c r="J10" s="168">
        <v>7</v>
      </c>
      <c r="K10" s="212">
        <f t="shared" si="8"/>
        <v>12800</v>
      </c>
      <c r="L10" s="163">
        <f t="shared" si="9"/>
        <v>6400</v>
      </c>
      <c r="N10" s="168">
        <v>7</v>
      </c>
      <c r="O10" s="212">
        <f t="shared" si="10"/>
        <v>64000</v>
      </c>
      <c r="P10" s="185">
        <f t="shared" si="11"/>
        <v>19200</v>
      </c>
      <c r="Q10" s="163">
        <f t="shared" si="12"/>
        <v>6400</v>
      </c>
      <c r="S10" s="168">
        <v>7</v>
      </c>
      <c r="T10" s="212">
        <f t="shared" si="13"/>
        <v>256000</v>
      </c>
      <c r="U10" s="163">
        <f t="shared" si="14"/>
        <v>128000</v>
      </c>
      <c r="W10" s="168">
        <v>7</v>
      </c>
      <c r="X10" s="212">
        <f t="shared" si="15"/>
        <v>128000</v>
      </c>
      <c r="Y10" s="185">
        <f t="shared" si="16"/>
        <v>256000</v>
      </c>
      <c r="Z10" s="163">
        <f t="shared" si="17"/>
        <v>64000</v>
      </c>
      <c r="AB10" s="168">
        <v>7</v>
      </c>
      <c r="AC10" s="212">
        <f t="shared" si="18"/>
        <v>12800</v>
      </c>
      <c r="AD10" s="185">
        <f t="shared" si="19"/>
        <v>64000</v>
      </c>
      <c r="AE10" s="163">
        <f t="shared" si="20"/>
        <v>12800</v>
      </c>
      <c r="AG10" s="168">
        <v>7</v>
      </c>
      <c r="AH10" s="212">
        <f t="shared" si="36"/>
        <v>25600</v>
      </c>
      <c r="AI10" s="163">
        <f t="shared" si="37"/>
        <v>38400</v>
      </c>
      <c r="AK10" s="168">
        <v>7</v>
      </c>
      <c r="AL10" s="212">
        <v>114900</v>
      </c>
      <c r="AM10" s="228">
        <v>229800</v>
      </c>
      <c r="AN10" s="163">
        <v>114900</v>
      </c>
      <c r="AP10" s="168">
        <v>7</v>
      </c>
      <c r="AQ10" s="212">
        <f t="shared" si="21"/>
        <v>15360000</v>
      </c>
      <c r="AR10" s="229">
        <f t="shared" si="22"/>
        <v>25600000</v>
      </c>
      <c r="AS10" s="163">
        <f t="shared" si="23"/>
        <v>10240000</v>
      </c>
      <c r="AU10" s="168">
        <v>7</v>
      </c>
      <c r="AV10" s="221">
        <f t="shared" si="24"/>
        <v>19200000</v>
      </c>
      <c r="AX10" s="168">
        <v>7</v>
      </c>
      <c r="AY10" s="212">
        <f t="shared" si="38"/>
        <v>51200</v>
      </c>
      <c r="AZ10" s="163">
        <f t="shared" si="38"/>
        <v>76800</v>
      </c>
      <c r="BB10" s="168">
        <v>7</v>
      </c>
      <c r="BC10" s="212">
        <f t="shared" si="25"/>
        <v>128000</v>
      </c>
      <c r="BD10" s="185">
        <f t="shared" si="26"/>
        <v>256000</v>
      </c>
      <c r="BE10" s="163">
        <f t="shared" si="27"/>
        <v>38400</v>
      </c>
      <c r="BG10" s="168">
        <v>7</v>
      </c>
      <c r="BH10" s="212">
        <f t="shared" si="28"/>
        <v>640000</v>
      </c>
      <c r="BI10" s="185">
        <f t="shared" si="29"/>
        <v>1280000</v>
      </c>
      <c r="BJ10" s="163">
        <f t="shared" si="30"/>
        <v>384000</v>
      </c>
      <c r="BL10" s="168">
        <v>7</v>
      </c>
      <c r="BM10" s="212">
        <f t="shared" si="31"/>
        <v>51200</v>
      </c>
      <c r="BN10" s="163">
        <f t="shared" si="32"/>
        <v>12800</v>
      </c>
      <c r="BP10" s="168">
        <v>7</v>
      </c>
      <c r="BQ10" s="212">
        <f t="shared" si="33"/>
        <v>12800</v>
      </c>
      <c r="BR10" s="163">
        <f t="shared" si="34"/>
        <v>38400</v>
      </c>
      <c r="BT10" s="168">
        <v>7</v>
      </c>
      <c r="BU10" s="22">
        <f t="shared" si="35"/>
        <v>128000</v>
      </c>
    </row>
    <row r="11" spans="2:79" ht="16.5" thickTop="1" thickBot="1" x14ac:dyDescent="0.3">
      <c r="B11" s="289"/>
      <c r="C11" s="230" t="s">
        <v>55</v>
      </c>
      <c r="D11" s="22">
        <v>1</v>
      </c>
      <c r="F11" s="3">
        <v>8</v>
      </c>
      <c r="G11" s="4">
        <f t="shared" si="6"/>
        <v>102400</v>
      </c>
      <c r="H11" s="5">
        <f t="shared" si="7"/>
        <v>51200</v>
      </c>
      <c r="J11" s="168">
        <v>8</v>
      </c>
      <c r="K11" s="212">
        <f t="shared" si="8"/>
        <v>25600</v>
      </c>
      <c r="L11" s="163">
        <f t="shared" si="9"/>
        <v>12800</v>
      </c>
      <c r="N11" s="168">
        <v>8</v>
      </c>
      <c r="O11" s="212">
        <f t="shared" si="10"/>
        <v>128000</v>
      </c>
      <c r="P11" s="185">
        <f t="shared" si="11"/>
        <v>38400</v>
      </c>
      <c r="Q11" s="163">
        <f t="shared" si="12"/>
        <v>12800</v>
      </c>
      <c r="S11" s="168">
        <v>8</v>
      </c>
      <c r="T11" s="212">
        <f t="shared" si="13"/>
        <v>512000</v>
      </c>
      <c r="U11" s="163">
        <f t="shared" si="14"/>
        <v>256000</v>
      </c>
      <c r="W11" s="168">
        <v>8</v>
      </c>
      <c r="X11" s="212">
        <f t="shared" si="15"/>
        <v>256000</v>
      </c>
      <c r="Y11" s="185">
        <f t="shared" si="16"/>
        <v>512000</v>
      </c>
      <c r="Z11" s="163">
        <f t="shared" si="17"/>
        <v>128000</v>
      </c>
      <c r="AB11" s="168">
        <v>8</v>
      </c>
      <c r="AC11" s="212">
        <f t="shared" si="18"/>
        <v>25600</v>
      </c>
      <c r="AD11" s="185">
        <f t="shared" si="19"/>
        <v>128000</v>
      </c>
      <c r="AE11" s="163">
        <f t="shared" si="20"/>
        <v>25600</v>
      </c>
      <c r="AG11" s="168">
        <v>8</v>
      </c>
      <c r="AH11" s="212">
        <f t="shared" si="36"/>
        <v>51200</v>
      </c>
      <c r="AI11" s="163">
        <f t="shared" si="37"/>
        <v>76800</v>
      </c>
      <c r="AK11" s="168">
        <v>8</v>
      </c>
      <c r="AL11" s="212">
        <v>201100</v>
      </c>
      <c r="AM11" s="228">
        <v>402100</v>
      </c>
      <c r="AN11" s="163">
        <v>201100</v>
      </c>
      <c r="AP11" s="168">
        <v>8</v>
      </c>
      <c r="AQ11" s="212">
        <f t="shared" si="21"/>
        <v>30720000</v>
      </c>
      <c r="AR11" s="229">
        <f t="shared" si="22"/>
        <v>51200000</v>
      </c>
      <c r="AS11" s="163">
        <f t="shared" si="23"/>
        <v>20480000</v>
      </c>
      <c r="AU11" s="168">
        <v>8</v>
      </c>
      <c r="AV11" s="221">
        <f t="shared" si="24"/>
        <v>38400000</v>
      </c>
      <c r="AX11" s="168">
        <v>8</v>
      </c>
      <c r="AY11" s="212">
        <f t="shared" si="38"/>
        <v>102400</v>
      </c>
      <c r="AZ11" s="163">
        <f t="shared" si="38"/>
        <v>153600</v>
      </c>
      <c r="BB11" s="168">
        <v>8</v>
      </c>
      <c r="BC11" s="212">
        <f t="shared" si="25"/>
        <v>256000</v>
      </c>
      <c r="BD11" s="185">
        <f t="shared" si="26"/>
        <v>512000</v>
      </c>
      <c r="BE11" s="163">
        <f t="shared" si="27"/>
        <v>76800</v>
      </c>
      <c r="BG11" s="168">
        <v>8</v>
      </c>
      <c r="BH11" s="212">
        <f t="shared" si="28"/>
        <v>1280000</v>
      </c>
      <c r="BI11" s="185">
        <f t="shared" si="29"/>
        <v>2560000</v>
      </c>
      <c r="BJ11" s="163">
        <f t="shared" si="30"/>
        <v>768000</v>
      </c>
      <c r="BL11" s="168">
        <v>8</v>
      </c>
      <c r="BM11" s="212">
        <f t="shared" si="31"/>
        <v>102400</v>
      </c>
      <c r="BN11" s="163">
        <f t="shared" si="32"/>
        <v>25600</v>
      </c>
      <c r="BP11" s="168">
        <v>8</v>
      </c>
      <c r="BQ11" s="212">
        <f t="shared" si="33"/>
        <v>25600</v>
      </c>
      <c r="BR11" s="163">
        <f t="shared" si="34"/>
        <v>76800</v>
      </c>
      <c r="BT11" s="168">
        <v>8</v>
      </c>
      <c r="BU11" s="22">
        <f t="shared" si="35"/>
        <v>256000</v>
      </c>
    </row>
    <row r="12" spans="2:79" ht="16.5" thickTop="1" thickBot="1" x14ac:dyDescent="0.3">
      <c r="B12" s="289"/>
      <c r="C12" s="230" t="s">
        <v>56</v>
      </c>
      <c r="D12" s="22">
        <v>0</v>
      </c>
      <c r="F12" s="3">
        <v>9</v>
      </c>
      <c r="G12" s="4">
        <f t="shared" si="6"/>
        <v>204800</v>
      </c>
      <c r="H12" s="5">
        <f t="shared" si="7"/>
        <v>102400</v>
      </c>
      <c r="J12" s="168">
        <v>9</v>
      </c>
      <c r="K12" s="212">
        <f t="shared" si="8"/>
        <v>51200</v>
      </c>
      <c r="L12" s="163">
        <f t="shared" si="9"/>
        <v>25600</v>
      </c>
      <c r="N12" s="168">
        <v>9</v>
      </c>
      <c r="O12" s="212">
        <f t="shared" si="10"/>
        <v>256000</v>
      </c>
      <c r="P12" s="185">
        <f t="shared" si="11"/>
        <v>76800</v>
      </c>
      <c r="Q12" s="163">
        <f t="shared" si="12"/>
        <v>25600</v>
      </c>
      <c r="S12" s="168">
        <v>9</v>
      </c>
      <c r="T12" s="212">
        <f t="shared" si="13"/>
        <v>1024000</v>
      </c>
      <c r="U12" s="163">
        <f t="shared" si="14"/>
        <v>512000</v>
      </c>
      <c r="W12" s="168">
        <v>9</v>
      </c>
      <c r="X12" s="212">
        <f t="shared" si="15"/>
        <v>512000</v>
      </c>
      <c r="Y12" s="185">
        <f t="shared" si="16"/>
        <v>1024000</v>
      </c>
      <c r="Z12" s="163">
        <f t="shared" si="17"/>
        <v>256000</v>
      </c>
      <c r="AB12" s="168">
        <v>9</v>
      </c>
      <c r="AC12" s="212">
        <f t="shared" si="18"/>
        <v>51200</v>
      </c>
      <c r="AD12" s="185">
        <f t="shared" si="19"/>
        <v>256000</v>
      </c>
      <c r="AE12" s="163">
        <f t="shared" si="20"/>
        <v>51200</v>
      </c>
      <c r="AG12" s="168">
        <v>9</v>
      </c>
      <c r="AH12" s="212">
        <f t="shared" si="36"/>
        <v>102400</v>
      </c>
      <c r="AI12" s="163">
        <f t="shared" si="37"/>
        <v>153600</v>
      </c>
      <c r="AK12" s="168">
        <v>9</v>
      </c>
      <c r="AL12" s="212">
        <v>351900</v>
      </c>
      <c r="AM12" s="229">
        <v>703700</v>
      </c>
      <c r="AN12" s="163">
        <v>351900</v>
      </c>
      <c r="AP12" s="168">
        <v>9</v>
      </c>
      <c r="AQ12" s="212">
        <f t="shared" si="21"/>
        <v>61440000</v>
      </c>
      <c r="AR12" s="229">
        <f t="shared" si="22"/>
        <v>102400000</v>
      </c>
      <c r="AS12" s="163">
        <f t="shared" si="23"/>
        <v>40960000</v>
      </c>
      <c r="AU12" s="168">
        <v>9</v>
      </c>
      <c r="AV12" s="221">
        <f t="shared" si="24"/>
        <v>76800000</v>
      </c>
      <c r="AX12" s="168">
        <v>9</v>
      </c>
      <c r="AY12" s="212">
        <f t="shared" si="38"/>
        <v>204800</v>
      </c>
      <c r="AZ12" s="163">
        <f t="shared" si="38"/>
        <v>307200</v>
      </c>
      <c r="BB12" s="168">
        <v>9</v>
      </c>
      <c r="BC12" s="212">
        <f t="shared" si="25"/>
        <v>512000</v>
      </c>
      <c r="BD12" s="185">
        <f t="shared" si="26"/>
        <v>1024000</v>
      </c>
      <c r="BE12" s="163">
        <f t="shared" si="27"/>
        <v>153600</v>
      </c>
      <c r="BG12" s="168">
        <v>9</v>
      </c>
      <c r="BH12" s="212">
        <f t="shared" si="28"/>
        <v>2560000</v>
      </c>
      <c r="BI12" s="185">
        <f t="shared" si="29"/>
        <v>5120000</v>
      </c>
      <c r="BJ12" s="163">
        <f t="shared" si="30"/>
        <v>1536000</v>
      </c>
      <c r="BL12" s="168">
        <v>9</v>
      </c>
      <c r="BM12" s="212">
        <f t="shared" si="31"/>
        <v>204800</v>
      </c>
      <c r="BN12" s="163">
        <f t="shared" si="32"/>
        <v>51200</v>
      </c>
      <c r="BP12" s="168">
        <v>9</v>
      </c>
      <c r="BQ12" s="212">
        <f t="shared" si="33"/>
        <v>51200</v>
      </c>
      <c r="BR12" s="163">
        <f t="shared" si="34"/>
        <v>153600</v>
      </c>
      <c r="BT12" s="168">
        <v>9</v>
      </c>
      <c r="BU12" s="22">
        <f t="shared" si="35"/>
        <v>512000</v>
      </c>
    </row>
    <row r="13" spans="2:79" ht="15.75" customHeight="1" thickTop="1" thickBot="1" x14ac:dyDescent="0.3">
      <c r="B13" s="290" t="s">
        <v>88</v>
      </c>
      <c r="C13" s="230" t="s">
        <v>57</v>
      </c>
      <c r="D13" s="22">
        <v>12</v>
      </c>
      <c r="F13" s="3">
        <v>10</v>
      </c>
      <c r="G13" s="4">
        <f t="shared" si="6"/>
        <v>409600</v>
      </c>
      <c r="H13" s="5">
        <f t="shared" si="7"/>
        <v>204800</v>
      </c>
      <c r="J13" s="168">
        <v>10</v>
      </c>
      <c r="K13" s="212">
        <f t="shared" si="8"/>
        <v>102400</v>
      </c>
      <c r="L13" s="163">
        <f t="shared" si="9"/>
        <v>51200</v>
      </c>
      <c r="N13" s="168">
        <v>10</v>
      </c>
      <c r="O13" s="212">
        <f t="shared" si="10"/>
        <v>512000</v>
      </c>
      <c r="P13" s="185">
        <f t="shared" si="11"/>
        <v>153600</v>
      </c>
      <c r="Q13" s="163">
        <f t="shared" si="12"/>
        <v>51200</v>
      </c>
      <c r="S13" s="168">
        <v>10</v>
      </c>
      <c r="T13" s="212">
        <f t="shared" si="13"/>
        <v>2048000</v>
      </c>
      <c r="U13" s="163">
        <f t="shared" si="14"/>
        <v>1024000</v>
      </c>
      <c r="W13" s="168">
        <v>10</v>
      </c>
      <c r="X13" s="212">
        <f t="shared" si="15"/>
        <v>1024000</v>
      </c>
      <c r="Y13" s="185">
        <f t="shared" si="16"/>
        <v>2048000</v>
      </c>
      <c r="Z13" s="163">
        <f t="shared" si="17"/>
        <v>512000</v>
      </c>
      <c r="AB13" s="168">
        <v>10</v>
      </c>
      <c r="AC13" s="212">
        <f t="shared" si="18"/>
        <v>102400</v>
      </c>
      <c r="AD13" s="185">
        <f t="shared" si="19"/>
        <v>512000</v>
      </c>
      <c r="AE13" s="163">
        <f t="shared" si="20"/>
        <v>102400</v>
      </c>
      <c r="AG13" s="168">
        <v>10</v>
      </c>
      <c r="AH13" s="212">
        <f t="shared" si="36"/>
        <v>204800</v>
      </c>
      <c r="AI13" s="163">
        <f t="shared" si="37"/>
        <v>307200</v>
      </c>
      <c r="AK13" s="168">
        <v>10</v>
      </c>
      <c r="AL13" s="217"/>
      <c r="AM13" s="118"/>
      <c r="AN13" s="119"/>
      <c r="AP13" s="168">
        <v>10</v>
      </c>
      <c r="AQ13" s="212">
        <f t="shared" si="21"/>
        <v>122880000</v>
      </c>
      <c r="AR13" s="229">
        <f t="shared" si="22"/>
        <v>204800000</v>
      </c>
      <c r="AS13" s="163">
        <f t="shared" si="23"/>
        <v>81920000</v>
      </c>
      <c r="AU13" s="168">
        <v>10</v>
      </c>
      <c r="AV13" s="221">
        <f t="shared" si="24"/>
        <v>153600000</v>
      </c>
      <c r="AX13" s="168">
        <v>10</v>
      </c>
      <c r="AY13" s="212">
        <f t="shared" si="38"/>
        <v>409600</v>
      </c>
      <c r="AZ13" s="163">
        <f t="shared" si="38"/>
        <v>614400</v>
      </c>
      <c r="BB13" s="168">
        <v>10</v>
      </c>
      <c r="BC13" s="212">
        <f t="shared" ref="BC13:BC18" si="39">BC12*2</f>
        <v>1024000</v>
      </c>
      <c r="BD13" s="185">
        <f t="shared" ref="BD13:BD18" si="40">BD12*2</f>
        <v>2048000</v>
      </c>
      <c r="BE13" s="163">
        <f t="shared" ref="BE13:BE18" si="41">BE12*2</f>
        <v>307200</v>
      </c>
      <c r="BG13" s="168">
        <v>10</v>
      </c>
      <c r="BH13" s="212">
        <f t="shared" si="28"/>
        <v>5120000</v>
      </c>
      <c r="BI13" s="185">
        <f t="shared" si="29"/>
        <v>10240000</v>
      </c>
      <c r="BJ13" s="163">
        <f t="shared" si="30"/>
        <v>3072000</v>
      </c>
      <c r="BL13" s="168">
        <v>10</v>
      </c>
      <c r="BM13" s="212">
        <f t="shared" si="31"/>
        <v>409600</v>
      </c>
      <c r="BN13" s="163">
        <f t="shared" si="32"/>
        <v>102400</v>
      </c>
      <c r="BP13" s="168">
        <v>10</v>
      </c>
      <c r="BQ13" s="212">
        <f t="shared" si="33"/>
        <v>102400</v>
      </c>
      <c r="BR13" s="163">
        <f t="shared" si="34"/>
        <v>307200</v>
      </c>
      <c r="BT13" s="168">
        <v>10</v>
      </c>
      <c r="BU13" s="22">
        <f t="shared" si="35"/>
        <v>1024000</v>
      </c>
    </row>
    <row r="14" spans="2:79" ht="15.75" customHeight="1" thickTop="1" thickBot="1" x14ac:dyDescent="0.3">
      <c r="B14" s="290"/>
      <c r="C14" s="230" t="s">
        <v>59</v>
      </c>
      <c r="D14" s="22">
        <v>10</v>
      </c>
      <c r="F14" s="3">
        <v>11</v>
      </c>
      <c r="G14" s="4">
        <f t="shared" si="6"/>
        <v>819200</v>
      </c>
      <c r="H14" s="5">
        <f t="shared" si="7"/>
        <v>409600</v>
      </c>
      <c r="J14" s="168">
        <v>11</v>
      </c>
      <c r="K14" s="212">
        <f t="shared" si="8"/>
        <v>204800</v>
      </c>
      <c r="L14" s="163">
        <f t="shared" si="9"/>
        <v>102400</v>
      </c>
      <c r="N14" s="168">
        <v>11</v>
      </c>
      <c r="O14" s="212">
        <f t="shared" si="10"/>
        <v>1024000</v>
      </c>
      <c r="P14" s="185">
        <f t="shared" si="11"/>
        <v>307200</v>
      </c>
      <c r="Q14" s="163">
        <f t="shared" si="12"/>
        <v>102400</v>
      </c>
      <c r="S14" s="168">
        <v>11</v>
      </c>
      <c r="T14" s="212">
        <f t="shared" si="13"/>
        <v>4096000</v>
      </c>
      <c r="U14" s="163">
        <f t="shared" si="14"/>
        <v>2048000</v>
      </c>
      <c r="W14" s="168">
        <v>11</v>
      </c>
      <c r="X14" s="212">
        <f t="shared" si="15"/>
        <v>2048000</v>
      </c>
      <c r="Y14" s="185">
        <f t="shared" si="16"/>
        <v>4096000</v>
      </c>
      <c r="Z14" s="163">
        <f t="shared" si="17"/>
        <v>1024000</v>
      </c>
      <c r="AB14" s="168">
        <v>11</v>
      </c>
      <c r="AC14" s="212">
        <f t="shared" si="18"/>
        <v>204800</v>
      </c>
      <c r="AD14" s="185">
        <f t="shared" si="19"/>
        <v>1024000</v>
      </c>
      <c r="AE14" s="163">
        <f t="shared" si="20"/>
        <v>204800</v>
      </c>
      <c r="AG14" s="168">
        <v>11</v>
      </c>
      <c r="AH14" s="212">
        <f t="shared" si="36"/>
        <v>409600</v>
      </c>
      <c r="AI14" s="163">
        <f t="shared" si="37"/>
        <v>614400</v>
      </c>
      <c r="AK14" s="168">
        <v>11</v>
      </c>
      <c r="AL14" s="217"/>
      <c r="AM14" s="118"/>
      <c r="AN14" s="119"/>
      <c r="AP14" s="168">
        <v>11</v>
      </c>
      <c r="AQ14" s="212">
        <f t="shared" si="21"/>
        <v>245760000</v>
      </c>
      <c r="AR14" s="229">
        <f t="shared" si="22"/>
        <v>409600000</v>
      </c>
      <c r="AS14" s="163">
        <f t="shared" si="23"/>
        <v>163840000</v>
      </c>
      <c r="AU14" s="168">
        <v>11</v>
      </c>
      <c r="AV14" s="221">
        <f t="shared" si="24"/>
        <v>307200000</v>
      </c>
      <c r="AX14" s="168">
        <v>11</v>
      </c>
      <c r="AY14" s="212">
        <f t="shared" si="38"/>
        <v>819200</v>
      </c>
      <c r="AZ14" s="163">
        <f t="shared" si="38"/>
        <v>1228800</v>
      </c>
      <c r="BB14" s="168">
        <v>11</v>
      </c>
      <c r="BC14" s="212">
        <f t="shared" si="39"/>
        <v>2048000</v>
      </c>
      <c r="BD14" s="185">
        <f t="shared" si="40"/>
        <v>4096000</v>
      </c>
      <c r="BE14" s="163">
        <f t="shared" si="41"/>
        <v>614400</v>
      </c>
      <c r="BG14" s="168">
        <v>11</v>
      </c>
      <c r="BH14" s="212">
        <f t="shared" si="28"/>
        <v>10240000</v>
      </c>
      <c r="BI14" s="185">
        <f t="shared" si="29"/>
        <v>20480000</v>
      </c>
      <c r="BJ14" s="163">
        <f t="shared" si="30"/>
        <v>6144000</v>
      </c>
      <c r="BL14" s="168">
        <v>11</v>
      </c>
      <c r="BM14" s="212">
        <f t="shared" si="31"/>
        <v>819200</v>
      </c>
      <c r="BN14" s="163">
        <f t="shared" si="32"/>
        <v>204800</v>
      </c>
      <c r="BP14" s="168">
        <v>11</v>
      </c>
      <c r="BQ14" s="212">
        <f t="shared" si="33"/>
        <v>204800</v>
      </c>
      <c r="BR14" s="163">
        <f t="shared" si="34"/>
        <v>614400</v>
      </c>
      <c r="BT14" s="168">
        <v>11</v>
      </c>
      <c r="BU14" s="22">
        <f t="shared" si="35"/>
        <v>2048000</v>
      </c>
    </row>
    <row r="15" spans="2:79" ht="15.75" customHeight="1" thickTop="1" thickBot="1" x14ac:dyDescent="0.3">
      <c r="B15" s="290"/>
      <c r="C15" s="230" t="s">
        <v>58</v>
      </c>
      <c r="D15" s="22">
        <v>8</v>
      </c>
      <c r="F15" s="3">
        <v>12</v>
      </c>
      <c r="G15" s="4">
        <f t="shared" si="6"/>
        <v>1638400</v>
      </c>
      <c r="H15" s="5">
        <f t="shared" si="7"/>
        <v>819200</v>
      </c>
      <c r="J15" s="168">
        <v>12</v>
      </c>
      <c r="K15" s="212">
        <f t="shared" si="8"/>
        <v>409600</v>
      </c>
      <c r="L15" s="163">
        <f t="shared" si="9"/>
        <v>204800</v>
      </c>
      <c r="N15" s="168">
        <v>12</v>
      </c>
      <c r="O15" s="212">
        <f t="shared" si="10"/>
        <v>2048000</v>
      </c>
      <c r="P15" s="185">
        <f t="shared" si="11"/>
        <v>614400</v>
      </c>
      <c r="Q15" s="163">
        <f t="shared" si="12"/>
        <v>204800</v>
      </c>
      <c r="S15" s="168">
        <v>12</v>
      </c>
      <c r="T15" s="212">
        <f t="shared" si="13"/>
        <v>8192000</v>
      </c>
      <c r="U15" s="163">
        <f t="shared" si="14"/>
        <v>4096000</v>
      </c>
      <c r="W15" s="168">
        <v>12</v>
      </c>
      <c r="X15" s="212">
        <f t="shared" si="15"/>
        <v>4096000</v>
      </c>
      <c r="Y15" s="185">
        <f t="shared" si="16"/>
        <v>8192000</v>
      </c>
      <c r="Z15" s="163">
        <f t="shared" si="17"/>
        <v>2048000</v>
      </c>
      <c r="AB15" s="168">
        <v>12</v>
      </c>
      <c r="AC15" s="212">
        <f t="shared" si="18"/>
        <v>409600</v>
      </c>
      <c r="AD15" s="185">
        <f t="shared" si="19"/>
        <v>2048000</v>
      </c>
      <c r="AE15" s="163">
        <f t="shared" si="20"/>
        <v>409600</v>
      </c>
      <c r="AG15" s="168">
        <v>12</v>
      </c>
      <c r="AH15" s="212">
        <f t="shared" si="36"/>
        <v>819200</v>
      </c>
      <c r="AI15" s="163">
        <f t="shared" si="37"/>
        <v>1228800</v>
      </c>
      <c r="AK15" s="168">
        <v>12</v>
      </c>
      <c r="AL15" s="217"/>
      <c r="AM15" s="118"/>
      <c r="AN15" s="119"/>
      <c r="AP15" s="168">
        <v>12</v>
      </c>
      <c r="AQ15" s="212">
        <f t="shared" si="21"/>
        <v>491520000</v>
      </c>
      <c r="AR15" s="229">
        <f t="shared" si="22"/>
        <v>819200000</v>
      </c>
      <c r="AS15" s="163">
        <f t="shared" si="23"/>
        <v>327680000</v>
      </c>
      <c r="AU15" s="168">
        <v>12</v>
      </c>
      <c r="AV15" s="221">
        <f t="shared" si="24"/>
        <v>614400000</v>
      </c>
      <c r="AX15" s="168">
        <v>12</v>
      </c>
      <c r="AY15" s="212">
        <f t="shared" si="38"/>
        <v>1638400</v>
      </c>
      <c r="AZ15" s="163">
        <f t="shared" si="38"/>
        <v>2457600</v>
      </c>
      <c r="BB15" s="168">
        <v>12</v>
      </c>
      <c r="BC15" s="212">
        <f t="shared" si="39"/>
        <v>4096000</v>
      </c>
      <c r="BD15" s="185">
        <f t="shared" si="40"/>
        <v>8192000</v>
      </c>
      <c r="BE15" s="163">
        <f t="shared" si="41"/>
        <v>1228800</v>
      </c>
      <c r="BG15" s="168">
        <v>12</v>
      </c>
      <c r="BH15" s="212">
        <f t="shared" si="28"/>
        <v>20480000</v>
      </c>
      <c r="BI15" s="185">
        <f t="shared" si="29"/>
        <v>40960000</v>
      </c>
      <c r="BJ15" s="163">
        <f t="shared" si="30"/>
        <v>12288000</v>
      </c>
      <c r="BL15" s="168">
        <v>12</v>
      </c>
      <c r="BM15" s="212">
        <f t="shared" si="31"/>
        <v>1638400</v>
      </c>
      <c r="BN15" s="163">
        <f t="shared" si="32"/>
        <v>409600</v>
      </c>
      <c r="BP15" s="168">
        <v>12</v>
      </c>
      <c r="BQ15" s="212">
        <f t="shared" si="33"/>
        <v>409600</v>
      </c>
      <c r="BR15" s="163">
        <f t="shared" si="34"/>
        <v>1228800</v>
      </c>
      <c r="BT15" s="168">
        <v>12</v>
      </c>
      <c r="BU15" s="22">
        <f t="shared" si="35"/>
        <v>4096000</v>
      </c>
    </row>
    <row r="16" spans="2:79" ht="15.75" customHeight="1" thickTop="1" thickBot="1" x14ac:dyDescent="0.3">
      <c r="B16" s="290" t="s">
        <v>92</v>
      </c>
      <c r="C16" s="230" t="s">
        <v>89</v>
      </c>
      <c r="D16" s="22">
        <v>13</v>
      </c>
      <c r="F16" s="3">
        <v>13</v>
      </c>
      <c r="G16" s="4">
        <f t="shared" si="6"/>
        <v>3276800</v>
      </c>
      <c r="H16" s="5">
        <f t="shared" si="7"/>
        <v>1638400</v>
      </c>
      <c r="J16" s="168">
        <v>13</v>
      </c>
      <c r="K16" s="212">
        <f t="shared" si="8"/>
        <v>819200</v>
      </c>
      <c r="L16" s="163">
        <f t="shared" si="9"/>
        <v>409600</v>
      </c>
      <c r="N16" s="168">
        <v>13</v>
      </c>
      <c r="O16" s="212">
        <f t="shared" si="10"/>
        <v>4096000</v>
      </c>
      <c r="P16" s="185">
        <f t="shared" si="11"/>
        <v>1228800</v>
      </c>
      <c r="Q16" s="163">
        <f t="shared" si="12"/>
        <v>409600</v>
      </c>
      <c r="S16" s="168">
        <v>13</v>
      </c>
      <c r="T16" s="212">
        <f t="shared" si="13"/>
        <v>16384000</v>
      </c>
      <c r="U16" s="163">
        <f t="shared" si="14"/>
        <v>8192000</v>
      </c>
      <c r="W16" s="168">
        <v>13</v>
      </c>
      <c r="X16" s="212">
        <f t="shared" si="15"/>
        <v>8192000</v>
      </c>
      <c r="Y16" s="185">
        <f t="shared" si="16"/>
        <v>16384000</v>
      </c>
      <c r="Z16" s="163">
        <f t="shared" si="17"/>
        <v>4096000</v>
      </c>
      <c r="AB16" s="168">
        <v>13</v>
      </c>
      <c r="AC16" s="212">
        <f t="shared" si="18"/>
        <v>819200</v>
      </c>
      <c r="AD16" s="185">
        <f t="shared" si="19"/>
        <v>4096000</v>
      </c>
      <c r="AE16" s="163">
        <f t="shared" si="20"/>
        <v>819200</v>
      </c>
      <c r="AG16" s="168">
        <v>13</v>
      </c>
      <c r="AH16" s="212">
        <f t="shared" si="36"/>
        <v>1638400</v>
      </c>
      <c r="AI16" s="163">
        <f t="shared" si="37"/>
        <v>2457600</v>
      </c>
      <c r="AK16" s="168">
        <v>13</v>
      </c>
      <c r="AL16" s="217"/>
      <c r="AM16" s="118"/>
      <c r="AN16" s="119"/>
      <c r="AP16" s="168">
        <v>13</v>
      </c>
      <c r="AQ16" s="212">
        <f t="shared" si="21"/>
        <v>983040000</v>
      </c>
      <c r="AR16" s="229">
        <f t="shared" si="22"/>
        <v>1638400000</v>
      </c>
      <c r="AS16" s="163">
        <f t="shared" si="23"/>
        <v>655360000</v>
      </c>
      <c r="AU16" s="168">
        <v>13</v>
      </c>
      <c r="AV16" s="221">
        <f t="shared" si="24"/>
        <v>1228800000</v>
      </c>
      <c r="AX16" s="168">
        <v>13</v>
      </c>
      <c r="AY16" s="212">
        <f t="shared" si="38"/>
        <v>3276800</v>
      </c>
      <c r="AZ16" s="163">
        <f t="shared" si="38"/>
        <v>4915200</v>
      </c>
      <c r="BB16" s="168">
        <v>13</v>
      </c>
      <c r="BC16" s="212">
        <f t="shared" si="39"/>
        <v>8192000</v>
      </c>
      <c r="BD16" s="185">
        <f t="shared" si="40"/>
        <v>16384000</v>
      </c>
      <c r="BE16" s="163">
        <f t="shared" si="41"/>
        <v>2457600</v>
      </c>
      <c r="BG16" s="168">
        <v>13</v>
      </c>
      <c r="BH16" s="212">
        <f t="shared" si="28"/>
        <v>40960000</v>
      </c>
      <c r="BI16" s="185">
        <f t="shared" si="29"/>
        <v>81920000</v>
      </c>
      <c r="BJ16" s="163">
        <f t="shared" si="30"/>
        <v>24576000</v>
      </c>
      <c r="BL16" s="168">
        <v>13</v>
      </c>
      <c r="BM16" s="212">
        <f t="shared" si="31"/>
        <v>3276800</v>
      </c>
      <c r="BN16" s="163">
        <f t="shared" si="32"/>
        <v>819200</v>
      </c>
      <c r="BP16" s="168">
        <v>13</v>
      </c>
      <c r="BQ16" s="212">
        <f t="shared" si="33"/>
        <v>819200</v>
      </c>
      <c r="BR16" s="163">
        <f t="shared" si="34"/>
        <v>2457600</v>
      </c>
      <c r="BT16" s="168">
        <v>13</v>
      </c>
      <c r="BU16" s="22">
        <f t="shared" si="35"/>
        <v>8192000</v>
      </c>
    </row>
    <row r="17" spans="2:73" ht="15.75" customHeight="1" thickTop="1" thickBot="1" x14ac:dyDescent="0.3">
      <c r="B17" s="290"/>
      <c r="C17" s="57" t="s">
        <v>90</v>
      </c>
      <c r="D17" s="22">
        <v>11</v>
      </c>
      <c r="F17" s="3">
        <v>14</v>
      </c>
      <c r="G17" s="4">
        <f t="shared" si="6"/>
        <v>6553600</v>
      </c>
      <c r="H17" s="5">
        <f t="shared" si="7"/>
        <v>3276800</v>
      </c>
      <c r="J17" s="168">
        <v>14</v>
      </c>
      <c r="K17" s="212">
        <f t="shared" si="8"/>
        <v>1638400</v>
      </c>
      <c r="L17" s="163">
        <f t="shared" si="9"/>
        <v>819200</v>
      </c>
      <c r="N17" s="168">
        <v>14</v>
      </c>
      <c r="O17" s="212">
        <f t="shared" si="10"/>
        <v>8192000</v>
      </c>
      <c r="P17" s="185">
        <f t="shared" si="11"/>
        <v>2457600</v>
      </c>
      <c r="Q17" s="163">
        <f t="shared" si="12"/>
        <v>819200</v>
      </c>
      <c r="S17" s="168">
        <v>14</v>
      </c>
      <c r="T17" s="212">
        <f t="shared" si="13"/>
        <v>32768000</v>
      </c>
      <c r="U17" s="163">
        <f t="shared" si="14"/>
        <v>16384000</v>
      </c>
      <c r="W17" s="168">
        <v>14</v>
      </c>
      <c r="X17" s="212">
        <f t="shared" si="15"/>
        <v>16384000</v>
      </c>
      <c r="Y17" s="185">
        <f t="shared" si="16"/>
        <v>32768000</v>
      </c>
      <c r="Z17" s="163">
        <f t="shared" si="17"/>
        <v>8192000</v>
      </c>
      <c r="AB17" s="168">
        <v>14</v>
      </c>
      <c r="AC17" s="212">
        <f t="shared" si="18"/>
        <v>1638400</v>
      </c>
      <c r="AD17" s="185">
        <f t="shared" si="19"/>
        <v>8192000</v>
      </c>
      <c r="AE17" s="163">
        <f t="shared" si="20"/>
        <v>1638400</v>
      </c>
      <c r="AG17" s="168">
        <v>14</v>
      </c>
      <c r="AH17" s="212">
        <f t="shared" si="36"/>
        <v>3276800</v>
      </c>
      <c r="AI17" s="163">
        <f t="shared" si="37"/>
        <v>4915200</v>
      </c>
      <c r="AK17" s="168">
        <v>14</v>
      </c>
      <c r="AL17" s="217"/>
      <c r="AM17" s="118"/>
      <c r="AN17" s="119"/>
      <c r="AP17" s="168">
        <v>14</v>
      </c>
      <c r="AQ17" s="212">
        <f t="shared" si="21"/>
        <v>1966080000</v>
      </c>
      <c r="AR17" s="229">
        <f t="shared" si="22"/>
        <v>3276800000</v>
      </c>
      <c r="AS17" s="163">
        <f t="shared" si="23"/>
        <v>1310720000</v>
      </c>
      <c r="AU17" s="168">
        <v>14</v>
      </c>
      <c r="AV17" s="221">
        <f t="shared" si="24"/>
        <v>2457600000</v>
      </c>
      <c r="AX17" s="168">
        <v>14</v>
      </c>
      <c r="AY17" s="212">
        <f t="shared" si="38"/>
        <v>6553600</v>
      </c>
      <c r="AZ17" s="163">
        <f t="shared" si="38"/>
        <v>9830400</v>
      </c>
      <c r="BB17" s="168">
        <v>14</v>
      </c>
      <c r="BC17" s="212">
        <f t="shared" si="39"/>
        <v>16384000</v>
      </c>
      <c r="BD17" s="185">
        <f t="shared" si="40"/>
        <v>32768000</v>
      </c>
      <c r="BE17" s="163">
        <f t="shared" si="41"/>
        <v>4915200</v>
      </c>
      <c r="BG17" s="168">
        <v>14</v>
      </c>
      <c r="BH17" s="212">
        <f t="shared" si="28"/>
        <v>81920000</v>
      </c>
      <c r="BI17" s="185">
        <f t="shared" si="29"/>
        <v>163840000</v>
      </c>
      <c r="BJ17" s="163">
        <f t="shared" si="30"/>
        <v>49152000</v>
      </c>
      <c r="BL17" s="168">
        <v>14</v>
      </c>
      <c r="BM17" s="212">
        <f t="shared" si="31"/>
        <v>6553600</v>
      </c>
      <c r="BN17" s="163">
        <f t="shared" si="32"/>
        <v>1638400</v>
      </c>
      <c r="BP17" s="168">
        <v>14</v>
      </c>
      <c r="BQ17" s="212">
        <f t="shared" si="33"/>
        <v>1638400</v>
      </c>
      <c r="BR17" s="163">
        <f t="shared" si="34"/>
        <v>4915200</v>
      </c>
      <c r="BT17" s="168">
        <v>14</v>
      </c>
      <c r="BU17" s="22">
        <f t="shared" si="35"/>
        <v>16384000</v>
      </c>
    </row>
    <row r="18" spans="2:73" ht="15.75" customHeight="1" thickTop="1" thickBot="1" x14ac:dyDescent="0.3">
      <c r="B18" s="290"/>
      <c r="C18" s="230" t="s">
        <v>91</v>
      </c>
      <c r="D18" s="23">
        <v>13</v>
      </c>
      <c r="F18" s="7">
        <v>15</v>
      </c>
      <c r="G18" s="15">
        <f t="shared" si="6"/>
        <v>13107200</v>
      </c>
      <c r="H18" s="16">
        <f t="shared" si="7"/>
        <v>6553600</v>
      </c>
      <c r="J18" s="169">
        <v>15</v>
      </c>
      <c r="K18" s="213">
        <f t="shared" si="8"/>
        <v>3276800</v>
      </c>
      <c r="L18" s="215">
        <f t="shared" si="9"/>
        <v>1638400</v>
      </c>
      <c r="N18" s="169">
        <v>15</v>
      </c>
      <c r="O18" s="213">
        <f t="shared" si="10"/>
        <v>16384000</v>
      </c>
      <c r="P18" s="214">
        <f t="shared" si="11"/>
        <v>4915200</v>
      </c>
      <c r="Q18" s="215">
        <f t="shared" si="12"/>
        <v>1638400</v>
      </c>
      <c r="S18" s="169">
        <v>15</v>
      </c>
      <c r="T18" s="213">
        <f t="shared" si="13"/>
        <v>65536000</v>
      </c>
      <c r="U18" s="215">
        <f t="shared" si="14"/>
        <v>32768000</v>
      </c>
      <c r="W18" s="169">
        <v>15</v>
      </c>
      <c r="X18" s="213">
        <f t="shared" si="15"/>
        <v>32768000</v>
      </c>
      <c r="Y18" s="214">
        <f t="shared" si="16"/>
        <v>65536000</v>
      </c>
      <c r="Z18" s="215">
        <f t="shared" si="17"/>
        <v>16384000</v>
      </c>
      <c r="AB18" s="169">
        <v>15</v>
      </c>
      <c r="AC18" s="213">
        <f t="shared" si="18"/>
        <v>3276800</v>
      </c>
      <c r="AD18" s="214">
        <f t="shared" si="19"/>
        <v>16384000</v>
      </c>
      <c r="AE18" s="215">
        <f t="shared" si="20"/>
        <v>3276800</v>
      </c>
      <c r="AG18" s="169">
        <v>15</v>
      </c>
      <c r="AH18" s="213">
        <f t="shared" si="36"/>
        <v>6553600</v>
      </c>
      <c r="AI18" s="215">
        <f t="shared" si="37"/>
        <v>9830400</v>
      </c>
      <c r="AK18" s="169">
        <v>15</v>
      </c>
      <c r="AL18" s="218"/>
      <c r="AM18" s="219"/>
      <c r="AN18" s="220"/>
      <c r="AP18" s="169">
        <v>15</v>
      </c>
      <c r="AQ18" s="213">
        <f t="shared" si="21"/>
        <v>3932160000</v>
      </c>
      <c r="AR18" s="214">
        <f t="shared" si="22"/>
        <v>6553600000</v>
      </c>
      <c r="AS18" s="215">
        <f t="shared" si="23"/>
        <v>2621440000</v>
      </c>
      <c r="AU18" s="169">
        <v>15</v>
      </c>
      <c r="AV18" s="222">
        <f t="shared" si="24"/>
        <v>4915200000</v>
      </c>
      <c r="AX18" s="169">
        <v>15</v>
      </c>
      <c r="AY18" s="213">
        <f t="shared" si="38"/>
        <v>13107200</v>
      </c>
      <c r="AZ18" s="215">
        <f t="shared" si="38"/>
        <v>19660800</v>
      </c>
      <c r="BB18" s="169">
        <v>15</v>
      </c>
      <c r="BC18" s="213">
        <f t="shared" si="39"/>
        <v>32768000</v>
      </c>
      <c r="BD18" s="214">
        <f t="shared" si="40"/>
        <v>65536000</v>
      </c>
      <c r="BE18" s="215">
        <f t="shared" si="41"/>
        <v>9830400</v>
      </c>
      <c r="BG18" s="169">
        <v>15</v>
      </c>
      <c r="BH18" s="213">
        <f t="shared" si="28"/>
        <v>163840000</v>
      </c>
      <c r="BI18" s="214">
        <f t="shared" si="29"/>
        <v>327680000</v>
      </c>
      <c r="BJ18" s="215">
        <f t="shared" si="30"/>
        <v>98304000</v>
      </c>
      <c r="BL18" s="169">
        <v>15</v>
      </c>
      <c r="BM18" s="213">
        <f t="shared" si="31"/>
        <v>13107200</v>
      </c>
      <c r="BN18" s="215">
        <f t="shared" si="32"/>
        <v>3276800</v>
      </c>
      <c r="BP18" s="169">
        <v>15</v>
      </c>
      <c r="BQ18" s="213">
        <f t="shared" si="33"/>
        <v>3276800</v>
      </c>
      <c r="BR18" s="215">
        <f t="shared" si="34"/>
        <v>9830400</v>
      </c>
      <c r="BT18" s="169">
        <v>15</v>
      </c>
      <c r="BU18" s="23">
        <f t="shared" si="35"/>
        <v>32768000</v>
      </c>
    </row>
    <row r="19" spans="2:73" ht="15.75" thickTop="1" x14ac:dyDescent="0.25">
      <c r="BG19" s="42"/>
      <c r="BH19" s="42"/>
      <c r="BI19" s="42"/>
      <c r="BJ19" s="42"/>
    </row>
    <row r="20" spans="2:73" x14ac:dyDescent="0.25">
      <c r="G20" s="1">
        <f>800*(2^(F5-1))</f>
        <v>1600</v>
      </c>
      <c r="H20" s="126"/>
      <c r="K20" s="126"/>
      <c r="L20" s="126"/>
      <c r="Y20" s="126"/>
      <c r="Z20" s="126"/>
      <c r="AH20" s="126"/>
      <c r="AI20" s="126"/>
      <c r="BI20" s="126"/>
      <c r="BJ20" s="126"/>
    </row>
    <row r="21" spans="2:73" x14ac:dyDescent="0.25">
      <c r="G21" s="126"/>
      <c r="AB21" s="2"/>
      <c r="AC21" s="2"/>
      <c r="BI21" s="126"/>
      <c r="BJ21" s="126"/>
    </row>
    <row r="22" spans="2:73" x14ac:dyDescent="0.25">
      <c r="G22" s="126"/>
      <c r="H22" s="126"/>
    </row>
    <row r="23" spans="2:73" x14ac:dyDescent="0.25">
      <c r="G23" s="126"/>
    </row>
    <row r="24" spans="2:73" x14ac:dyDescent="0.25">
      <c r="G24" s="126"/>
    </row>
    <row r="25" spans="2:73" x14ac:dyDescent="0.25">
      <c r="G25" s="126"/>
      <c r="AL25" s="126"/>
    </row>
    <row r="26" spans="2:73" x14ac:dyDescent="0.25">
      <c r="G26" s="126"/>
      <c r="AL26" s="126"/>
    </row>
    <row r="27" spans="2:73" x14ac:dyDescent="0.25">
      <c r="AL27" s="126"/>
    </row>
    <row r="28" spans="2:73" x14ac:dyDescent="0.25">
      <c r="AL28" s="126"/>
    </row>
    <row r="29" spans="2:73" x14ac:dyDescent="0.25">
      <c r="AL29" s="126"/>
    </row>
    <row r="30" spans="2:73" x14ac:dyDescent="0.25">
      <c r="AL30" s="126"/>
    </row>
    <row r="31" spans="2:73" x14ac:dyDescent="0.25">
      <c r="AL31" s="126"/>
    </row>
    <row r="52" spans="3:3" x14ac:dyDescent="0.25">
      <c r="C52" s="42"/>
    </row>
    <row r="53" spans="3:3" x14ac:dyDescent="0.25">
      <c r="C53" s="42"/>
    </row>
    <row r="54" spans="3:3" x14ac:dyDescent="0.25">
      <c r="C54" s="42"/>
    </row>
    <row r="55" spans="3:3" x14ac:dyDescent="0.25">
      <c r="C55" s="42"/>
    </row>
    <row r="56" spans="3:3" x14ac:dyDescent="0.25">
      <c r="C56" s="42"/>
    </row>
    <row r="57" spans="3:3" x14ac:dyDescent="0.25">
      <c r="C57" s="42"/>
    </row>
    <row r="58" spans="3:3" x14ac:dyDescent="0.25">
      <c r="C58" s="42"/>
    </row>
    <row r="59" spans="3:3" x14ac:dyDescent="0.25">
      <c r="C59" s="42"/>
    </row>
  </sheetData>
  <mergeCells count="20">
    <mergeCell ref="AX2:AZ2"/>
    <mergeCell ref="BB2:BE2"/>
    <mergeCell ref="BG2:BJ2"/>
    <mergeCell ref="BL2:BN2"/>
    <mergeCell ref="BT2:BU2"/>
    <mergeCell ref="BP2:BR2"/>
    <mergeCell ref="B3:B7"/>
    <mergeCell ref="B8:B12"/>
    <mergeCell ref="B13:B15"/>
    <mergeCell ref="B16:B18"/>
    <mergeCell ref="F2:H2"/>
    <mergeCell ref="AK2:AN2"/>
    <mergeCell ref="AB2:AE2"/>
    <mergeCell ref="AP2:AS2"/>
    <mergeCell ref="AU2:AV2"/>
    <mergeCell ref="J2:L2"/>
    <mergeCell ref="N2:Q2"/>
    <mergeCell ref="S2:U2"/>
    <mergeCell ref="W2:Z2"/>
    <mergeCell ref="AG2:AI2"/>
  </mergeCells>
  <conditionalFormatting sqref="K4:L18">
    <cfRule type="expression" priority="1">
      <formula>IF(MATCH($D$4,$J$4:$J$18,0),,"")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20"/>
  <sheetViews>
    <sheetView workbookViewId="0">
      <selection activeCell="N13" sqref="N13"/>
    </sheetView>
  </sheetViews>
  <sheetFormatPr defaultRowHeight="15" x14ac:dyDescent="0.25"/>
  <cols>
    <col min="6" max="6" width="10.5703125" bestFit="1" customWidth="1"/>
    <col min="15" max="15" width="11" bestFit="1" customWidth="1"/>
  </cols>
  <sheetData>
    <row r="2" spans="4:16" ht="15.75" thickBot="1" x14ac:dyDescent="0.3"/>
    <row r="3" spans="4:16" ht="16.5" thickTop="1" thickBot="1" x14ac:dyDescent="0.3">
      <c r="D3" s="285" t="s">
        <v>93</v>
      </c>
      <c r="E3" s="285"/>
      <c r="F3" s="285"/>
    </row>
    <row r="4" spans="4:16" ht="16.5" thickTop="1" thickBot="1" x14ac:dyDescent="0.3">
      <c r="D4" s="224" t="s">
        <v>63</v>
      </c>
      <c r="E4" s="224" t="s">
        <v>1</v>
      </c>
      <c r="F4" s="224" t="s">
        <v>66</v>
      </c>
      <c r="J4" t="s">
        <v>177</v>
      </c>
      <c r="K4">
        <v>5</v>
      </c>
      <c r="O4" t="s">
        <v>1</v>
      </c>
      <c r="P4" t="s">
        <v>178</v>
      </c>
    </row>
    <row r="5" spans="4:16" ht="16.5" thickTop="1" thickBot="1" x14ac:dyDescent="0.3">
      <c r="D5" s="225">
        <v>1</v>
      </c>
      <c r="E5" s="226">
        <v>800</v>
      </c>
      <c r="F5" s="227">
        <v>400</v>
      </c>
      <c r="J5" t="s">
        <v>1</v>
      </c>
      <c r="K5">
        <v>800</v>
      </c>
    </row>
    <row r="6" spans="4:16" ht="15.75" thickBot="1" x14ac:dyDescent="0.3">
      <c r="D6" s="3">
        <v>2</v>
      </c>
      <c r="E6" s="4">
        <f>E5*2</f>
        <v>1600</v>
      </c>
      <c r="F6" s="5">
        <f>F5*2</f>
        <v>800</v>
      </c>
      <c r="J6" t="s">
        <v>178</v>
      </c>
      <c r="K6">
        <v>400</v>
      </c>
    </row>
    <row r="7" spans="4:16" ht="15.75" thickBot="1" x14ac:dyDescent="0.3">
      <c r="D7" s="3">
        <v>3</v>
      </c>
      <c r="E7" s="4">
        <f t="shared" ref="E7:F19" si="0">E6*2</f>
        <v>3200</v>
      </c>
      <c r="F7" s="5">
        <f t="shared" si="0"/>
        <v>1600</v>
      </c>
    </row>
    <row r="8" spans="4:16" ht="15.75" thickBot="1" x14ac:dyDescent="0.3">
      <c r="D8" s="3">
        <v>4</v>
      </c>
      <c r="E8" s="4">
        <f t="shared" si="0"/>
        <v>6400</v>
      </c>
      <c r="F8" s="5">
        <f t="shared" si="0"/>
        <v>3200</v>
      </c>
    </row>
    <row r="9" spans="4:16" ht="15.75" thickBot="1" x14ac:dyDescent="0.3">
      <c r="D9" s="3">
        <v>5</v>
      </c>
      <c r="E9" s="4">
        <f t="shared" si="0"/>
        <v>12800</v>
      </c>
      <c r="F9" s="5">
        <f t="shared" si="0"/>
        <v>6400</v>
      </c>
    </row>
    <row r="10" spans="4:16" ht="15.75" thickBot="1" x14ac:dyDescent="0.3">
      <c r="D10" s="3">
        <v>6</v>
      </c>
      <c r="E10" s="4">
        <f t="shared" si="0"/>
        <v>25600</v>
      </c>
      <c r="F10" s="5">
        <f t="shared" si="0"/>
        <v>12800</v>
      </c>
    </row>
    <row r="11" spans="4:16" ht="15.75" thickBot="1" x14ac:dyDescent="0.3">
      <c r="D11" s="3">
        <v>7</v>
      </c>
      <c r="E11" s="4">
        <f t="shared" si="0"/>
        <v>51200</v>
      </c>
      <c r="F11" s="5">
        <f t="shared" si="0"/>
        <v>25600</v>
      </c>
    </row>
    <row r="12" spans="4:16" ht="15.75" thickBot="1" x14ac:dyDescent="0.3">
      <c r="D12" s="3">
        <v>8</v>
      </c>
      <c r="E12" s="4">
        <f t="shared" si="0"/>
        <v>102400</v>
      </c>
      <c r="F12" s="5">
        <f t="shared" si="0"/>
        <v>51200</v>
      </c>
    </row>
    <row r="13" spans="4:16" ht="15.75" thickBot="1" x14ac:dyDescent="0.3">
      <c r="D13" s="3">
        <v>9</v>
      </c>
      <c r="E13" s="4">
        <f t="shared" si="0"/>
        <v>204800</v>
      </c>
      <c r="F13" s="5">
        <f t="shared" si="0"/>
        <v>102400</v>
      </c>
    </row>
    <row r="14" spans="4:16" ht="15.75" thickBot="1" x14ac:dyDescent="0.3">
      <c r="D14" s="3">
        <v>10</v>
      </c>
      <c r="E14" s="4">
        <f t="shared" si="0"/>
        <v>409600</v>
      </c>
      <c r="F14" s="5">
        <f t="shared" si="0"/>
        <v>204800</v>
      </c>
    </row>
    <row r="15" spans="4:16" ht="15.75" thickBot="1" x14ac:dyDescent="0.3">
      <c r="D15" s="3">
        <v>11</v>
      </c>
      <c r="E15" s="4">
        <f t="shared" si="0"/>
        <v>819200</v>
      </c>
      <c r="F15" s="5">
        <f t="shared" si="0"/>
        <v>409600</v>
      </c>
    </row>
    <row r="16" spans="4:16" ht="15.75" thickBot="1" x14ac:dyDescent="0.3">
      <c r="D16" s="3">
        <v>12</v>
      </c>
      <c r="E16" s="4">
        <f t="shared" si="0"/>
        <v>1638400</v>
      </c>
      <c r="F16" s="5">
        <f t="shared" si="0"/>
        <v>819200</v>
      </c>
    </row>
    <row r="17" spans="4:6" ht="15.75" thickBot="1" x14ac:dyDescent="0.3">
      <c r="D17" s="3">
        <v>13</v>
      </c>
      <c r="E17" s="4">
        <f t="shared" si="0"/>
        <v>3276800</v>
      </c>
      <c r="F17" s="5">
        <f t="shared" si="0"/>
        <v>1638400</v>
      </c>
    </row>
    <row r="18" spans="4:6" ht="15.75" thickBot="1" x14ac:dyDescent="0.3">
      <c r="D18" s="3">
        <v>14</v>
      </c>
      <c r="E18" s="4">
        <f t="shared" si="0"/>
        <v>6553600</v>
      </c>
      <c r="F18" s="5">
        <f t="shared" si="0"/>
        <v>3276800</v>
      </c>
    </row>
    <row r="19" spans="4:6" ht="15.75" thickBot="1" x14ac:dyDescent="0.3">
      <c r="D19" s="7">
        <v>15</v>
      </c>
      <c r="E19" s="15">
        <f t="shared" si="0"/>
        <v>13107200</v>
      </c>
      <c r="F19" s="16">
        <f t="shared" si="0"/>
        <v>6553600</v>
      </c>
    </row>
    <row r="20" spans="4:6" ht="15.75" thickTop="1" x14ac:dyDescent="0.25"/>
  </sheetData>
  <mergeCells count="1">
    <mergeCell ref="D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zoomScaleNormal="100" workbookViewId="0">
      <pane ySplit="1" topLeftCell="A2" activePane="bottomLeft" state="frozen"/>
      <selection activeCell="B1" sqref="B1"/>
      <selection pane="bottomLeft" activeCell="X12" sqref="X12"/>
    </sheetView>
  </sheetViews>
  <sheetFormatPr defaultRowHeight="15" x14ac:dyDescent="0.25"/>
  <cols>
    <col min="1" max="1" width="3" style="126" customWidth="1"/>
    <col min="2" max="2" width="9.140625" style="126"/>
    <col min="3" max="3" width="21.5703125" style="126" bestFit="1" customWidth="1"/>
    <col min="4" max="4" width="8.28515625" style="164" bestFit="1" customWidth="1"/>
    <col min="5" max="5" width="9.28515625" style="164" customWidth="1"/>
    <col min="6" max="6" width="6.85546875" style="126" bestFit="1" customWidth="1"/>
    <col min="7" max="7" width="7.85546875" style="164" bestFit="1" customWidth="1"/>
    <col min="8" max="8" width="8" style="126" customWidth="1"/>
    <col min="9" max="9" width="7.5703125" style="164" bestFit="1" customWidth="1"/>
    <col min="10" max="10" width="9.28515625" style="126" customWidth="1"/>
    <col min="11" max="11" width="8.140625" style="164" bestFit="1" customWidth="1"/>
    <col min="12" max="12" width="7" style="126" bestFit="1" customWidth="1"/>
    <col min="13" max="13" width="6.5703125" style="164" bestFit="1" customWidth="1"/>
    <col min="14" max="14" width="8.28515625" style="164" bestFit="1" customWidth="1"/>
    <col min="15" max="15" width="8.140625" style="164" bestFit="1" customWidth="1"/>
    <col min="16" max="16" width="9.5703125" style="126" customWidth="1"/>
    <col min="17" max="17" width="7.140625" style="164" customWidth="1"/>
    <col min="18" max="18" width="10.28515625" style="126" customWidth="1"/>
    <col min="19" max="19" width="8.5703125" style="164" bestFit="1" customWidth="1"/>
    <col min="20" max="20" width="8.140625" style="126" bestFit="1" customWidth="1"/>
    <col min="21" max="16384" width="9.140625" style="126"/>
  </cols>
  <sheetData>
    <row r="1" spans="2:20" ht="61.5" thickTop="1" thickBot="1" x14ac:dyDescent="0.3">
      <c r="C1" s="129"/>
      <c r="D1" s="166" t="s">
        <v>52</v>
      </c>
      <c r="E1" s="165" t="s">
        <v>53</v>
      </c>
      <c r="F1" s="166" t="s">
        <v>81</v>
      </c>
      <c r="G1" s="165" t="s">
        <v>82</v>
      </c>
      <c r="H1" s="166" t="s">
        <v>83</v>
      </c>
      <c r="I1" s="165" t="s">
        <v>85</v>
      </c>
      <c r="J1" s="166" t="s">
        <v>56</v>
      </c>
      <c r="K1" s="165" t="s">
        <v>57</v>
      </c>
      <c r="L1" s="166" t="s">
        <v>59</v>
      </c>
      <c r="M1" s="165" t="s">
        <v>58</v>
      </c>
      <c r="N1" s="166" t="s">
        <v>89</v>
      </c>
      <c r="O1" s="165" t="s">
        <v>90</v>
      </c>
      <c r="P1" s="166" t="s">
        <v>91</v>
      </c>
      <c r="Q1" s="165" t="s">
        <v>47</v>
      </c>
      <c r="R1" s="166" t="s">
        <v>48</v>
      </c>
      <c r="S1" s="165" t="s">
        <v>46</v>
      </c>
      <c r="T1" s="166" t="s">
        <v>49</v>
      </c>
    </row>
    <row r="2" spans="2:20" ht="15" customHeight="1" thickTop="1" thickBot="1" x14ac:dyDescent="0.3">
      <c r="B2" s="291" t="s">
        <v>37</v>
      </c>
      <c r="C2" s="167" t="s">
        <v>9</v>
      </c>
      <c r="D2" s="175">
        <v>1</v>
      </c>
      <c r="E2" s="179"/>
      <c r="F2" s="179"/>
      <c r="G2" s="179"/>
      <c r="H2" s="179"/>
      <c r="I2" s="179"/>
      <c r="J2" s="179"/>
      <c r="K2" s="172">
        <v>1</v>
      </c>
      <c r="L2" s="179"/>
      <c r="M2" s="179"/>
      <c r="N2" s="179"/>
      <c r="O2" s="179"/>
      <c r="P2" s="179"/>
      <c r="Q2" s="172">
        <v>1</v>
      </c>
      <c r="R2" s="175">
        <v>1</v>
      </c>
      <c r="S2" s="172">
        <v>2</v>
      </c>
      <c r="T2" s="176"/>
    </row>
    <row r="3" spans="2:20" ht="15.75" thickBot="1" x14ac:dyDescent="0.3">
      <c r="B3" s="291"/>
      <c r="C3" s="168" t="s">
        <v>10</v>
      </c>
      <c r="D3" s="170">
        <v>1</v>
      </c>
      <c r="E3" s="177"/>
      <c r="F3" s="177"/>
      <c r="G3" s="177"/>
      <c r="H3" s="177"/>
      <c r="I3" s="177"/>
      <c r="J3" s="177"/>
      <c r="K3" s="177"/>
      <c r="L3" s="170">
        <v>2</v>
      </c>
      <c r="M3" s="177"/>
      <c r="N3" s="177"/>
      <c r="O3" s="177"/>
      <c r="P3" s="170">
        <v>2</v>
      </c>
      <c r="Q3" s="173">
        <v>3</v>
      </c>
      <c r="R3" s="170">
        <v>2</v>
      </c>
      <c r="S3" s="173">
        <v>2</v>
      </c>
      <c r="T3" s="177"/>
    </row>
    <row r="4" spans="2:20" ht="15.75" thickBot="1" x14ac:dyDescent="0.3">
      <c r="B4" s="291"/>
      <c r="C4" s="168" t="s">
        <v>11</v>
      </c>
      <c r="D4" s="170">
        <v>4</v>
      </c>
      <c r="E4" s="173">
        <v>5</v>
      </c>
      <c r="F4" s="170">
        <v>2</v>
      </c>
      <c r="G4" s="177"/>
      <c r="H4" s="177"/>
      <c r="I4" s="177"/>
      <c r="J4" s="177"/>
      <c r="K4" s="177"/>
      <c r="L4" s="170">
        <v>4</v>
      </c>
      <c r="M4" s="177"/>
      <c r="N4" s="177"/>
      <c r="O4" s="177"/>
      <c r="P4" s="177"/>
      <c r="Q4" s="173">
        <v>5</v>
      </c>
      <c r="R4" s="170">
        <v>4</v>
      </c>
      <c r="S4" s="173">
        <v>2</v>
      </c>
      <c r="T4" s="177"/>
    </row>
    <row r="5" spans="2:20" ht="15.75" thickBot="1" x14ac:dyDescent="0.3">
      <c r="B5" s="291"/>
      <c r="C5" s="168" t="s">
        <v>12</v>
      </c>
      <c r="D5" s="170">
        <v>5</v>
      </c>
      <c r="E5" s="177"/>
      <c r="F5" s="177"/>
      <c r="G5" s="173">
        <v>3</v>
      </c>
      <c r="H5" s="177"/>
      <c r="I5" s="177"/>
      <c r="J5" s="177"/>
      <c r="K5" s="177"/>
      <c r="L5" s="177"/>
      <c r="M5" s="173">
        <v>4</v>
      </c>
      <c r="N5" s="177"/>
      <c r="O5" s="173">
        <v>5</v>
      </c>
      <c r="P5" s="177"/>
      <c r="Q5" s="173">
        <v>7</v>
      </c>
      <c r="R5" s="170">
        <v>7</v>
      </c>
      <c r="S5" s="173">
        <v>2</v>
      </c>
      <c r="T5" s="177"/>
    </row>
    <row r="6" spans="2:20" ht="15.75" thickBot="1" x14ac:dyDescent="0.3">
      <c r="B6" s="291"/>
      <c r="C6" s="168" t="s">
        <v>13</v>
      </c>
      <c r="D6" s="170">
        <v>7</v>
      </c>
      <c r="E6" s="173">
        <v>12</v>
      </c>
      <c r="F6" s="177"/>
      <c r="G6" s="173">
        <v>5</v>
      </c>
      <c r="H6" s="177"/>
      <c r="I6" s="177"/>
      <c r="J6" s="177"/>
      <c r="K6" s="177"/>
      <c r="L6" s="177"/>
      <c r="M6" s="173">
        <v>5</v>
      </c>
      <c r="N6" s="177"/>
      <c r="O6" s="173">
        <v>5</v>
      </c>
      <c r="P6" s="177"/>
      <c r="Q6" s="173">
        <v>8</v>
      </c>
      <c r="R6" s="170">
        <v>7</v>
      </c>
      <c r="S6" s="173">
        <v>2</v>
      </c>
      <c r="T6" s="177"/>
    </row>
    <row r="7" spans="2:20" ht="15.75" thickBot="1" x14ac:dyDescent="0.3">
      <c r="B7" s="291"/>
      <c r="C7" s="168" t="s">
        <v>14</v>
      </c>
      <c r="D7" s="170">
        <v>8</v>
      </c>
      <c r="E7" s="173">
        <v>10</v>
      </c>
      <c r="F7" s="170">
        <v>5</v>
      </c>
      <c r="G7" s="177"/>
      <c r="H7" s="170">
        <v>5</v>
      </c>
      <c r="I7" s="177"/>
      <c r="J7" s="177"/>
      <c r="K7" s="177"/>
      <c r="L7" s="170">
        <v>6</v>
      </c>
      <c r="M7" s="177"/>
      <c r="N7" s="177"/>
      <c r="O7" s="177"/>
      <c r="P7" s="177"/>
      <c r="Q7" s="173">
        <v>8</v>
      </c>
      <c r="R7" s="170">
        <v>4</v>
      </c>
      <c r="S7" s="173">
        <v>2</v>
      </c>
      <c r="T7" s="177"/>
    </row>
    <row r="8" spans="2:20" ht="15.75" thickBot="1" x14ac:dyDescent="0.3">
      <c r="B8" s="291"/>
      <c r="C8" s="168" t="s">
        <v>15</v>
      </c>
      <c r="D8" s="170">
        <v>5</v>
      </c>
      <c r="E8" s="177"/>
      <c r="F8" s="177"/>
      <c r="G8" s="173">
        <v>5</v>
      </c>
      <c r="H8" s="177"/>
      <c r="I8" s="177"/>
      <c r="J8" s="177"/>
      <c r="K8" s="177"/>
      <c r="L8" s="177"/>
      <c r="M8" s="173">
        <v>6</v>
      </c>
      <c r="N8" s="177"/>
      <c r="O8" s="173">
        <v>5</v>
      </c>
      <c r="P8" s="177"/>
      <c r="Q8" s="173">
        <v>9</v>
      </c>
      <c r="R8" s="170">
        <v>7</v>
      </c>
      <c r="S8" s="173">
        <v>2</v>
      </c>
      <c r="T8" s="177"/>
    </row>
    <row r="9" spans="2:20" ht="15.75" thickBot="1" x14ac:dyDescent="0.3">
      <c r="B9" s="291"/>
      <c r="C9" s="168" t="s">
        <v>16</v>
      </c>
      <c r="D9" s="170">
        <v>1</v>
      </c>
      <c r="E9" s="177"/>
      <c r="F9" s="177"/>
      <c r="G9" s="173">
        <v>6</v>
      </c>
      <c r="H9" s="177"/>
      <c r="I9" s="177"/>
      <c r="J9" s="170">
        <v>1</v>
      </c>
      <c r="K9" s="177"/>
      <c r="L9" s="177"/>
      <c r="M9" s="173">
        <v>7</v>
      </c>
      <c r="N9" s="177"/>
      <c r="O9" s="173">
        <v>5</v>
      </c>
      <c r="P9" s="177"/>
      <c r="Q9" s="173">
        <v>12</v>
      </c>
      <c r="R9" s="170">
        <v>12</v>
      </c>
      <c r="S9" s="173">
        <v>2</v>
      </c>
      <c r="T9" s="177"/>
    </row>
    <row r="10" spans="2:20" ht="15.75" thickBot="1" x14ac:dyDescent="0.3">
      <c r="B10" s="291"/>
      <c r="C10" s="168" t="s">
        <v>17</v>
      </c>
      <c r="D10" s="170">
        <v>1</v>
      </c>
      <c r="E10" s="177"/>
      <c r="F10" s="177"/>
      <c r="G10" s="177"/>
      <c r="H10" s="177"/>
      <c r="I10" s="177"/>
      <c r="J10" s="177"/>
      <c r="K10" s="173">
        <v>2</v>
      </c>
      <c r="L10" s="177"/>
      <c r="M10" s="177"/>
      <c r="N10" s="177"/>
      <c r="O10" s="177"/>
      <c r="P10" s="177"/>
      <c r="Q10" s="173">
        <v>2</v>
      </c>
      <c r="R10" s="170">
        <v>1</v>
      </c>
      <c r="S10" s="173">
        <v>2</v>
      </c>
      <c r="T10" s="177"/>
    </row>
    <row r="11" spans="2:20" ht="15.75" thickBot="1" x14ac:dyDescent="0.3">
      <c r="B11" s="291"/>
      <c r="C11" s="168" t="s">
        <v>18</v>
      </c>
      <c r="D11" s="170">
        <v>1</v>
      </c>
      <c r="E11" s="177"/>
      <c r="F11" s="177"/>
      <c r="G11" s="177"/>
      <c r="H11" s="177"/>
      <c r="I11" s="177"/>
      <c r="J11" s="177"/>
      <c r="K11" s="173">
        <v>6</v>
      </c>
      <c r="L11" s="177"/>
      <c r="M11" s="177"/>
      <c r="N11" s="177"/>
      <c r="O11" s="177"/>
      <c r="P11" s="177"/>
      <c r="Q11" s="173">
        <v>4</v>
      </c>
      <c r="R11" s="170">
        <v>1</v>
      </c>
      <c r="S11" s="173">
        <v>2</v>
      </c>
      <c r="T11" s="177"/>
    </row>
    <row r="12" spans="2:20" ht="15.75" thickBot="1" x14ac:dyDescent="0.3">
      <c r="B12" s="291"/>
      <c r="C12" s="168" t="s">
        <v>19</v>
      </c>
      <c r="D12" s="170">
        <v>3</v>
      </c>
      <c r="E12" s="177"/>
      <c r="F12" s="177"/>
      <c r="G12" s="177"/>
      <c r="H12" s="177"/>
      <c r="I12" s="177"/>
      <c r="J12" s="177"/>
      <c r="K12" s="173">
        <v>6</v>
      </c>
      <c r="L12" s="177"/>
      <c r="M12" s="177"/>
      <c r="N12" s="177"/>
      <c r="O12" s="173">
        <v>2</v>
      </c>
      <c r="P12" s="177"/>
      <c r="Q12" s="173">
        <v>4</v>
      </c>
      <c r="R12" s="170">
        <v>6</v>
      </c>
      <c r="S12" s="173">
        <v>2</v>
      </c>
      <c r="T12" s="177"/>
    </row>
    <row r="13" spans="2:20" ht="15.75" thickBot="1" x14ac:dyDescent="0.3">
      <c r="B13" s="291"/>
      <c r="C13" s="168" t="s">
        <v>20</v>
      </c>
      <c r="D13" s="170">
        <v>1</v>
      </c>
      <c r="E13" s="177"/>
      <c r="F13" s="177"/>
      <c r="G13" s="177"/>
      <c r="H13" s="177"/>
      <c r="I13" s="173">
        <v>2</v>
      </c>
      <c r="J13" s="177"/>
      <c r="K13" s="173">
        <v>3</v>
      </c>
      <c r="L13" s="177"/>
      <c r="M13" s="177"/>
      <c r="N13" s="177"/>
      <c r="O13" s="177"/>
      <c r="P13" s="177"/>
      <c r="Q13" s="173">
        <v>3</v>
      </c>
      <c r="R13" s="170">
        <v>3</v>
      </c>
      <c r="S13" s="173">
        <v>2</v>
      </c>
      <c r="T13" s="177"/>
    </row>
    <row r="14" spans="2:20" ht="15.75" thickBot="1" x14ac:dyDescent="0.3">
      <c r="B14" s="291" t="s">
        <v>61</v>
      </c>
      <c r="C14" s="168" t="s">
        <v>21</v>
      </c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3">
        <v>1</v>
      </c>
      <c r="R14" s="177"/>
      <c r="S14" s="173">
        <v>2</v>
      </c>
      <c r="T14" s="177"/>
    </row>
    <row r="15" spans="2:20" ht="15.75" thickBot="1" x14ac:dyDescent="0.3">
      <c r="B15" s="291"/>
      <c r="C15" s="168" t="s">
        <v>22</v>
      </c>
      <c r="D15" s="170">
        <v>2</v>
      </c>
      <c r="E15" s="173">
        <v>3</v>
      </c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3">
        <v>2</v>
      </c>
      <c r="R15" s="170">
        <v>1</v>
      </c>
      <c r="S15" s="173">
        <v>2</v>
      </c>
      <c r="T15" s="177"/>
    </row>
    <row r="16" spans="2:20" ht="15.75" thickBot="1" x14ac:dyDescent="0.3">
      <c r="B16" s="291"/>
      <c r="C16" s="168" t="s">
        <v>23</v>
      </c>
      <c r="D16" s="170">
        <v>3</v>
      </c>
      <c r="E16" s="173">
        <v>6</v>
      </c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3">
        <v>4</v>
      </c>
      <c r="R16" s="177"/>
      <c r="S16" s="173">
        <v>2</v>
      </c>
      <c r="T16" s="177"/>
    </row>
    <row r="17" spans="2:20" ht="15.75" thickBot="1" x14ac:dyDescent="0.3">
      <c r="B17" s="291"/>
      <c r="C17" s="168" t="s">
        <v>24</v>
      </c>
      <c r="D17" s="170">
        <v>5</v>
      </c>
      <c r="E17" s="177"/>
      <c r="F17" s="177"/>
      <c r="G17" s="177"/>
      <c r="H17" s="177"/>
      <c r="I17" s="177"/>
      <c r="J17" s="177"/>
      <c r="K17" s="177"/>
      <c r="L17" s="177"/>
      <c r="M17" s="177"/>
      <c r="N17" s="170">
        <v>3</v>
      </c>
      <c r="O17" s="173">
        <v>1</v>
      </c>
      <c r="P17" s="177"/>
      <c r="Q17" s="173">
        <v>6</v>
      </c>
      <c r="R17" s="170">
        <v>6</v>
      </c>
      <c r="S17" s="173">
        <v>2</v>
      </c>
      <c r="T17" s="177"/>
    </row>
    <row r="18" spans="2:20" ht="15.75" thickBot="1" x14ac:dyDescent="0.3">
      <c r="B18" s="291"/>
      <c r="C18" s="168" t="s">
        <v>25</v>
      </c>
      <c r="D18" s="170">
        <v>4</v>
      </c>
      <c r="E18" s="173">
        <v>5</v>
      </c>
      <c r="F18" s="170">
        <v>4</v>
      </c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3">
        <v>4</v>
      </c>
      <c r="R18" s="170">
        <v>4</v>
      </c>
      <c r="S18" s="173">
        <v>2</v>
      </c>
      <c r="T18" s="177"/>
    </row>
    <row r="19" spans="2:20" ht="15.75" thickBot="1" x14ac:dyDescent="0.3">
      <c r="B19" s="291"/>
      <c r="C19" s="168" t="s">
        <v>26</v>
      </c>
      <c r="D19" s="170">
        <v>8</v>
      </c>
      <c r="E19" s="173">
        <v>10</v>
      </c>
      <c r="F19" s="170">
        <v>5</v>
      </c>
      <c r="G19" s="177"/>
      <c r="H19" s="170">
        <v>7</v>
      </c>
      <c r="I19" s="177"/>
      <c r="J19" s="177"/>
      <c r="K19" s="177"/>
      <c r="L19" s="177"/>
      <c r="M19" s="177"/>
      <c r="N19" s="177"/>
      <c r="O19" s="177"/>
      <c r="P19" s="177"/>
      <c r="Q19" s="173">
        <v>8</v>
      </c>
      <c r="R19" s="170">
        <v>4</v>
      </c>
      <c r="S19" s="173">
        <v>2</v>
      </c>
      <c r="T19" s="177"/>
    </row>
    <row r="20" spans="2:20" ht="15.75" thickBot="1" x14ac:dyDescent="0.3">
      <c r="B20" s="291"/>
      <c r="C20" s="168" t="s">
        <v>27</v>
      </c>
      <c r="D20" s="170">
        <v>3</v>
      </c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3">
        <v>2</v>
      </c>
      <c r="P20" s="177"/>
      <c r="Q20" s="173">
        <v>1</v>
      </c>
      <c r="R20" s="170">
        <v>6</v>
      </c>
      <c r="S20" s="173">
        <v>2</v>
      </c>
      <c r="T20" s="177"/>
    </row>
    <row r="21" spans="2:20" ht="15.75" thickBot="1" x14ac:dyDescent="0.3">
      <c r="B21" s="291"/>
      <c r="C21" s="168" t="s">
        <v>28</v>
      </c>
      <c r="D21" s="170">
        <v>3</v>
      </c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3">
        <v>6</v>
      </c>
      <c r="P21" s="177"/>
      <c r="Q21" s="173">
        <v>6</v>
      </c>
      <c r="R21" s="170">
        <v>6</v>
      </c>
      <c r="S21" s="173">
        <v>2</v>
      </c>
      <c r="T21" s="177"/>
    </row>
    <row r="22" spans="2:20" ht="15.75" thickBot="1" x14ac:dyDescent="0.3">
      <c r="B22" s="291"/>
      <c r="C22" s="168" t="s">
        <v>29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3">
        <v>1</v>
      </c>
      <c r="R22" s="177"/>
      <c r="S22" s="173">
        <v>2</v>
      </c>
      <c r="T22" s="170">
        <v>2</v>
      </c>
    </row>
    <row r="23" spans="2:20" ht="15.75" thickBot="1" x14ac:dyDescent="0.3">
      <c r="B23" s="291"/>
      <c r="C23" s="169" t="s">
        <v>30</v>
      </c>
      <c r="D23" s="171">
        <v>1</v>
      </c>
      <c r="E23" s="178"/>
      <c r="F23" s="178"/>
      <c r="G23" s="178"/>
      <c r="H23" s="178"/>
      <c r="I23" s="178"/>
      <c r="J23" s="178"/>
      <c r="K23" s="178"/>
      <c r="L23" s="171">
        <v>1</v>
      </c>
      <c r="M23" s="178"/>
      <c r="N23" s="178"/>
      <c r="O23" s="178"/>
      <c r="P23" s="178"/>
      <c r="Q23" s="178"/>
      <c r="R23" s="171">
        <v>2</v>
      </c>
      <c r="S23" s="174">
        <v>2</v>
      </c>
      <c r="T23" s="171">
        <v>4</v>
      </c>
    </row>
    <row r="24" spans="2:20" ht="15.75" thickTop="1" x14ac:dyDescent="0.25"/>
    <row r="27" spans="2:20" x14ac:dyDescent="0.25">
      <c r="D27" s="126"/>
      <c r="E27" s="126"/>
      <c r="G27" s="126"/>
      <c r="I27" s="126"/>
      <c r="K27" s="126"/>
      <c r="M27" s="126"/>
      <c r="O27" s="126"/>
      <c r="Q27" s="126"/>
      <c r="S27" s="126"/>
    </row>
  </sheetData>
  <mergeCells count="2">
    <mergeCell ref="B2:B13"/>
    <mergeCell ref="B14:B23"/>
  </mergeCells>
  <conditionalFormatting sqref="D2:T23">
    <cfRule type="cellIs" dxfId="17" priority="1" operator="equal">
      <formula>$W$7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lessThanOrEqual" id="{41C5EF0E-73E7-43F3-BF86-3BDF17F281CA}">
            <xm:f>Research!$D$3</xm:f>
            <x14:dxf>
              <fill>
                <patternFill>
                  <bgColor theme="1"/>
                </patternFill>
              </fill>
            </x14:dxf>
          </x14:cfRule>
          <xm:sqref>D2:D23</xm:sqref>
        </x14:conditionalFormatting>
        <x14:conditionalFormatting xmlns:xm="http://schemas.microsoft.com/office/excel/2006/main">
          <x14:cfRule type="cellIs" priority="17" operator="lessThanOrEqual" id="{B4216745-7557-4A31-91C1-ECA9AC8117F6}">
            <xm:f>Research!$D$4</xm:f>
            <x14:dxf>
              <font>
                <color theme="1"/>
              </font>
              <fill>
                <patternFill>
                  <bgColor theme="1"/>
                </patternFill>
              </fill>
            </x14:dxf>
          </x14:cfRule>
          <xm:sqref>E2:E23</xm:sqref>
        </x14:conditionalFormatting>
        <x14:conditionalFormatting xmlns:xm="http://schemas.microsoft.com/office/excel/2006/main">
          <x14:cfRule type="cellIs" priority="16" operator="lessThanOrEqual" id="{66572B02-F3CB-4323-8692-EAB492C5CEEB}">
            <xm:f>Research!$D$5</xm:f>
            <x14:dxf>
              <fill>
                <patternFill>
                  <bgColor theme="1"/>
                </patternFill>
              </fill>
            </x14:dxf>
          </x14:cfRule>
          <xm:sqref>F2:F23</xm:sqref>
        </x14:conditionalFormatting>
        <x14:conditionalFormatting xmlns:xm="http://schemas.microsoft.com/office/excel/2006/main">
          <x14:cfRule type="cellIs" priority="15" operator="lessThanOrEqual" id="{018C4EDC-06AD-473C-9759-9999E4922DEE}">
            <xm:f>Research!$D$6</xm:f>
            <x14:dxf>
              <font>
                <color theme="1"/>
              </font>
              <fill>
                <patternFill>
                  <bgColor theme="1"/>
                </patternFill>
              </fill>
            </x14:dxf>
          </x14:cfRule>
          <xm:sqref>G2:G23</xm:sqref>
        </x14:conditionalFormatting>
        <x14:conditionalFormatting xmlns:xm="http://schemas.microsoft.com/office/excel/2006/main">
          <x14:cfRule type="cellIs" priority="14" operator="lessThanOrEqual" id="{731327AF-E59E-4D0F-BF29-94B8A098C474}">
            <xm:f>Research!$D$7</xm:f>
            <x14:dxf>
              <fill>
                <patternFill>
                  <bgColor theme="1"/>
                </patternFill>
              </fill>
            </x14:dxf>
          </x14:cfRule>
          <xm:sqref>H2:H23</xm:sqref>
        </x14:conditionalFormatting>
        <x14:conditionalFormatting xmlns:xm="http://schemas.microsoft.com/office/excel/2006/main">
          <x14:cfRule type="cellIs" priority="13" operator="lessThanOrEqual" id="{998BB83A-0F60-47F5-A8DE-8875CDF58A1D}">
            <xm:f>Research!$D$8</xm:f>
            <x14:dxf>
              <font>
                <color theme="1"/>
              </font>
              <fill>
                <patternFill>
                  <bgColor theme="1"/>
                </patternFill>
              </fill>
            </x14:dxf>
          </x14:cfRule>
          <xm:sqref>I2:I23</xm:sqref>
        </x14:conditionalFormatting>
        <x14:conditionalFormatting xmlns:xm="http://schemas.microsoft.com/office/excel/2006/main">
          <x14:cfRule type="cellIs" priority="12" operator="lessThanOrEqual" id="{331275B2-058C-48DD-9059-3166BD7A79D4}">
            <xm:f>Research!$D$12</xm:f>
            <x14:dxf>
              <fill>
                <patternFill>
                  <bgColor theme="1"/>
                </patternFill>
              </fill>
            </x14:dxf>
          </x14:cfRule>
          <xm:sqref>J2:J23</xm:sqref>
        </x14:conditionalFormatting>
        <x14:conditionalFormatting xmlns:xm="http://schemas.microsoft.com/office/excel/2006/main">
          <x14:cfRule type="cellIs" priority="11" operator="lessThanOrEqual" id="{08DB84D8-44F8-4F63-BCDE-7A33D71E3235}">
            <xm:f>Research!$D$13</xm:f>
            <x14:dxf>
              <font>
                <color theme="1"/>
              </font>
              <fill>
                <patternFill>
                  <bgColor theme="1"/>
                </patternFill>
              </fill>
            </x14:dxf>
          </x14:cfRule>
          <xm:sqref>K2:K23</xm:sqref>
        </x14:conditionalFormatting>
        <x14:conditionalFormatting xmlns:xm="http://schemas.microsoft.com/office/excel/2006/main">
          <x14:cfRule type="cellIs" priority="10" operator="lessThanOrEqual" id="{02FE48C1-C89D-4E14-8DBC-43100FCC19C0}">
            <xm:f>Research!$D$14</xm:f>
            <x14:dxf>
              <fill>
                <patternFill>
                  <bgColor theme="1"/>
                </patternFill>
              </fill>
            </x14:dxf>
          </x14:cfRule>
          <xm:sqref>L2:L23</xm:sqref>
        </x14:conditionalFormatting>
        <x14:conditionalFormatting xmlns:xm="http://schemas.microsoft.com/office/excel/2006/main">
          <x14:cfRule type="cellIs" priority="9" operator="lessThanOrEqual" id="{4AD8E6F3-BB84-42AD-8BBB-FA36FDF5615D}">
            <xm:f>Research!$D$15</xm:f>
            <x14:dxf>
              <font>
                <color theme="1"/>
              </font>
              <fill>
                <patternFill>
                  <bgColor theme="1"/>
                </patternFill>
              </fill>
            </x14:dxf>
          </x14:cfRule>
          <xm:sqref>M2:M23</xm:sqref>
        </x14:conditionalFormatting>
        <x14:conditionalFormatting xmlns:xm="http://schemas.microsoft.com/office/excel/2006/main">
          <x14:cfRule type="cellIs" priority="8" operator="lessThanOrEqual" id="{5E2388F4-0098-4E77-9BC6-13755210AFBC}">
            <xm:f>Research!$D$16</xm:f>
            <x14:dxf>
              <fill>
                <patternFill>
                  <bgColor theme="1"/>
                </patternFill>
              </fill>
            </x14:dxf>
          </x14:cfRule>
          <xm:sqref>N2:N23</xm:sqref>
        </x14:conditionalFormatting>
        <x14:conditionalFormatting xmlns:xm="http://schemas.microsoft.com/office/excel/2006/main">
          <x14:cfRule type="cellIs" priority="7" operator="lessThanOrEqual" id="{49A0C3E6-9723-402F-814E-2A9925DCCFA3}">
            <xm:f>Research!$D$17</xm:f>
            <x14:dxf>
              <font>
                <color theme="1"/>
              </font>
              <fill>
                <patternFill>
                  <bgColor theme="1"/>
                </patternFill>
              </fill>
            </x14:dxf>
          </x14:cfRule>
          <xm:sqref>O2:O23</xm:sqref>
        </x14:conditionalFormatting>
        <x14:conditionalFormatting xmlns:xm="http://schemas.microsoft.com/office/excel/2006/main">
          <x14:cfRule type="cellIs" priority="6" operator="lessThanOrEqual" id="{E96D5D30-D293-4907-9987-CDC52E66E718}">
            <xm:f>Research!$D$18</xm:f>
            <x14:dxf>
              <fill>
                <patternFill>
                  <bgColor theme="1"/>
                </patternFill>
              </fill>
            </x14:dxf>
          </x14:cfRule>
          <xm:sqref>P2:P23</xm:sqref>
        </x14:conditionalFormatting>
        <x14:conditionalFormatting xmlns:xm="http://schemas.microsoft.com/office/excel/2006/main">
          <x14:cfRule type="cellIs" priority="5" operator="lessThanOrEqual" id="{AEC37410-9235-48A1-B54F-44AC927B5992}">
            <xm:f>Overview!$G$33</xm:f>
            <x14:dxf>
              <font>
                <color theme="1"/>
              </font>
              <fill>
                <patternFill>
                  <bgColor theme="1"/>
                </patternFill>
              </fill>
            </x14:dxf>
          </x14:cfRule>
          <xm:sqref>Q2:Q23</xm:sqref>
        </x14:conditionalFormatting>
        <x14:conditionalFormatting xmlns:xm="http://schemas.microsoft.com/office/excel/2006/main">
          <x14:cfRule type="cellIs" priority="4" operator="lessThanOrEqual" id="{EEF82E56-DA1D-48C7-BA24-60C74E2C00C1}">
            <xm:f>Overview!$G$34</xm:f>
            <x14:dxf>
              <fill>
                <patternFill>
                  <bgColor theme="1"/>
                </patternFill>
              </fill>
            </x14:dxf>
          </x14:cfRule>
          <xm:sqref>R2:R23</xm:sqref>
        </x14:conditionalFormatting>
        <x14:conditionalFormatting xmlns:xm="http://schemas.microsoft.com/office/excel/2006/main">
          <x14:cfRule type="cellIs" priority="3" operator="lessThanOrEqual" id="{1759FC1B-B990-4E87-8167-802350FDE44A}">
            <xm:f>Overview!$G$32</xm:f>
            <x14:dxf>
              <font>
                <color theme="1"/>
              </font>
              <fill>
                <patternFill>
                  <bgColor theme="1"/>
                </patternFill>
              </fill>
            </x14:dxf>
          </x14:cfRule>
          <xm:sqref>S2:S23</xm:sqref>
        </x14:conditionalFormatting>
        <x14:conditionalFormatting xmlns:xm="http://schemas.microsoft.com/office/excel/2006/main">
          <x14:cfRule type="cellIs" priority="2" operator="lessThanOrEqual" id="{97B3E811-4FA1-4D15-8B4D-8561B9DF3932}">
            <xm:f>Overview!$G$35</xm:f>
            <x14:dxf>
              <fill>
                <patternFill>
                  <bgColor theme="1"/>
                </patternFill>
              </fill>
            </x14:dxf>
          </x14:cfRule>
          <xm:sqref>T2:T23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Calculator</vt:lpstr>
      <vt:lpstr>Overview</vt:lpstr>
      <vt:lpstr>Admiral Hunter info</vt:lpstr>
      <vt:lpstr>Resources</vt:lpstr>
      <vt:lpstr>Ships&amp;Defence</vt:lpstr>
      <vt:lpstr>Details</vt:lpstr>
      <vt:lpstr>Research</vt:lpstr>
      <vt:lpstr>Sheet1</vt:lpstr>
      <vt:lpstr>Requests</vt:lpstr>
      <vt:lpstr>Costuri - cladiri</vt:lpstr>
      <vt:lpstr>AAAA1</vt:lpstr>
      <vt:lpstr>d99999999999</vt:lpstr>
      <vt:lpstr>XXX1</vt:lpstr>
      <vt:lpstr>ZZA</vt:lpstr>
      <vt:lpstr>ZZA1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2019-02-01T16:45:05Z</dcterms:created>
  <dcterms:modified xsi:type="dcterms:W3CDTF">2022-01-16T23:00:53Z</dcterms:modified>
</cp:coreProperties>
</file>