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155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9" i="1"/>
  <c r="E38"/>
  <c r="E37"/>
  <c r="E36"/>
  <c r="D34"/>
  <c r="E53"/>
  <c r="D53"/>
  <c r="D50"/>
  <c r="B51" s="1"/>
  <c r="B49"/>
  <c r="B48"/>
  <c r="D43"/>
  <c r="B13"/>
  <c r="B34"/>
  <c r="B31"/>
  <c r="B21"/>
  <c r="B23" s="1"/>
  <c r="C23" s="1"/>
  <c r="B18"/>
  <c r="C18" s="1"/>
  <c r="B17"/>
  <c r="C17" s="1"/>
  <c r="B16"/>
  <c r="C16" s="1"/>
  <c r="D7"/>
  <c r="D8"/>
  <c r="D9"/>
  <c r="D6"/>
  <c r="D26" s="1"/>
  <c r="B27" s="1"/>
  <c r="B28" s="1"/>
  <c r="B24" l="1"/>
  <c r="C24" s="1"/>
  <c r="C31"/>
  <c r="D31" s="1"/>
  <c r="C34"/>
  <c r="E31"/>
  <c r="B19"/>
  <c r="C19" s="1"/>
  <c r="E34" l="1"/>
</calcChain>
</file>

<file path=xl/sharedStrings.xml><?xml version="1.0" encoding="utf-8"?>
<sst xmlns="http://schemas.openxmlformats.org/spreadsheetml/2006/main" count="59" uniqueCount="53">
  <si>
    <t>S11</t>
  </si>
  <si>
    <t>S12</t>
  </si>
  <si>
    <t>S21</t>
  </si>
  <si>
    <t>S22</t>
  </si>
  <si>
    <t>Magnitude</t>
  </si>
  <si>
    <t>Phase (Degrees)</t>
  </si>
  <si>
    <t>Complex Notation</t>
  </si>
  <si>
    <t>GS_MAX</t>
  </si>
  <si>
    <t>G0</t>
  </si>
  <si>
    <t>Gain</t>
  </si>
  <si>
    <t>Ratio</t>
  </si>
  <si>
    <t>dB</t>
  </si>
  <si>
    <t>GL_MAX</t>
  </si>
  <si>
    <t>GTU_MAX</t>
  </si>
  <si>
    <t>M</t>
  </si>
  <si>
    <t>GT/GTU_MAX</t>
  </si>
  <si>
    <t>Lower Bound</t>
  </si>
  <si>
    <t>Upper Bound</t>
  </si>
  <si>
    <t>DELTA</t>
  </si>
  <si>
    <t>ABS(DELTA)</t>
  </si>
  <si>
    <t>K</t>
  </si>
  <si>
    <t>GS (ratio)</t>
  </si>
  <si>
    <t>GS/GS_MAX</t>
  </si>
  <si>
    <t>Radius of Source Gain Circle</t>
  </si>
  <si>
    <t>Centre of Source Gain Circle - Distance along Line from Origin to S11</t>
  </si>
  <si>
    <t>GL (ratio)</t>
  </si>
  <si>
    <t>GL/GL_MAX</t>
  </si>
  <si>
    <t>Centre of Load Gain Circle - Distance along Line from Origin to S22</t>
  </si>
  <si>
    <t>Radius of Load Gain Circle</t>
  </si>
  <si>
    <t>GAMMA_OPT</t>
  </si>
  <si>
    <t>Fmin (dB)</t>
  </si>
  <si>
    <t>RN</t>
  </si>
  <si>
    <t>Fcircle (dB)</t>
  </si>
  <si>
    <t>Enter the Noise Parameters and the desired noise circle below</t>
  </si>
  <si>
    <t>Enter Magnitude and Phase of the S-Parameters, Z0 and Frequency Below</t>
  </si>
  <si>
    <t>Z0 (Ohms)</t>
  </si>
  <si>
    <t>Frequency (GHz)</t>
  </si>
  <si>
    <t>Frequency (rad/s)</t>
  </si>
  <si>
    <t>Fmin (Ratio)</t>
  </si>
  <si>
    <t>Fcircle (Ratio)</t>
  </si>
  <si>
    <t>1+GAMMA_OPT</t>
  </si>
  <si>
    <t>Ni</t>
  </si>
  <si>
    <t>Radius of Noise Circle</t>
  </si>
  <si>
    <t>Centre of Noise Circle - Distance along Line from Origin to GAMMA_OPT</t>
  </si>
  <si>
    <t>Series Inductor - Enter Delta_x</t>
  </si>
  <si>
    <t>Inductance (nH)</t>
  </si>
  <si>
    <t>Capacitance (pF)</t>
  </si>
  <si>
    <t>Shunt Inductor - Enter Delta_b</t>
  </si>
  <si>
    <t>Shunt Capacitor - Enter Delta_b</t>
  </si>
  <si>
    <t>Series Capacitor - Enter Delta_x</t>
  </si>
  <si>
    <t>Spreadsheet to Check Common LNA Formulas 
 Only Change the Values in the Red Boxes - Otherwise the Formulas May Get Corrupted</t>
  </si>
  <si>
    <t>Enter GS (dB) for Source Gain Circle</t>
  </si>
  <si>
    <t>Enter GL (dB) for Load Gain Circle</t>
  </si>
</sst>
</file>

<file path=xl/styles.xml><?xml version="1.0" encoding="utf-8"?>
<styleSheet xmlns="http://schemas.openxmlformats.org/spreadsheetml/2006/main">
  <numFmts count="1">
    <numFmt numFmtId="164" formatCode="0.000E+00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1" xfId="0" applyBorder="1"/>
    <xf numFmtId="164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 vertical="top" wrapText="1"/>
    </xf>
    <xf numFmtId="0" fontId="0" fillId="0" borderId="0" xfId="0" applyBorder="1" applyAlignment="1">
      <alignment horizontal="right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0" fillId="0" borderId="2" xfId="0" applyBorder="1" applyAlignment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53"/>
  <sheetViews>
    <sheetView tabSelected="1" workbookViewId="0">
      <selection activeCell="F22" sqref="F22"/>
    </sheetView>
  </sheetViews>
  <sheetFormatPr defaultRowHeight="15"/>
  <cols>
    <col min="1" max="1" width="18.28515625" customWidth="1"/>
    <col min="2" max="2" width="14.85546875" customWidth="1"/>
    <col min="3" max="3" width="17" customWidth="1"/>
    <col min="4" max="4" width="39.85546875" customWidth="1"/>
    <col min="5" max="5" width="27.42578125" customWidth="1"/>
    <col min="6" max="6" width="9.140625" customWidth="1"/>
  </cols>
  <sheetData>
    <row r="2" spans="1:5">
      <c r="A2" s="12" t="s">
        <v>50</v>
      </c>
      <c r="B2" s="13"/>
      <c r="C2" s="13"/>
      <c r="D2" s="13"/>
      <c r="E2" s="14"/>
    </row>
    <row r="3" spans="1:5" ht="18" customHeight="1">
      <c r="A3" s="15"/>
      <c r="B3" s="16"/>
      <c r="C3" s="16"/>
      <c r="D3" s="16"/>
      <c r="E3" s="17"/>
    </row>
    <row r="4" spans="1:5" ht="45" customHeight="1">
      <c r="B4" s="18" t="s">
        <v>34</v>
      </c>
      <c r="C4" s="18"/>
    </row>
    <row r="5" spans="1:5">
      <c r="B5" s="11" t="s">
        <v>4</v>
      </c>
      <c r="C5" s="11" t="s">
        <v>5</v>
      </c>
      <c r="D5" t="s">
        <v>6</v>
      </c>
    </row>
    <row r="6" spans="1:5">
      <c r="A6" t="s">
        <v>0</v>
      </c>
      <c r="B6" s="5">
        <v>0.46</v>
      </c>
      <c r="C6" s="5">
        <v>-143</v>
      </c>
      <c r="D6" s="1" t="str">
        <f>COMPLEX((B6*COS(2*PI()*C6/360)),(B6*SIN(2*PI()*C6/360)))</f>
        <v>-0.367372334621755-0.276834910649942i</v>
      </c>
    </row>
    <row r="7" spans="1:5">
      <c r="A7" t="s">
        <v>1</v>
      </c>
      <c r="B7" s="5">
        <v>0.01</v>
      </c>
      <c r="C7" s="5">
        <v>98</v>
      </c>
      <c r="D7" s="1" t="str">
        <f t="shared" ref="D7:D9" si="0">COMPLEX((B7*COS(2*PI()*C7/360)),(B7*SIN(2*PI()*C7/360)))</f>
        <v>-0.00139173100960065+0.0099026806874157i</v>
      </c>
    </row>
    <row r="8" spans="1:5">
      <c r="A8" t="s">
        <v>2</v>
      </c>
      <c r="B8" s="5">
        <v>1.7</v>
      </c>
      <c r="C8" s="5">
        <v>59</v>
      </c>
      <c r="D8" s="1" t="str">
        <f t="shared" si="0"/>
        <v>0.875564727347092+1.45718441119359i</v>
      </c>
    </row>
    <row r="9" spans="1:5">
      <c r="A9" t="s">
        <v>3</v>
      </c>
      <c r="B9" s="5">
        <v>0.7</v>
      </c>
      <c r="C9" s="5">
        <v>-30</v>
      </c>
      <c r="D9" s="1" t="str">
        <f t="shared" si="0"/>
        <v>0.606217782649107-0.35i</v>
      </c>
    </row>
    <row r="10" spans="1:5">
      <c r="A10" t="s">
        <v>35</v>
      </c>
      <c r="B10" s="5">
        <v>50</v>
      </c>
      <c r="C10" s="3"/>
      <c r="D10" s="1"/>
    </row>
    <row r="11" spans="1:5">
      <c r="A11" t="s">
        <v>36</v>
      </c>
      <c r="B11" s="5">
        <v>14</v>
      </c>
      <c r="C11" s="3"/>
      <c r="D11" s="1"/>
    </row>
    <row r="12" spans="1:5">
      <c r="B12" s="3"/>
      <c r="C12" s="3"/>
      <c r="D12" s="1"/>
    </row>
    <row r="13" spans="1:5">
      <c r="A13" t="s">
        <v>37</v>
      </c>
      <c r="B13" s="3">
        <f>2*PI()*1000000000*B11</f>
        <v>87964594300.514206</v>
      </c>
      <c r="C13" s="3"/>
      <c r="D13" s="1"/>
    </row>
    <row r="15" spans="1:5">
      <c r="A15" t="s">
        <v>9</v>
      </c>
      <c r="B15" s="7" t="s">
        <v>10</v>
      </c>
      <c r="C15" s="7" t="s">
        <v>11</v>
      </c>
    </row>
    <row r="16" spans="1:5">
      <c r="A16" t="s">
        <v>7</v>
      </c>
      <c r="B16" s="1">
        <f>1/(1-B6*B6)</f>
        <v>1.2683916793505834</v>
      </c>
      <c r="C16" s="1">
        <f>10*LOG10(B16)</f>
        <v>1.0325338439259437</v>
      </c>
    </row>
    <row r="17" spans="1:5">
      <c r="A17" t="s">
        <v>8</v>
      </c>
      <c r="B17">
        <f>B8*B8</f>
        <v>2.8899999999999997</v>
      </c>
      <c r="C17" s="1">
        <f t="shared" ref="C17:C19" si="1">10*LOG10(B17)</f>
        <v>4.6089784275654786</v>
      </c>
    </row>
    <row r="18" spans="1:5">
      <c r="A18" t="s">
        <v>12</v>
      </c>
      <c r="B18" s="1">
        <f>1/(1-B9*B9)</f>
        <v>1.9607843137254901</v>
      </c>
      <c r="C18" s="1">
        <f t="shared" si="1"/>
        <v>2.9242982390206365</v>
      </c>
    </row>
    <row r="19" spans="1:5">
      <c r="A19" t="s">
        <v>13</v>
      </c>
      <c r="B19" s="1">
        <f>B16*B17*B18</f>
        <v>7.1875528496533052</v>
      </c>
      <c r="C19" s="1">
        <f t="shared" si="1"/>
        <v>8.5658105105120583</v>
      </c>
    </row>
    <row r="21" spans="1:5">
      <c r="A21" t="s">
        <v>14</v>
      </c>
      <c r="B21">
        <f>B6*B7*B8*B9/((1-B6*B6)*(1-B9*B9))</f>
        <v>1.361407069169626E-2</v>
      </c>
    </row>
    <row r="22" spans="1:5">
      <c r="A22" t="s">
        <v>15</v>
      </c>
      <c r="B22" s="7" t="s">
        <v>10</v>
      </c>
      <c r="C22" s="7" t="s">
        <v>11</v>
      </c>
    </row>
    <row r="23" spans="1:5">
      <c r="A23" t="s">
        <v>16</v>
      </c>
      <c r="B23">
        <f>1/((1+B21)*(1+B21))</f>
        <v>0.97331796329035269</v>
      </c>
      <c r="C23">
        <f>10*LOG10(B23)</f>
        <v>-0.11745261330378642</v>
      </c>
    </row>
    <row r="24" spans="1:5">
      <c r="A24" t="s">
        <v>17</v>
      </c>
      <c r="B24">
        <f>1/((1-B21)*(1-B21))</f>
        <v>1.027794437843579</v>
      </c>
      <c r="C24">
        <f>10*LOG10(B24)</f>
        <v>0.11906263066630839</v>
      </c>
    </row>
    <row r="26" spans="1:5">
      <c r="A26" t="s">
        <v>18</v>
      </c>
      <c r="D26" t="str">
        <f>IMSUB(IMPRODUCT(D6,D9),IMPRODUCT(D7,D8))</f>
        <v>-0.303951278319814-0.0458843577607749i</v>
      </c>
    </row>
    <row r="27" spans="1:5">
      <c r="A27" t="s">
        <v>19</v>
      </c>
      <c r="B27">
        <f>IMABS(D26)</f>
        <v>0.30739511036997291</v>
      </c>
    </row>
    <row r="28" spans="1:5">
      <c r="A28" t="s">
        <v>20</v>
      </c>
      <c r="B28">
        <f>(1-B6*B6-B9*B9+B27*B27)/(2*B7*B8)</f>
        <v>11.555639819981407</v>
      </c>
    </row>
    <row r="30" spans="1:5" ht="30" customHeight="1">
      <c r="A30" s="2" t="s">
        <v>51</v>
      </c>
      <c r="B30" s="8" t="s">
        <v>21</v>
      </c>
      <c r="C30" s="8" t="s">
        <v>22</v>
      </c>
      <c r="D30" s="9" t="s">
        <v>24</v>
      </c>
      <c r="E30" s="10" t="s">
        <v>23</v>
      </c>
    </row>
    <row r="31" spans="1:5">
      <c r="A31" s="5">
        <v>1</v>
      </c>
      <c r="B31">
        <f>POWER(10,(A31/10))</f>
        <v>1.2589254117941673</v>
      </c>
      <c r="C31" s="1">
        <f>B31/B16</f>
        <v>0.99253679465852152</v>
      </c>
      <c r="D31" s="1">
        <f>C31*B6/(1-B6*B6*(1-C31))</f>
        <v>0.45728908297924764</v>
      </c>
      <c r="E31" s="1">
        <f>SQRT(1-C31)*(1-B6*B6)/(1-B6*B6*(1-C31))</f>
        <v>6.821748392273165E-2</v>
      </c>
    </row>
    <row r="32" spans="1:5">
      <c r="C32" s="1"/>
      <c r="D32" s="1"/>
      <c r="E32" s="1"/>
    </row>
    <row r="33" spans="1:5" ht="30" customHeight="1">
      <c r="A33" s="4" t="s">
        <v>52</v>
      </c>
      <c r="B33" s="8" t="s">
        <v>25</v>
      </c>
      <c r="C33" s="8" t="s">
        <v>26</v>
      </c>
      <c r="D33" s="9" t="s">
        <v>27</v>
      </c>
      <c r="E33" s="10" t="s">
        <v>28</v>
      </c>
    </row>
    <row r="34" spans="1:5">
      <c r="A34" s="5">
        <v>1</v>
      </c>
      <c r="B34">
        <f>POWER(10,(A34/10))</f>
        <v>1.2589254117941673</v>
      </c>
      <c r="C34" s="1">
        <f>B34/B18</f>
        <v>0.64205196001502529</v>
      </c>
      <c r="D34" s="1">
        <f>C34*B9/(1-B9*B9*(1-C34))</f>
        <v>0.54503201056720163</v>
      </c>
      <c r="E34" s="1">
        <f>SQRT(1-C34)*(1-B9*B9)/(1-B9*B9*(1-C34))</f>
        <v>0.37002746815978388</v>
      </c>
    </row>
    <row r="35" spans="1:5">
      <c r="A35" s="3"/>
      <c r="C35" s="1"/>
      <c r="D35" s="1"/>
      <c r="E35" s="1"/>
    </row>
    <row r="36" spans="1:5">
      <c r="A36" s="19" t="s">
        <v>44</v>
      </c>
      <c r="B36" s="20"/>
      <c r="C36" s="6">
        <v>0.61699999999999999</v>
      </c>
      <c r="D36" s="1" t="s">
        <v>45</v>
      </c>
      <c r="E36" s="1">
        <f>B10*ABS(C36)*1000000000/B13</f>
        <v>0.35070928531321222</v>
      </c>
    </row>
    <row r="37" spans="1:5">
      <c r="A37" s="19" t="s">
        <v>49</v>
      </c>
      <c r="B37" s="20"/>
      <c r="C37" s="6">
        <v>2.0733999999999999</v>
      </c>
      <c r="D37" s="1" t="s">
        <v>46</v>
      </c>
      <c r="E37" s="1">
        <f>1000000000000/(B13*ABS(C37)*B10)</f>
        <v>0.10965766587102986</v>
      </c>
    </row>
    <row r="38" spans="1:5">
      <c r="A38" s="21" t="s">
        <v>47</v>
      </c>
      <c r="B38" s="20"/>
      <c r="C38" s="6">
        <v>0.65029999999999999</v>
      </c>
      <c r="D38" s="1" t="s">
        <v>45</v>
      </c>
      <c r="E38" s="1">
        <f>B10*1000000000/(B13*ABS(C38))</f>
        <v>0.87407429039286999</v>
      </c>
    </row>
    <row r="39" spans="1:5">
      <c r="A39" s="21" t="s">
        <v>48</v>
      </c>
      <c r="B39" s="20"/>
      <c r="C39" s="6">
        <v>1.1571</v>
      </c>
      <c r="D39" s="1" t="s">
        <v>46</v>
      </c>
      <c r="E39" s="1">
        <f>ABS(C39)*1000000000000/(B13*B10)</f>
        <v>0.26308312093090302</v>
      </c>
    </row>
    <row r="41" spans="1:5" ht="30" customHeight="1">
      <c r="B41" s="18" t="s">
        <v>33</v>
      </c>
      <c r="C41" s="18"/>
    </row>
    <row r="42" spans="1:5">
      <c r="B42" s="7" t="s">
        <v>4</v>
      </c>
      <c r="C42" s="7" t="s">
        <v>5</v>
      </c>
    </row>
    <row r="43" spans="1:5">
      <c r="A43" t="s">
        <v>29</v>
      </c>
      <c r="B43" s="5">
        <v>0.55000000000000004</v>
      </c>
      <c r="C43" s="5">
        <v>-160</v>
      </c>
      <c r="D43" s="1" t="str">
        <f>COMPLEX((B43*COS(2*PI()*C43/360)),(B43*SIN(2*PI()*C43/360)))</f>
        <v>-0.51683094143225-0.188111078829118i</v>
      </c>
    </row>
    <row r="44" spans="1:5">
      <c r="A44" t="s">
        <v>30</v>
      </c>
      <c r="B44" s="5">
        <v>2.5</v>
      </c>
    </row>
    <row r="45" spans="1:5">
      <c r="A45" t="s">
        <v>31</v>
      </c>
      <c r="B45" s="5">
        <v>5.5</v>
      </c>
    </row>
    <row r="46" spans="1:5">
      <c r="A46" t="s">
        <v>32</v>
      </c>
      <c r="B46" s="5">
        <v>3</v>
      </c>
    </row>
    <row r="48" spans="1:5">
      <c r="A48" t="s">
        <v>38</v>
      </c>
      <c r="B48">
        <f>POWER(10,(B44/10))</f>
        <v>1.778279410038923</v>
      </c>
    </row>
    <row r="49" spans="1:5">
      <c r="A49" t="s">
        <v>39</v>
      </c>
      <c r="B49">
        <f>POWER(10,(B46/10))</f>
        <v>1.9952623149688797</v>
      </c>
    </row>
    <row r="50" spans="1:5">
      <c r="A50" t="s">
        <v>40</v>
      </c>
      <c r="D50" t="str">
        <f>IMSUM(1,D43)</f>
        <v>0.48316905856775-0.188111078829118i</v>
      </c>
    </row>
    <row r="51" spans="1:5">
      <c r="A51" t="s">
        <v>41</v>
      </c>
      <c r="B51">
        <f>(B49-B48)*IMABS(D50)*IMABS(D50)/(4*B45/B10)</f>
        <v>0.13257562639082021</v>
      </c>
    </row>
    <row r="52" spans="1:5" ht="30">
      <c r="D52" s="9" t="s">
        <v>43</v>
      </c>
      <c r="E52" s="10" t="s">
        <v>42</v>
      </c>
    </row>
    <row r="53" spans="1:5">
      <c r="D53">
        <f>IMABS(D43)/(B51+1)</f>
        <v>0.48561878534565128</v>
      </c>
      <c r="E53">
        <f>SQRT(B51*(B51+1-IMABS(D43)*IMABS(D43)))/(B51+1)</f>
        <v>0.29290275973004332</v>
      </c>
    </row>
  </sheetData>
  <mergeCells count="7">
    <mergeCell ref="A2:E3"/>
    <mergeCell ref="B4:C4"/>
    <mergeCell ref="B41:C41"/>
    <mergeCell ref="A36:B36"/>
    <mergeCell ref="A37:B37"/>
    <mergeCell ref="A38:B38"/>
    <mergeCell ref="A39:B3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McCarthy</dc:creator>
  <cp:lastModifiedBy>Kevin McCarthy</cp:lastModifiedBy>
  <dcterms:created xsi:type="dcterms:W3CDTF">2011-03-22T19:07:33Z</dcterms:created>
  <dcterms:modified xsi:type="dcterms:W3CDTF">2011-03-22T22:16:34Z</dcterms:modified>
</cp:coreProperties>
</file>