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sahlmann/jwst/code/gitlab/tel/jwst_siaf_prototype/pysiaf/pysiaf/prd_data/JWST/PRDOPSSOC-H-014/SIAFXML/Excel/"/>
    </mc:Choice>
  </mc:AlternateContent>
  <bookViews>
    <workbookView xWindow="80" yWindow="460" windowWidth="28720" windowHeight="17540" tabRatio="500" activeTab="1"/>
  </bookViews>
  <sheets>
    <sheet name="SIAF" sheetId="12" r:id="rId1"/>
    <sheet name="Calc" sheetId="3" r:id="rId2"/>
    <sheet name="DDC" sheetId="13" r:id="rId3"/>
    <sheet name="XML" sheetId="11" r:id="rId4"/>
    <sheet name="Slits" sheetId="14" r:id="rId5"/>
    <sheet name="GWA" sheetId="9" r:id="rId6"/>
    <sheet name="Plot" sheetId="5" r:id="rId7"/>
  </sheets>
  <externalReferences>
    <externalReference r:id="rId8"/>
  </externalReferences>
  <definedNames>
    <definedName name="_xlnm._FilterDatabase" localSheetId="1" hidden="1">Calc!$A$1:$AT$6</definedName>
    <definedName name="DataSheetName">XML!$B$7</definedName>
    <definedName name="HeaderRow">XML!$B$8</definedName>
    <definedName name="LastRow">XML!$B$6</definedName>
    <definedName name="Slits" localSheetId="3">[1]Calc!$A$21:$E$26</definedName>
    <definedName name="Slits">Calc!$A$56:$A$61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8" i="3" l="1"/>
  <c r="U58" i="3"/>
  <c r="AE10" i="12"/>
  <c r="AE55" i="12"/>
  <c r="T58" i="3"/>
  <c r="AD10" i="12"/>
  <c r="AD55" i="12"/>
  <c r="S58" i="3"/>
  <c r="AC10" i="12"/>
  <c r="AC55" i="12"/>
  <c r="R58" i="3"/>
  <c r="AB10" i="12"/>
  <c r="AB55" i="12"/>
  <c r="Q58" i="3"/>
  <c r="AA10" i="12"/>
  <c r="AA55" i="12"/>
  <c r="P58" i="3"/>
  <c r="Z10" i="12"/>
  <c r="Z55" i="12"/>
  <c r="O58" i="3"/>
  <c r="Y10" i="12"/>
  <c r="Y55" i="12"/>
  <c r="N58" i="3"/>
  <c r="X10" i="12"/>
  <c r="X55" i="12"/>
  <c r="S55" i="12"/>
  <c r="R10" i="12"/>
  <c r="R55" i="12"/>
  <c r="Q10" i="12"/>
  <c r="Q55" i="12"/>
  <c r="P10" i="12"/>
  <c r="P55" i="12"/>
  <c r="R9" i="12"/>
  <c r="Q9" i="12"/>
  <c r="P9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8" i="12"/>
  <c r="R7" i="12"/>
  <c r="Q54" i="12"/>
  <c r="P54" i="12"/>
  <c r="Q53" i="12"/>
  <c r="P53" i="12"/>
  <c r="Q52" i="12"/>
  <c r="P52" i="12"/>
  <c r="Q51" i="12"/>
  <c r="P51" i="12"/>
  <c r="Q50" i="12"/>
  <c r="P50" i="12"/>
  <c r="Q49" i="12"/>
  <c r="P49" i="12"/>
  <c r="Q48" i="12"/>
  <c r="P48" i="12"/>
  <c r="Q47" i="12"/>
  <c r="P47" i="12"/>
  <c r="Q46" i="12"/>
  <c r="P46" i="12"/>
  <c r="Q45" i="12"/>
  <c r="P45" i="12"/>
  <c r="Q44" i="12"/>
  <c r="P44" i="12"/>
  <c r="Q43" i="12"/>
  <c r="P43" i="12"/>
  <c r="Q42" i="12"/>
  <c r="P42" i="12"/>
  <c r="Q41" i="12"/>
  <c r="P41" i="12"/>
  <c r="Q40" i="12"/>
  <c r="P40" i="12"/>
  <c r="Q39" i="12"/>
  <c r="P39" i="12"/>
  <c r="Q38" i="12"/>
  <c r="P38" i="12"/>
  <c r="Q37" i="12"/>
  <c r="P37" i="12"/>
  <c r="Q36" i="12"/>
  <c r="P36" i="12"/>
  <c r="Q35" i="12"/>
  <c r="P35" i="12"/>
  <c r="Q34" i="12"/>
  <c r="P34" i="12"/>
  <c r="Q33" i="12"/>
  <c r="P33" i="12"/>
  <c r="Q32" i="12"/>
  <c r="P32" i="12"/>
  <c r="Q31" i="12"/>
  <c r="P31" i="12"/>
  <c r="Q30" i="12"/>
  <c r="P30" i="12"/>
  <c r="Q29" i="12"/>
  <c r="P29" i="12"/>
  <c r="Q28" i="12"/>
  <c r="P28" i="12"/>
  <c r="Q27" i="12"/>
  <c r="P27" i="12"/>
  <c r="Q26" i="12"/>
  <c r="P26" i="12"/>
  <c r="Q25" i="12"/>
  <c r="P25" i="12"/>
  <c r="Q24" i="12"/>
  <c r="P24" i="12"/>
  <c r="Q23" i="12"/>
  <c r="P23" i="12"/>
  <c r="Q22" i="12"/>
  <c r="P22" i="12"/>
  <c r="Q21" i="12"/>
  <c r="P21" i="12"/>
  <c r="Q20" i="12"/>
  <c r="P20" i="12"/>
  <c r="Q19" i="12"/>
  <c r="P19" i="12"/>
  <c r="Q18" i="12"/>
  <c r="P18" i="12"/>
  <c r="Q17" i="12"/>
  <c r="P17" i="12"/>
  <c r="Q16" i="12"/>
  <c r="P16" i="12"/>
  <c r="Q15" i="12"/>
  <c r="P15" i="12"/>
  <c r="Q14" i="12"/>
  <c r="P14" i="12"/>
  <c r="Q13" i="12"/>
  <c r="P13" i="12"/>
  <c r="Q12" i="12"/>
  <c r="P12" i="12"/>
  <c r="Q11" i="12"/>
  <c r="P11" i="12"/>
  <c r="Q8" i="12"/>
  <c r="P8" i="12"/>
  <c r="Q7" i="12"/>
  <c r="P7" i="12"/>
  <c r="M102" i="3"/>
  <c r="U102" i="3"/>
  <c r="T102" i="3"/>
  <c r="S102" i="3"/>
  <c r="R102" i="3"/>
  <c r="Q102" i="3"/>
  <c r="P102" i="3"/>
  <c r="O102" i="3"/>
  <c r="N102" i="3"/>
  <c r="M101" i="3"/>
  <c r="U101" i="3"/>
  <c r="T101" i="3"/>
  <c r="S101" i="3"/>
  <c r="R101" i="3"/>
  <c r="Q101" i="3"/>
  <c r="P101" i="3"/>
  <c r="O101" i="3"/>
  <c r="N101" i="3"/>
  <c r="M100" i="3"/>
  <c r="U100" i="3"/>
  <c r="T100" i="3"/>
  <c r="S100" i="3"/>
  <c r="R100" i="3"/>
  <c r="Q100" i="3"/>
  <c r="P100" i="3"/>
  <c r="O100" i="3"/>
  <c r="N100" i="3"/>
  <c r="M99" i="3"/>
  <c r="U99" i="3"/>
  <c r="T99" i="3"/>
  <c r="S99" i="3"/>
  <c r="R99" i="3"/>
  <c r="Q99" i="3"/>
  <c r="P99" i="3"/>
  <c r="O99" i="3"/>
  <c r="N99" i="3"/>
  <c r="M98" i="3"/>
  <c r="U98" i="3"/>
  <c r="T98" i="3"/>
  <c r="S98" i="3"/>
  <c r="R98" i="3"/>
  <c r="Q98" i="3"/>
  <c r="P98" i="3"/>
  <c r="O98" i="3"/>
  <c r="N98" i="3"/>
  <c r="M97" i="3"/>
  <c r="U97" i="3"/>
  <c r="T97" i="3"/>
  <c r="S97" i="3"/>
  <c r="R97" i="3"/>
  <c r="Q97" i="3"/>
  <c r="P97" i="3"/>
  <c r="O97" i="3"/>
  <c r="N97" i="3"/>
  <c r="M96" i="3"/>
  <c r="U96" i="3"/>
  <c r="T96" i="3"/>
  <c r="S96" i="3"/>
  <c r="R96" i="3"/>
  <c r="Q96" i="3"/>
  <c r="P96" i="3"/>
  <c r="O96" i="3"/>
  <c r="N96" i="3"/>
  <c r="M95" i="3"/>
  <c r="U95" i="3"/>
  <c r="T95" i="3"/>
  <c r="S95" i="3"/>
  <c r="R95" i="3"/>
  <c r="Q95" i="3"/>
  <c r="P95" i="3"/>
  <c r="O95" i="3"/>
  <c r="N95" i="3"/>
  <c r="M94" i="3"/>
  <c r="U94" i="3"/>
  <c r="T94" i="3"/>
  <c r="S94" i="3"/>
  <c r="R94" i="3"/>
  <c r="Q94" i="3"/>
  <c r="P94" i="3"/>
  <c r="O94" i="3"/>
  <c r="N94" i="3"/>
  <c r="M93" i="3"/>
  <c r="U93" i="3"/>
  <c r="T93" i="3"/>
  <c r="S93" i="3"/>
  <c r="R93" i="3"/>
  <c r="Q93" i="3"/>
  <c r="P93" i="3"/>
  <c r="O93" i="3"/>
  <c r="N93" i="3"/>
  <c r="M92" i="3"/>
  <c r="U92" i="3"/>
  <c r="T92" i="3"/>
  <c r="S92" i="3"/>
  <c r="R92" i="3"/>
  <c r="Q92" i="3"/>
  <c r="P92" i="3"/>
  <c r="O92" i="3"/>
  <c r="N92" i="3"/>
  <c r="M91" i="3"/>
  <c r="U91" i="3"/>
  <c r="T91" i="3"/>
  <c r="S91" i="3"/>
  <c r="R91" i="3"/>
  <c r="Q91" i="3"/>
  <c r="P91" i="3"/>
  <c r="O91" i="3"/>
  <c r="N91" i="3"/>
  <c r="M90" i="3"/>
  <c r="U90" i="3"/>
  <c r="T90" i="3"/>
  <c r="S90" i="3"/>
  <c r="R90" i="3"/>
  <c r="Q90" i="3"/>
  <c r="P90" i="3"/>
  <c r="O90" i="3"/>
  <c r="N90" i="3"/>
  <c r="M89" i="3"/>
  <c r="U89" i="3"/>
  <c r="T89" i="3"/>
  <c r="S89" i="3"/>
  <c r="R89" i="3"/>
  <c r="Q89" i="3"/>
  <c r="P89" i="3"/>
  <c r="O89" i="3"/>
  <c r="N89" i="3"/>
  <c r="M88" i="3"/>
  <c r="U88" i="3"/>
  <c r="T88" i="3"/>
  <c r="S88" i="3"/>
  <c r="R88" i="3"/>
  <c r="Q88" i="3"/>
  <c r="P88" i="3"/>
  <c r="O88" i="3"/>
  <c r="N88" i="3"/>
  <c r="M87" i="3"/>
  <c r="U87" i="3"/>
  <c r="T87" i="3"/>
  <c r="S87" i="3"/>
  <c r="R87" i="3"/>
  <c r="Q87" i="3"/>
  <c r="P87" i="3"/>
  <c r="O87" i="3"/>
  <c r="N87" i="3"/>
  <c r="M86" i="3"/>
  <c r="U86" i="3"/>
  <c r="T86" i="3"/>
  <c r="S86" i="3"/>
  <c r="R86" i="3"/>
  <c r="Q86" i="3"/>
  <c r="P86" i="3"/>
  <c r="O86" i="3"/>
  <c r="N86" i="3"/>
  <c r="M85" i="3"/>
  <c r="U85" i="3"/>
  <c r="T85" i="3"/>
  <c r="S85" i="3"/>
  <c r="R85" i="3"/>
  <c r="Q85" i="3"/>
  <c r="P85" i="3"/>
  <c r="O85" i="3"/>
  <c r="N85" i="3"/>
  <c r="M84" i="3"/>
  <c r="U84" i="3"/>
  <c r="T84" i="3"/>
  <c r="S84" i="3"/>
  <c r="R84" i="3"/>
  <c r="Q84" i="3"/>
  <c r="P84" i="3"/>
  <c r="O84" i="3"/>
  <c r="N84" i="3"/>
  <c r="M83" i="3"/>
  <c r="U83" i="3"/>
  <c r="T83" i="3"/>
  <c r="S83" i="3"/>
  <c r="R83" i="3"/>
  <c r="Q83" i="3"/>
  <c r="P83" i="3"/>
  <c r="O83" i="3"/>
  <c r="N83" i="3"/>
  <c r="M82" i="3"/>
  <c r="U82" i="3"/>
  <c r="T82" i="3"/>
  <c r="S82" i="3"/>
  <c r="R82" i="3"/>
  <c r="Q82" i="3"/>
  <c r="P82" i="3"/>
  <c r="O82" i="3"/>
  <c r="N82" i="3"/>
  <c r="M81" i="3"/>
  <c r="U81" i="3"/>
  <c r="T81" i="3"/>
  <c r="S81" i="3"/>
  <c r="R81" i="3"/>
  <c r="Q81" i="3"/>
  <c r="P81" i="3"/>
  <c r="O81" i="3"/>
  <c r="N81" i="3"/>
  <c r="M80" i="3"/>
  <c r="U80" i="3"/>
  <c r="T80" i="3"/>
  <c r="S80" i="3"/>
  <c r="R80" i="3"/>
  <c r="Q80" i="3"/>
  <c r="P80" i="3"/>
  <c r="O80" i="3"/>
  <c r="N80" i="3"/>
  <c r="M79" i="3"/>
  <c r="U79" i="3"/>
  <c r="T79" i="3"/>
  <c r="S79" i="3"/>
  <c r="R79" i="3"/>
  <c r="Q79" i="3"/>
  <c r="P79" i="3"/>
  <c r="O79" i="3"/>
  <c r="N79" i="3"/>
  <c r="M78" i="3"/>
  <c r="U78" i="3"/>
  <c r="T78" i="3"/>
  <c r="S78" i="3"/>
  <c r="R78" i="3"/>
  <c r="Q78" i="3"/>
  <c r="P78" i="3"/>
  <c r="O78" i="3"/>
  <c r="N78" i="3"/>
  <c r="M77" i="3"/>
  <c r="U77" i="3"/>
  <c r="T77" i="3"/>
  <c r="S77" i="3"/>
  <c r="R77" i="3"/>
  <c r="Q77" i="3"/>
  <c r="P77" i="3"/>
  <c r="O77" i="3"/>
  <c r="N77" i="3"/>
  <c r="M76" i="3"/>
  <c r="U76" i="3"/>
  <c r="T76" i="3"/>
  <c r="S76" i="3"/>
  <c r="R76" i="3"/>
  <c r="Q76" i="3"/>
  <c r="P76" i="3"/>
  <c r="O76" i="3"/>
  <c r="N76" i="3"/>
  <c r="M75" i="3"/>
  <c r="U75" i="3"/>
  <c r="T75" i="3"/>
  <c r="S75" i="3"/>
  <c r="R75" i="3"/>
  <c r="Q75" i="3"/>
  <c r="P75" i="3"/>
  <c r="O75" i="3"/>
  <c r="N75" i="3"/>
  <c r="M74" i="3"/>
  <c r="U74" i="3"/>
  <c r="T74" i="3"/>
  <c r="S74" i="3"/>
  <c r="R74" i="3"/>
  <c r="Q74" i="3"/>
  <c r="P74" i="3"/>
  <c r="O74" i="3"/>
  <c r="N74" i="3"/>
  <c r="M73" i="3"/>
  <c r="U73" i="3"/>
  <c r="T73" i="3"/>
  <c r="S73" i="3"/>
  <c r="R73" i="3"/>
  <c r="Q73" i="3"/>
  <c r="P73" i="3"/>
  <c r="O73" i="3"/>
  <c r="N73" i="3"/>
  <c r="M72" i="3"/>
  <c r="U72" i="3"/>
  <c r="T72" i="3"/>
  <c r="S72" i="3"/>
  <c r="R72" i="3"/>
  <c r="Q72" i="3"/>
  <c r="P72" i="3"/>
  <c r="O72" i="3"/>
  <c r="N72" i="3"/>
  <c r="M71" i="3"/>
  <c r="U71" i="3"/>
  <c r="T71" i="3"/>
  <c r="S71" i="3"/>
  <c r="R71" i="3"/>
  <c r="Q71" i="3"/>
  <c r="P71" i="3"/>
  <c r="O71" i="3"/>
  <c r="N71" i="3"/>
  <c r="M70" i="3"/>
  <c r="U70" i="3"/>
  <c r="T70" i="3"/>
  <c r="S70" i="3"/>
  <c r="R70" i="3"/>
  <c r="Q70" i="3"/>
  <c r="P70" i="3"/>
  <c r="O70" i="3"/>
  <c r="N70" i="3"/>
  <c r="M69" i="3"/>
  <c r="U69" i="3"/>
  <c r="T69" i="3"/>
  <c r="S69" i="3"/>
  <c r="R69" i="3"/>
  <c r="Q69" i="3"/>
  <c r="P69" i="3"/>
  <c r="O69" i="3"/>
  <c r="N69" i="3"/>
  <c r="M68" i="3"/>
  <c r="U68" i="3"/>
  <c r="T68" i="3"/>
  <c r="S68" i="3"/>
  <c r="R68" i="3"/>
  <c r="Q68" i="3"/>
  <c r="P68" i="3"/>
  <c r="O68" i="3"/>
  <c r="N68" i="3"/>
  <c r="M67" i="3"/>
  <c r="U67" i="3"/>
  <c r="T67" i="3"/>
  <c r="S67" i="3"/>
  <c r="R67" i="3"/>
  <c r="Q67" i="3"/>
  <c r="P67" i="3"/>
  <c r="O67" i="3"/>
  <c r="N67" i="3"/>
  <c r="M66" i="3"/>
  <c r="U66" i="3"/>
  <c r="T66" i="3"/>
  <c r="S66" i="3"/>
  <c r="R66" i="3"/>
  <c r="Q66" i="3"/>
  <c r="P66" i="3"/>
  <c r="O66" i="3"/>
  <c r="N66" i="3"/>
  <c r="M65" i="3"/>
  <c r="U65" i="3"/>
  <c r="T65" i="3"/>
  <c r="S65" i="3"/>
  <c r="R65" i="3"/>
  <c r="Q65" i="3"/>
  <c r="P65" i="3"/>
  <c r="O65" i="3"/>
  <c r="N65" i="3"/>
  <c r="M64" i="3"/>
  <c r="U64" i="3"/>
  <c r="T64" i="3"/>
  <c r="S64" i="3"/>
  <c r="R64" i="3"/>
  <c r="Q64" i="3"/>
  <c r="P64" i="3"/>
  <c r="O64" i="3"/>
  <c r="N64" i="3"/>
  <c r="M63" i="3"/>
  <c r="U63" i="3"/>
  <c r="T63" i="3"/>
  <c r="S63" i="3"/>
  <c r="R63" i="3"/>
  <c r="Q63" i="3"/>
  <c r="P63" i="3"/>
  <c r="O63" i="3"/>
  <c r="N63" i="3"/>
  <c r="M62" i="3"/>
  <c r="U62" i="3"/>
  <c r="T62" i="3"/>
  <c r="S62" i="3"/>
  <c r="R62" i="3"/>
  <c r="Q62" i="3"/>
  <c r="P62" i="3"/>
  <c r="O62" i="3"/>
  <c r="N62" i="3"/>
  <c r="M61" i="3"/>
  <c r="U61" i="3"/>
  <c r="T61" i="3"/>
  <c r="S61" i="3"/>
  <c r="R61" i="3"/>
  <c r="Q61" i="3"/>
  <c r="P61" i="3"/>
  <c r="O61" i="3"/>
  <c r="N61" i="3"/>
  <c r="M60" i="3"/>
  <c r="U60" i="3"/>
  <c r="T60" i="3"/>
  <c r="S60" i="3"/>
  <c r="R60" i="3"/>
  <c r="Q60" i="3"/>
  <c r="P60" i="3"/>
  <c r="O60" i="3"/>
  <c r="N60" i="3"/>
  <c r="M59" i="3"/>
  <c r="U59" i="3"/>
  <c r="T59" i="3"/>
  <c r="S59" i="3"/>
  <c r="R59" i="3"/>
  <c r="Q59" i="3"/>
  <c r="P59" i="3"/>
  <c r="O59" i="3"/>
  <c r="N59" i="3"/>
  <c r="M57" i="3"/>
  <c r="U57" i="3"/>
  <c r="T57" i="3"/>
  <c r="S57" i="3"/>
  <c r="R57" i="3"/>
  <c r="Q57" i="3"/>
  <c r="P57" i="3"/>
  <c r="O57" i="3"/>
  <c r="N57" i="3"/>
  <c r="M56" i="3"/>
  <c r="U56" i="3"/>
  <c r="T56" i="3"/>
  <c r="S56" i="3"/>
  <c r="R56" i="3"/>
  <c r="Q56" i="3"/>
  <c r="P56" i="3"/>
  <c r="O56" i="3"/>
  <c r="N56" i="3"/>
  <c r="M55" i="3"/>
  <c r="U55" i="3"/>
  <c r="T55" i="3"/>
  <c r="S55" i="3"/>
  <c r="R55" i="3"/>
  <c r="Q55" i="3"/>
  <c r="P55" i="3"/>
  <c r="O55" i="3"/>
  <c r="N55" i="3"/>
  <c r="AE9" i="12"/>
  <c r="AD9" i="12"/>
  <c r="AC9" i="12"/>
  <c r="AB9" i="12"/>
  <c r="AA9" i="12"/>
  <c r="Z9" i="12"/>
  <c r="Y9" i="12"/>
  <c r="X9" i="12"/>
  <c r="B7" i="12"/>
  <c r="B8" i="12"/>
  <c r="B9" i="12"/>
  <c r="B10" i="12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E20" i="3"/>
  <c r="B31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Z20" i="3"/>
  <c r="C31" i="3"/>
  <c r="D31" i="3"/>
  <c r="F31" i="3"/>
  <c r="P3" i="12"/>
  <c r="A4" i="13"/>
  <c r="C4" i="13"/>
  <c r="B11" i="12"/>
  <c r="B12" i="12"/>
  <c r="B13" i="12"/>
  <c r="B14" i="12"/>
  <c r="H31" i="3"/>
  <c r="F20" i="3"/>
  <c r="I31" i="3"/>
  <c r="AA20" i="3"/>
  <c r="L31" i="3"/>
  <c r="J31" i="3"/>
  <c r="K31" i="3"/>
  <c r="N31" i="3"/>
  <c r="P31" i="3"/>
  <c r="N3" i="12"/>
  <c r="G20" i="3"/>
  <c r="AB20" i="3"/>
  <c r="M31" i="3"/>
  <c r="O31" i="3"/>
  <c r="Q31" i="3"/>
  <c r="O3" i="12"/>
  <c r="E31" i="3"/>
  <c r="G31" i="3"/>
  <c r="Q3" i="12"/>
  <c r="P4" i="12"/>
  <c r="A5" i="13"/>
  <c r="C5" i="13"/>
  <c r="Q4" i="12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E22" i="3"/>
  <c r="B33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Z22" i="3"/>
  <c r="C33" i="3"/>
  <c r="D33" i="3"/>
  <c r="F33" i="3"/>
  <c r="P5" i="12"/>
  <c r="A6" i="13"/>
  <c r="C6" i="13"/>
  <c r="H33" i="3"/>
  <c r="F22" i="3"/>
  <c r="I33" i="3"/>
  <c r="AA22" i="3"/>
  <c r="L33" i="3"/>
  <c r="J33" i="3"/>
  <c r="K33" i="3"/>
  <c r="N33" i="3"/>
  <c r="P33" i="3"/>
  <c r="N5" i="12"/>
  <c r="G22" i="3"/>
  <c r="AB22" i="3"/>
  <c r="M33" i="3"/>
  <c r="O33" i="3"/>
  <c r="Q33" i="3"/>
  <c r="O5" i="12"/>
  <c r="E33" i="3"/>
  <c r="G33" i="3"/>
  <c r="Q5" i="12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E23" i="3"/>
  <c r="B34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Z23" i="3"/>
  <c r="C34" i="3"/>
  <c r="D34" i="3"/>
  <c r="F34" i="3"/>
  <c r="P6" i="12"/>
  <c r="A7" i="13"/>
  <c r="C7" i="13"/>
  <c r="H34" i="3"/>
  <c r="F23" i="3"/>
  <c r="I34" i="3"/>
  <c r="AA23" i="3"/>
  <c r="L34" i="3"/>
  <c r="J34" i="3"/>
  <c r="K34" i="3"/>
  <c r="N34" i="3"/>
  <c r="P34" i="3"/>
  <c r="N6" i="12"/>
  <c r="G23" i="3"/>
  <c r="AB23" i="3"/>
  <c r="M34" i="3"/>
  <c r="O34" i="3"/>
  <c r="Q34" i="3"/>
  <c r="O6" i="12"/>
  <c r="E34" i="3"/>
  <c r="G34" i="3"/>
  <c r="Q6" i="12"/>
  <c r="A8" i="13"/>
  <c r="C8" i="13"/>
  <c r="A9" i="13"/>
  <c r="C9" i="13"/>
  <c r="A10" i="13"/>
  <c r="C10" i="13"/>
  <c r="A11" i="13"/>
  <c r="C11" i="13"/>
  <c r="A12" i="13"/>
  <c r="C12" i="13"/>
  <c r="A13" i="13"/>
  <c r="C13" i="13"/>
  <c r="A14" i="13"/>
  <c r="C14" i="13"/>
  <c r="A15" i="13"/>
  <c r="C15" i="13"/>
  <c r="B15" i="12"/>
  <c r="A16" i="13"/>
  <c r="C16" i="13"/>
  <c r="B16" i="12"/>
  <c r="A17" i="13"/>
  <c r="C17" i="13"/>
  <c r="B17" i="12"/>
  <c r="A18" i="13"/>
  <c r="C18" i="13"/>
  <c r="B18" i="12"/>
  <c r="A19" i="13"/>
  <c r="C19" i="13"/>
  <c r="B19" i="12"/>
  <c r="A20" i="13"/>
  <c r="C20" i="13"/>
  <c r="B20" i="12"/>
  <c r="A21" i="13"/>
  <c r="C21" i="13"/>
  <c r="B21" i="12"/>
  <c r="A22" i="13"/>
  <c r="C22" i="13"/>
  <c r="B22" i="12"/>
  <c r="A23" i="13"/>
  <c r="C23" i="13"/>
  <c r="B23" i="12"/>
  <c r="A24" i="13"/>
  <c r="C24" i="13"/>
  <c r="B24" i="12"/>
  <c r="A25" i="13"/>
  <c r="C25" i="13"/>
  <c r="B25" i="12"/>
  <c r="A26" i="13"/>
  <c r="C26" i="13"/>
  <c r="B26" i="12"/>
  <c r="A27" i="13"/>
  <c r="C27" i="13"/>
  <c r="B27" i="12"/>
  <c r="A28" i="13"/>
  <c r="C28" i="13"/>
  <c r="B28" i="12"/>
  <c r="A29" i="13"/>
  <c r="C29" i="13"/>
  <c r="B29" i="12"/>
  <c r="A30" i="13"/>
  <c r="C30" i="13"/>
  <c r="B30" i="12"/>
  <c r="A31" i="13"/>
  <c r="C31" i="13"/>
  <c r="B31" i="12"/>
  <c r="A32" i="13"/>
  <c r="C32" i="13"/>
  <c r="B32" i="12"/>
  <c r="A33" i="13"/>
  <c r="C33" i="13"/>
  <c r="B33" i="12"/>
  <c r="A34" i="13"/>
  <c r="C34" i="13"/>
  <c r="B34" i="12"/>
  <c r="A35" i="13"/>
  <c r="C35" i="13"/>
  <c r="B35" i="12"/>
  <c r="A36" i="13"/>
  <c r="C36" i="13"/>
  <c r="B36" i="12"/>
  <c r="A37" i="13"/>
  <c r="C37" i="13"/>
  <c r="B37" i="12"/>
  <c r="A38" i="13"/>
  <c r="C38" i="13"/>
  <c r="B38" i="12"/>
  <c r="A39" i="13"/>
  <c r="C39" i="13"/>
  <c r="B39" i="12"/>
  <c r="A40" i="13"/>
  <c r="C40" i="13"/>
  <c r="B40" i="12"/>
  <c r="A41" i="13"/>
  <c r="C41" i="13"/>
  <c r="B41" i="12"/>
  <c r="A42" i="13"/>
  <c r="C42" i="13"/>
  <c r="B42" i="12"/>
  <c r="A43" i="13"/>
  <c r="C43" i="13"/>
  <c r="B43" i="12"/>
  <c r="A44" i="13"/>
  <c r="C44" i="13"/>
  <c r="B44" i="12"/>
  <c r="A45" i="13"/>
  <c r="C45" i="13"/>
  <c r="B45" i="12"/>
  <c r="A46" i="13"/>
  <c r="C46" i="13"/>
  <c r="B46" i="12"/>
  <c r="A47" i="13"/>
  <c r="C47" i="13"/>
  <c r="B47" i="12"/>
  <c r="A48" i="13"/>
  <c r="C48" i="13"/>
  <c r="B48" i="12"/>
  <c r="A49" i="13"/>
  <c r="C49" i="13"/>
  <c r="B49" i="12"/>
  <c r="A50" i="13"/>
  <c r="C50" i="13"/>
  <c r="B50" i="12"/>
  <c r="A51" i="13"/>
  <c r="C51" i="13"/>
  <c r="B51" i="12"/>
  <c r="A52" i="13"/>
  <c r="C52" i="13"/>
  <c r="B52" i="12"/>
  <c r="A53" i="13"/>
  <c r="C53" i="13"/>
  <c r="B53" i="12"/>
  <c r="A54" i="13"/>
  <c r="C54" i="13"/>
  <c r="B54" i="12"/>
  <c r="A55" i="13"/>
  <c r="C55" i="13"/>
  <c r="A56" i="13"/>
  <c r="C56" i="13"/>
  <c r="L56" i="12"/>
  <c r="C25" i="3"/>
  <c r="M56" i="12"/>
  <c r="D25" i="3"/>
  <c r="E25" i="3"/>
  <c r="B36" i="3"/>
  <c r="Z25" i="3"/>
  <c r="C36" i="3"/>
  <c r="D36" i="3"/>
  <c r="F36" i="3"/>
  <c r="P56" i="12"/>
  <c r="A57" i="13"/>
  <c r="C57" i="13"/>
  <c r="H36" i="3"/>
  <c r="I36" i="3"/>
  <c r="L36" i="3"/>
  <c r="J36" i="3"/>
  <c r="K36" i="3"/>
  <c r="N36" i="3"/>
  <c r="P36" i="3"/>
  <c r="N56" i="12"/>
  <c r="M36" i="3"/>
  <c r="O36" i="3"/>
  <c r="Q36" i="3"/>
  <c r="O56" i="12"/>
  <c r="E36" i="3"/>
  <c r="G36" i="3"/>
  <c r="Q56" i="12"/>
  <c r="L57" i="12"/>
  <c r="C26" i="3"/>
  <c r="M57" i="12"/>
  <c r="D26" i="3"/>
  <c r="E26" i="3"/>
  <c r="B37" i="3"/>
  <c r="Z26" i="3"/>
  <c r="C37" i="3"/>
  <c r="D37" i="3"/>
  <c r="F37" i="3"/>
  <c r="P57" i="12"/>
  <c r="A58" i="13"/>
  <c r="C58" i="13"/>
  <c r="H37" i="3"/>
  <c r="I37" i="3"/>
  <c r="L37" i="3"/>
  <c r="J37" i="3"/>
  <c r="K37" i="3"/>
  <c r="N37" i="3"/>
  <c r="P37" i="3"/>
  <c r="N57" i="12"/>
  <c r="M37" i="3"/>
  <c r="O37" i="3"/>
  <c r="Q37" i="3"/>
  <c r="O57" i="12"/>
  <c r="E37" i="3"/>
  <c r="G37" i="3"/>
  <c r="Q57" i="12"/>
  <c r="L58" i="12"/>
  <c r="L6" i="12"/>
  <c r="C27" i="3"/>
  <c r="M58" i="12"/>
  <c r="M6" i="12"/>
  <c r="D27" i="3"/>
  <c r="E27" i="3"/>
  <c r="B38" i="3"/>
  <c r="Z27" i="3"/>
  <c r="C38" i="3"/>
  <c r="D38" i="3"/>
  <c r="F38" i="3"/>
  <c r="P58" i="12"/>
  <c r="A59" i="13"/>
  <c r="C59" i="13"/>
  <c r="H38" i="3"/>
  <c r="I38" i="3"/>
  <c r="L38" i="3"/>
  <c r="J38" i="3"/>
  <c r="K38" i="3"/>
  <c r="N38" i="3"/>
  <c r="P38" i="3"/>
  <c r="N58" i="12"/>
  <c r="M38" i="3"/>
  <c r="O38" i="3"/>
  <c r="Q38" i="3"/>
  <c r="O58" i="12"/>
  <c r="E38" i="3"/>
  <c r="G38" i="3"/>
  <c r="Q58" i="12"/>
  <c r="L59" i="12"/>
  <c r="C28" i="3"/>
  <c r="M59" i="12"/>
  <c r="D28" i="3"/>
  <c r="E28" i="3"/>
  <c r="B39" i="3"/>
  <c r="Z28" i="3"/>
  <c r="C39" i="3"/>
  <c r="H39" i="3"/>
  <c r="I39" i="3"/>
  <c r="L39" i="3"/>
  <c r="J39" i="3"/>
  <c r="K39" i="3"/>
  <c r="N39" i="3"/>
  <c r="P39" i="3"/>
  <c r="N59" i="12"/>
  <c r="M39" i="3"/>
  <c r="O39" i="3"/>
  <c r="Q39" i="3"/>
  <c r="O59" i="12"/>
  <c r="D39" i="3"/>
  <c r="F39" i="3"/>
  <c r="P59" i="12"/>
  <c r="E39" i="3"/>
  <c r="G39" i="3"/>
  <c r="Q59" i="12"/>
  <c r="E2" i="13"/>
  <c r="D4" i="13"/>
  <c r="E3" i="13"/>
  <c r="E4" i="13"/>
  <c r="F2" i="13"/>
  <c r="F3" i="13"/>
  <c r="F4" i="13"/>
  <c r="G2" i="13"/>
  <c r="G3" i="13"/>
  <c r="G4" i="13"/>
  <c r="H4" i="13"/>
  <c r="I4" i="13"/>
  <c r="J4" i="13"/>
  <c r="K4" i="13"/>
  <c r="B4" i="13"/>
  <c r="C3" i="12"/>
  <c r="A60" i="13"/>
  <c r="C60" i="13"/>
  <c r="D60" i="13"/>
  <c r="F60" i="13"/>
  <c r="G60" i="13"/>
  <c r="D59" i="13"/>
  <c r="F59" i="13"/>
  <c r="G59" i="13"/>
  <c r="D58" i="13"/>
  <c r="F58" i="13"/>
  <c r="G58" i="13"/>
  <c r="D57" i="13"/>
  <c r="F57" i="13"/>
  <c r="G57" i="13"/>
  <c r="D56" i="13"/>
  <c r="F56" i="13"/>
  <c r="G56" i="13"/>
  <c r="D55" i="13"/>
  <c r="F55" i="13"/>
  <c r="G55" i="13"/>
  <c r="D54" i="13"/>
  <c r="F54" i="13"/>
  <c r="G54" i="13"/>
  <c r="D53" i="13"/>
  <c r="F53" i="13"/>
  <c r="G53" i="13"/>
  <c r="AE54" i="12"/>
  <c r="AD54" i="12"/>
  <c r="AC54" i="12"/>
  <c r="AB54" i="12"/>
  <c r="AA54" i="12"/>
  <c r="Z54" i="12"/>
  <c r="Y54" i="12"/>
  <c r="X54" i="12"/>
  <c r="AE53" i="12"/>
  <c r="AD53" i="12"/>
  <c r="AC53" i="12"/>
  <c r="AB53" i="12"/>
  <c r="AA53" i="12"/>
  <c r="Z53" i="12"/>
  <c r="Y53" i="12"/>
  <c r="X53" i="12"/>
  <c r="AE52" i="12"/>
  <c r="AD52" i="12"/>
  <c r="AC52" i="12"/>
  <c r="AB52" i="12"/>
  <c r="AA52" i="12"/>
  <c r="Z52" i="12"/>
  <c r="Y52" i="12"/>
  <c r="X52" i="12"/>
  <c r="M5" i="12"/>
  <c r="AE51" i="12"/>
  <c r="AD51" i="12"/>
  <c r="AC51" i="12"/>
  <c r="AB51" i="12"/>
  <c r="AA51" i="12"/>
  <c r="Z51" i="12"/>
  <c r="Y51" i="12"/>
  <c r="X51" i="12"/>
  <c r="D5" i="13"/>
  <c r="F5" i="13"/>
  <c r="G5" i="13"/>
  <c r="D6" i="13"/>
  <c r="F6" i="13"/>
  <c r="G6" i="13"/>
  <c r="D7" i="13"/>
  <c r="F7" i="13"/>
  <c r="G7" i="13"/>
  <c r="D8" i="13"/>
  <c r="F8" i="13"/>
  <c r="G8" i="13"/>
  <c r="D9" i="13"/>
  <c r="F9" i="13"/>
  <c r="G9" i="13"/>
  <c r="D10" i="13"/>
  <c r="F10" i="13"/>
  <c r="G10" i="13"/>
  <c r="D11" i="13"/>
  <c r="F11" i="13"/>
  <c r="G11" i="13"/>
  <c r="D12" i="13"/>
  <c r="F12" i="13"/>
  <c r="G12" i="13"/>
  <c r="D13" i="13"/>
  <c r="F13" i="13"/>
  <c r="G13" i="13"/>
  <c r="D14" i="13"/>
  <c r="F14" i="13"/>
  <c r="G14" i="13"/>
  <c r="D15" i="13"/>
  <c r="F15" i="13"/>
  <c r="G15" i="13"/>
  <c r="D16" i="13"/>
  <c r="F16" i="13"/>
  <c r="G16" i="13"/>
  <c r="D17" i="13"/>
  <c r="F17" i="13"/>
  <c r="G17" i="13"/>
  <c r="D18" i="13"/>
  <c r="F18" i="13"/>
  <c r="G18" i="13"/>
  <c r="D19" i="13"/>
  <c r="F19" i="13"/>
  <c r="G19" i="13"/>
  <c r="D20" i="13"/>
  <c r="F20" i="13"/>
  <c r="G20" i="13"/>
  <c r="D21" i="13"/>
  <c r="F21" i="13"/>
  <c r="G21" i="13"/>
  <c r="D22" i="13"/>
  <c r="F22" i="13"/>
  <c r="G22" i="13"/>
  <c r="D23" i="13"/>
  <c r="F23" i="13"/>
  <c r="G23" i="13"/>
  <c r="D24" i="13"/>
  <c r="F24" i="13"/>
  <c r="G24" i="13"/>
  <c r="D25" i="13"/>
  <c r="F25" i="13"/>
  <c r="G25" i="13"/>
  <c r="D26" i="13"/>
  <c r="F26" i="13"/>
  <c r="G26" i="13"/>
  <c r="D27" i="13"/>
  <c r="F27" i="13"/>
  <c r="G27" i="13"/>
  <c r="D28" i="13"/>
  <c r="F28" i="13"/>
  <c r="G28" i="13"/>
  <c r="D29" i="13"/>
  <c r="F29" i="13"/>
  <c r="G29" i="13"/>
  <c r="D30" i="13"/>
  <c r="F30" i="13"/>
  <c r="G30" i="13"/>
  <c r="D31" i="13"/>
  <c r="F31" i="13"/>
  <c r="G31" i="13"/>
  <c r="D32" i="13"/>
  <c r="F32" i="13"/>
  <c r="G32" i="13"/>
  <c r="D33" i="13"/>
  <c r="F33" i="13"/>
  <c r="G33" i="13"/>
  <c r="D34" i="13"/>
  <c r="F34" i="13"/>
  <c r="G34" i="13"/>
  <c r="D35" i="13"/>
  <c r="F35" i="13"/>
  <c r="G35" i="13"/>
  <c r="D36" i="13"/>
  <c r="F36" i="13"/>
  <c r="G36" i="13"/>
  <c r="D37" i="13"/>
  <c r="F37" i="13"/>
  <c r="G37" i="13"/>
  <c r="D38" i="13"/>
  <c r="F38" i="13"/>
  <c r="G38" i="13"/>
  <c r="D39" i="13"/>
  <c r="F39" i="13"/>
  <c r="G39" i="13"/>
  <c r="D40" i="13"/>
  <c r="F40" i="13"/>
  <c r="G40" i="13"/>
  <c r="D41" i="13"/>
  <c r="F41" i="13"/>
  <c r="G41" i="13"/>
  <c r="D42" i="13"/>
  <c r="F42" i="13"/>
  <c r="G42" i="13"/>
  <c r="D43" i="13"/>
  <c r="F43" i="13"/>
  <c r="G43" i="13"/>
  <c r="D44" i="13"/>
  <c r="F44" i="13"/>
  <c r="G44" i="13"/>
  <c r="D45" i="13"/>
  <c r="F45" i="13"/>
  <c r="G45" i="13"/>
  <c r="D46" i="13"/>
  <c r="F46" i="13"/>
  <c r="G46" i="13"/>
  <c r="D47" i="13"/>
  <c r="F47" i="13"/>
  <c r="G47" i="13"/>
  <c r="D48" i="13"/>
  <c r="F48" i="13"/>
  <c r="G48" i="13"/>
  <c r="D49" i="13"/>
  <c r="F49" i="13"/>
  <c r="G49" i="13"/>
  <c r="D50" i="13"/>
  <c r="F50" i="13"/>
  <c r="G50" i="13"/>
  <c r="D51" i="13"/>
  <c r="F51" i="13"/>
  <c r="G51" i="13"/>
  <c r="D52" i="13"/>
  <c r="F52" i="13"/>
  <c r="G52" i="13"/>
  <c r="AE50" i="12"/>
  <c r="AD50" i="12"/>
  <c r="AC50" i="12"/>
  <c r="AB50" i="12"/>
  <c r="AA50" i="12"/>
  <c r="Z50" i="12"/>
  <c r="Y50" i="12"/>
  <c r="X50" i="12"/>
  <c r="AE49" i="12"/>
  <c r="AD49" i="12"/>
  <c r="AC49" i="12"/>
  <c r="AB49" i="12"/>
  <c r="AA49" i="12"/>
  <c r="Z49" i="12"/>
  <c r="Y49" i="12"/>
  <c r="X49" i="12"/>
  <c r="AE48" i="12"/>
  <c r="AD48" i="12"/>
  <c r="AC48" i="12"/>
  <c r="AB48" i="12"/>
  <c r="AA48" i="12"/>
  <c r="Z48" i="12"/>
  <c r="Y48" i="12"/>
  <c r="X48" i="12"/>
  <c r="AE47" i="12"/>
  <c r="AD47" i="12"/>
  <c r="AC47" i="12"/>
  <c r="AB47" i="12"/>
  <c r="AA47" i="12"/>
  <c r="Z47" i="12"/>
  <c r="Y47" i="12"/>
  <c r="X47" i="12"/>
  <c r="AE46" i="12"/>
  <c r="AD46" i="12"/>
  <c r="AC46" i="12"/>
  <c r="AB46" i="12"/>
  <c r="AA46" i="12"/>
  <c r="Z46" i="12"/>
  <c r="Y46" i="12"/>
  <c r="X46" i="12"/>
  <c r="AE45" i="12"/>
  <c r="AD45" i="12"/>
  <c r="AC45" i="12"/>
  <c r="AB45" i="12"/>
  <c r="AA45" i="12"/>
  <c r="Z45" i="12"/>
  <c r="Y45" i="12"/>
  <c r="X45" i="12"/>
  <c r="AE44" i="12"/>
  <c r="AD44" i="12"/>
  <c r="AC44" i="12"/>
  <c r="AB44" i="12"/>
  <c r="AA44" i="12"/>
  <c r="Z44" i="12"/>
  <c r="Y44" i="12"/>
  <c r="X44" i="12"/>
  <c r="AE43" i="12"/>
  <c r="AD43" i="12"/>
  <c r="AC43" i="12"/>
  <c r="AB43" i="12"/>
  <c r="AA43" i="12"/>
  <c r="Z43" i="12"/>
  <c r="Y43" i="12"/>
  <c r="X43" i="12"/>
  <c r="AE42" i="12"/>
  <c r="AD42" i="12"/>
  <c r="AC42" i="12"/>
  <c r="AB42" i="12"/>
  <c r="AA42" i="12"/>
  <c r="Z42" i="12"/>
  <c r="Y42" i="12"/>
  <c r="X42" i="12"/>
  <c r="AE41" i="12"/>
  <c r="AD41" i="12"/>
  <c r="AC41" i="12"/>
  <c r="AB41" i="12"/>
  <c r="AA41" i="12"/>
  <c r="Z41" i="12"/>
  <c r="Y41" i="12"/>
  <c r="X41" i="12"/>
  <c r="AE40" i="12"/>
  <c r="AD40" i="12"/>
  <c r="AC40" i="12"/>
  <c r="AB40" i="12"/>
  <c r="AA40" i="12"/>
  <c r="Z40" i="12"/>
  <c r="Y40" i="12"/>
  <c r="X40" i="12"/>
  <c r="AE39" i="12"/>
  <c r="AD39" i="12"/>
  <c r="AC39" i="12"/>
  <c r="AB39" i="12"/>
  <c r="AA39" i="12"/>
  <c r="Z39" i="12"/>
  <c r="Y39" i="12"/>
  <c r="X39" i="12"/>
  <c r="AE38" i="12"/>
  <c r="AD38" i="12"/>
  <c r="AC38" i="12"/>
  <c r="AB38" i="12"/>
  <c r="AA38" i="12"/>
  <c r="Z38" i="12"/>
  <c r="Y38" i="12"/>
  <c r="X38" i="12"/>
  <c r="AE37" i="12"/>
  <c r="AD37" i="12"/>
  <c r="AC37" i="12"/>
  <c r="AB37" i="12"/>
  <c r="AA37" i="12"/>
  <c r="Z37" i="12"/>
  <c r="Y37" i="12"/>
  <c r="X37" i="12"/>
  <c r="AE36" i="12"/>
  <c r="AD36" i="12"/>
  <c r="AC36" i="12"/>
  <c r="AB36" i="12"/>
  <c r="AA36" i="12"/>
  <c r="Z36" i="12"/>
  <c r="Y36" i="12"/>
  <c r="X36" i="12"/>
  <c r="AE35" i="12"/>
  <c r="AD35" i="12"/>
  <c r="AC35" i="12"/>
  <c r="AB35" i="12"/>
  <c r="AA35" i="12"/>
  <c r="Z35" i="12"/>
  <c r="Y35" i="12"/>
  <c r="X35" i="12"/>
  <c r="AE34" i="12"/>
  <c r="AD34" i="12"/>
  <c r="AC34" i="12"/>
  <c r="AB34" i="12"/>
  <c r="AA34" i="12"/>
  <c r="Z34" i="12"/>
  <c r="Y34" i="12"/>
  <c r="X34" i="12"/>
  <c r="AE33" i="12"/>
  <c r="AD33" i="12"/>
  <c r="AC33" i="12"/>
  <c r="AB33" i="12"/>
  <c r="AA33" i="12"/>
  <c r="Z33" i="12"/>
  <c r="Y33" i="12"/>
  <c r="X33" i="12"/>
  <c r="AE32" i="12"/>
  <c r="AD32" i="12"/>
  <c r="AC32" i="12"/>
  <c r="AB32" i="12"/>
  <c r="AA32" i="12"/>
  <c r="Z32" i="12"/>
  <c r="Y32" i="12"/>
  <c r="X32" i="12"/>
  <c r="AE31" i="12"/>
  <c r="AD31" i="12"/>
  <c r="AC31" i="12"/>
  <c r="AB31" i="12"/>
  <c r="AA31" i="12"/>
  <c r="Z31" i="12"/>
  <c r="Y31" i="12"/>
  <c r="X31" i="12"/>
  <c r="AE30" i="12"/>
  <c r="AD30" i="12"/>
  <c r="AC30" i="12"/>
  <c r="AB30" i="12"/>
  <c r="AA30" i="12"/>
  <c r="Z30" i="12"/>
  <c r="Y30" i="12"/>
  <c r="X30" i="12"/>
  <c r="AE29" i="12"/>
  <c r="AD29" i="12"/>
  <c r="AC29" i="12"/>
  <c r="AB29" i="12"/>
  <c r="AA29" i="12"/>
  <c r="Z29" i="12"/>
  <c r="Y29" i="12"/>
  <c r="X29" i="12"/>
  <c r="AE28" i="12"/>
  <c r="AD28" i="12"/>
  <c r="AC28" i="12"/>
  <c r="AB28" i="12"/>
  <c r="AA28" i="12"/>
  <c r="Z28" i="12"/>
  <c r="Y28" i="12"/>
  <c r="X28" i="12"/>
  <c r="AE27" i="12"/>
  <c r="AD27" i="12"/>
  <c r="AC27" i="12"/>
  <c r="AB27" i="12"/>
  <c r="AA27" i="12"/>
  <c r="Z27" i="12"/>
  <c r="Y27" i="12"/>
  <c r="X27" i="12"/>
  <c r="AE26" i="12"/>
  <c r="AD26" i="12"/>
  <c r="AC26" i="12"/>
  <c r="AB26" i="12"/>
  <c r="AA26" i="12"/>
  <c r="Z26" i="12"/>
  <c r="Y26" i="12"/>
  <c r="X26" i="12"/>
  <c r="AE25" i="12"/>
  <c r="AD25" i="12"/>
  <c r="AC25" i="12"/>
  <c r="AB25" i="12"/>
  <c r="AA25" i="12"/>
  <c r="Z25" i="12"/>
  <c r="Y25" i="12"/>
  <c r="X25" i="12"/>
  <c r="AE24" i="12"/>
  <c r="AD24" i="12"/>
  <c r="AC24" i="12"/>
  <c r="AB24" i="12"/>
  <c r="AA24" i="12"/>
  <c r="Z24" i="12"/>
  <c r="Y24" i="12"/>
  <c r="X24" i="12"/>
  <c r="AE23" i="12"/>
  <c r="AD23" i="12"/>
  <c r="AC23" i="12"/>
  <c r="AB23" i="12"/>
  <c r="AA23" i="12"/>
  <c r="Z23" i="12"/>
  <c r="Y23" i="12"/>
  <c r="X23" i="12"/>
  <c r="AE22" i="12"/>
  <c r="AD22" i="12"/>
  <c r="AC22" i="12"/>
  <c r="AB22" i="12"/>
  <c r="AA22" i="12"/>
  <c r="Z22" i="12"/>
  <c r="Y22" i="12"/>
  <c r="X22" i="12"/>
  <c r="AE21" i="12"/>
  <c r="AD21" i="12"/>
  <c r="AC21" i="12"/>
  <c r="AB21" i="12"/>
  <c r="AA21" i="12"/>
  <c r="Z21" i="12"/>
  <c r="Y21" i="12"/>
  <c r="X21" i="12"/>
  <c r="AE20" i="12"/>
  <c r="AD20" i="12"/>
  <c r="AC20" i="12"/>
  <c r="AB20" i="12"/>
  <c r="AA20" i="12"/>
  <c r="Z20" i="12"/>
  <c r="Y20" i="12"/>
  <c r="X20" i="12"/>
  <c r="AE19" i="12"/>
  <c r="AD19" i="12"/>
  <c r="AC19" i="12"/>
  <c r="AB19" i="12"/>
  <c r="AA19" i="12"/>
  <c r="Z19" i="12"/>
  <c r="Y19" i="12"/>
  <c r="X19" i="12"/>
  <c r="AE18" i="12"/>
  <c r="AD18" i="12"/>
  <c r="AC18" i="12"/>
  <c r="AB18" i="12"/>
  <c r="AA18" i="12"/>
  <c r="Z18" i="12"/>
  <c r="Y18" i="12"/>
  <c r="X18" i="12"/>
  <c r="AE17" i="12"/>
  <c r="AD17" i="12"/>
  <c r="AC17" i="12"/>
  <c r="AB17" i="12"/>
  <c r="AA17" i="12"/>
  <c r="Z17" i="12"/>
  <c r="Y17" i="12"/>
  <c r="X17" i="12"/>
  <c r="AE16" i="12"/>
  <c r="AD16" i="12"/>
  <c r="AC16" i="12"/>
  <c r="AB16" i="12"/>
  <c r="AA16" i="12"/>
  <c r="Z16" i="12"/>
  <c r="Y16" i="12"/>
  <c r="X16" i="12"/>
  <c r="AE15" i="12"/>
  <c r="AD15" i="12"/>
  <c r="AC15" i="12"/>
  <c r="AB15" i="12"/>
  <c r="AA15" i="12"/>
  <c r="Z15" i="12"/>
  <c r="Y15" i="12"/>
  <c r="X15" i="12"/>
  <c r="AE14" i="12"/>
  <c r="AD14" i="12"/>
  <c r="AC14" i="12"/>
  <c r="AB14" i="12"/>
  <c r="AA14" i="12"/>
  <c r="Z14" i="12"/>
  <c r="Y14" i="12"/>
  <c r="X14" i="12"/>
  <c r="AE13" i="12"/>
  <c r="AD13" i="12"/>
  <c r="AC13" i="12"/>
  <c r="AB13" i="12"/>
  <c r="AA13" i="12"/>
  <c r="Z13" i="12"/>
  <c r="Y13" i="12"/>
  <c r="X13" i="12"/>
  <c r="AE12" i="12"/>
  <c r="AD12" i="12"/>
  <c r="AC12" i="12"/>
  <c r="AB12" i="12"/>
  <c r="AA12" i="12"/>
  <c r="Z12" i="12"/>
  <c r="Y12" i="12"/>
  <c r="X12" i="12"/>
  <c r="AE11" i="12"/>
  <c r="AD11" i="12"/>
  <c r="AC11" i="12"/>
  <c r="AB11" i="12"/>
  <c r="AA11" i="12"/>
  <c r="Z11" i="12"/>
  <c r="Y11" i="12"/>
  <c r="X11" i="12"/>
  <c r="AE8" i="12"/>
  <c r="AD8" i="12"/>
  <c r="AC8" i="12"/>
  <c r="AB8" i="12"/>
  <c r="AA8" i="12"/>
  <c r="Z8" i="12"/>
  <c r="Y8" i="12"/>
  <c r="X8" i="12"/>
  <c r="AE7" i="12"/>
  <c r="AD7" i="12"/>
  <c r="AC7" i="12"/>
  <c r="AB7" i="12"/>
  <c r="AA7" i="12"/>
  <c r="Z7" i="12"/>
  <c r="Y7" i="12"/>
  <c r="X7" i="12"/>
  <c r="BX62" i="12"/>
  <c r="BW62" i="12"/>
  <c r="BV62" i="12"/>
  <c r="BU62" i="12"/>
  <c r="BT62" i="12"/>
  <c r="BS62" i="12"/>
  <c r="BR62" i="12"/>
  <c r="BQ62" i="12"/>
  <c r="BP62" i="12"/>
  <c r="BO62" i="12"/>
  <c r="BN62" i="12"/>
  <c r="BM62" i="12"/>
  <c r="BL62" i="12"/>
  <c r="BK62" i="12"/>
  <c r="BJ62" i="12"/>
  <c r="BI62" i="12"/>
  <c r="BH62" i="12"/>
  <c r="BG62" i="12"/>
  <c r="BF62" i="12"/>
  <c r="BE62" i="12"/>
  <c r="BD62" i="12"/>
  <c r="BC62" i="12"/>
  <c r="BB62" i="12"/>
  <c r="BA62" i="12"/>
  <c r="AZ62" i="12"/>
  <c r="AY62" i="12"/>
  <c r="AX62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BX61" i="12"/>
  <c r="BW61" i="12"/>
  <c r="BV61" i="12"/>
  <c r="BU61" i="12"/>
  <c r="BT61" i="12"/>
  <c r="BS61" i="12"/>
  <c r="BR61" i="12"/>
  <c r="BQ61" i="12"/>
  <c r="BP61" i="12"/>
  <c r="BO61" i="12"/>
  <c r="BN61" i="12"/>
  <c r="BM61" i="12"/>
  <c r="BL61" i="12"/>
  <c r="BK61" i="12"/>
  <c r="BJ61" i="12"/>
  <c r="BI61" i="12"/>
  <c r="BH61" i="12"/>
  <c r="BG61" i="12"/>
  <c r="BF61" i="12"/>
  <c r="BE61" i="12"/>
  <c r="BD61" i="12"/>
  <c r="BC61" i="12"/>
  <c r="BB61" i="12"/>
  <c r="BA61" i="12"/>
  <c r="AZ61" i="12"/>
  <c r="AY61" i="12"/>
  <c r="AX61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BX60" i="12"/>
  <c r="BW60" i="12"/>
  <c r="BV60" i="12"/>
  <c r="BU60" i="12"/>
  <c r="BT60" i="12"/>
  <c r="BS60" i="12"/>
  <c r="BR60" i="12"/>
  <c r="BQ60" i="12"/>
  <c r="BP60" i="12"/>
  <c r="BO60" i="12"/>
  <c r="BN60" i="12"/>
  <c r="BM60" i="12"/>
  <c r="BL60" i="12"/>
  <c r="BK60" i="12"/>
  <c r="BJ60" i="12"/>
  <c r="BI60" i="12"/>
  <c r="BH60" i="12"/>
  <c r="BG60" i="12"/>
  <c r="BF60" i="12"/>
  <c r="BE60" i="12"/>
  <c r="BD60" i="12"/>
  <c r="BC60" i="12"/>
  <c r="BB60" i="12"/>
  <c r="BA60" i="12"/>
  <c r="AZ60" i="12"/>
  <c r="AY60" i="12"/>
  <c r="AX60" i="12"/>
  <c r="AW60" i="12"/>
  <c r="AV60" i="12"/>
  <c r="AU60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DN62" i="12"/>
  <c r="DM62" i="12"/>
  <c r="DL62" i="12"/>
  <c r="DK62" i="12"/>
  <c r="DJ62" i="12"/>
  <c r="DI62" i="12"/>
  <c r="DH62" i="12"/>
  <c r="DG62" i="12"/>
  <c r="DF62" i="12"/>
  <c r="DE62" i="12"/>
  <c r="DD62" i="12"/>
  <c r="DC62" i="12"/>
  <c r="DB62" i="12"/>
  <c r="DA62" i="12"/>
  <c r="CZ62" i="12"/>
  <c r="CY62" i="12"/>
  <c r="CX62" i="12"/>
  <c r="CW62" i="12"/>
  <c r="CV62" i="12"/>
  <c r="CU62" i="12"/>
  <c r="CT62" i="12"/>
  <c r="CS62" i="12"/>
  <c r="CR62" i="12"/>
  <c r="CQ62" i="12"/>
  <c r="CP62" i="12"/>
  <c r="CO62" i="12"/>
  <c r="CN62" i="12"/>
  <c r="CM62" i="12"/>
  <c r="CL62" i="12"/>
  <c r="CK62" i="12"/>
  <c r="CJ62" i="12"/>
  <c r="CI62" i="12"/>
  <c r="CH62" i="12"/>
  <c r="CG62" i="12"/>
  <c r="CF62" i="12"/>
  <c r="CE62" i="12"/>
  <c r="CD62" i="12"/>
  <c r="CC62" i="12"/>
  <c r="CB62" i="12"/>
  <c r="CA62" i="12"/>
  <c r="BZ62" i="12"/>
  <c r="BY62" i="12"/>
  <c r="DN61" i="12"/>
  <c r="DM61" i="12"/>
  <c r="DL61" i="12"/>
  <c r="DK61" i="12"/>
  <c r="DJ61" i="12"/>
  <c r="DI61" i="12"/>
  <c r="DH61" i="12"/>
  <c r="DG61" i="12"/>
  <c r="DF61" i="12"/>
  <c r="DE61" i="12"/>
  <c r="DD61" i="12"/>
  <c r="DC61" i="12"/>
  <c r="DB61" i="12"/>
  <c r="DA61" i="12"/>
  <c r="CZ61" i="12"/>
  <c r="CY61" i="12"/>
  <c r="CX61" i="12"/>
  <c r="CW61" i="12"/>
  <c r="CV61" i="12"/>
  <c r="CU61" i="12"/>
  <c r="CT61" i="12"/>
  <c r="CS61" i="12"/>
  <c r="CR61" i="12"/>
  <c r="CQ61" i="12"/>
  <c r="CP61" i="12"/>
  <c r="CO61" i="12"/>
  <c r="CN61" i="12"/>
  <c r="CM61" i="12"/>
  <c r="CL61" i="12"/>
  <c r="CK61" i="12"/>
  <c r="CJ61" i="12"/>
  <c r="CI61" i="12"/>
  <c r="CH61" i="12"/>
  <c r="CG61" i="12"/>
  <c r="CF61" i="12"/>
  <c r="CE61" i="12"/>
  <c r="CD61" i="12"/>
  <c r="CC61" i="12"/>
  <c r="CB61" i="12"/>
  <c r="CA61" i="12"/>
  <c r="BZ61" i="12"/>
  <c r="BY61" i="12"/>
  <c r="DN60" i="12"/>
  <c r="DM60" i="12"/>
  <c r="DL60" i="12"/>
  <c r="DK60" i="12"/>
  <c r="DJ60" i="12"/>
  <c r="DI60" i="12"/>
  <c r="DH60" i="12"/>
  <c r="DG60" i="12"/>
  <c r="DF60" i="12"/>
  <c r="DE60" i="12"/>
  <c r="DD60" i="12"/>
  <c r="DC60" i="12"/>
  <c r="DB60" i="12"/>
  <c r="DA60" i="12"/>
  <c r="CZ60" i="12"/>
  <c r="CY60" i="12"/>
  <c r="CX60" i="12"/>
  <c r="CW60" i="12"/>
  <c r="CV60" i="12"/>
  <c r="CU60" i="12"/>
  <c r="CT60" i="12"/>
  <c r="CS60" i="12"/>
  <c r="CR60" i="12"/>
  <c r="CQ60" i="12"/>
  <c r="CP60" i="12"/>
  <c r="CO60" i="12"/>
  <c r="CN60" i="12"/>
  <c r="CM60" i="12"/>
  <c r="CL60" i="12"/>
  <c r="CK60" i="12"/>
  <c r="CJ60" i="12"/>
  <c r="CI60" i="12"/>
  <c r="CH60" i="12"/>
  <c r="CG60" i="12"/>
  <c r="CF60" i="12"/>
  <c r="CE60" i="12"/>
  <c r="CD60" i="12"/>
  <c r="CC60" i="12"/>
  <c r="CB60" i="12"/>
  <c r="CA60" i="12"/>
  <c r="BZ60" i="12"/>
  <c r="BY60" i="12"/>
  <c r="CU59" i="12"/>
  <c r="CU58" i="12"/>
  <c r="CV59" i="12"/>
  <c r="CV58" i="12"/>
  <c r="CT59" i="12"/>
  <c r="CT58" i="12"/>
  <c r="CT57" i="12"/>
  <c r="CT56" i="12"/>
  <c r="A3" i="13"/>
  <c r="H51" i="3"/>
  <c r="F51" i="3"/>
  <c r="C51" i="3"/>
  <c r="B51" i="3"/>
  <c r="A51" i="3"/>
  <c r="H50" i="3"/>
  <c r="F50" i="3"/>
  <c r="C50" i="3"/>
  <c r="B50" i="3"/>
  <c r="A50" i="3"/>
  <c r="H49" i="3"/>
  <c r="F49" i="3"/>
  <c r="C49" i="3"/>
  <c r="B49" i="3"/>
  <c r="A49" i="3"/>
  <c r="H48" i="3"/>
  <c r="F48" i="3"/>
  <c r="C48" i="3"/>
  <c r="B48" i="3"/>
  <c r="A48" i="3"/>
  <c r="A47" i="3"/>
  <c r="H46" i="3"/>
  <c r="F46" i="3"/>
  <c r="C46" i="3"/>
  <c r="B46" i="3"/>
  <c r="A46" i="3"/>
  <c r="H45" i="3"/>
  <c r="F45" i="3"/>
  <c r="L5" i="12"/>
  <c r="C45" i="3"/>
  <c r="B45" i="3"/>
  <c r="A45" i="3"/>
  <c r="H44" i="3"/>
  <c r="F44" i="3"/>
  <c r="C44" i="3"/>
  <c r="B44" i="3"/>
  <c r="A44" i="3"/>
  <c r="H43" i="3"/>
  <c r="F43" i="3"/>
  <c r="C43" i="3"/>
  <c r="B43" i="3"/>
  <c r="A43" i="3"/>
  <c r="A28" i="3"/>
  <c r="A27" i="3"/>
  <c r="A26" i="3"/>
  <c r="A25" i="3"/>
  <c r="A24" i="3"/>
  <c r="A23" i="3"/>
  <c r="A22" i="3"/>
  <c r="A21" i="3"/>
  <c r="A20" i="3"/>
  <c r="DN59" i="12"/>
  <c r="DM59" i="12"/>
  <c r="DL59" i="12"/>
  <c r="DK59" i="12"/>
  <c r="DJ59" i="12"/>
  <c r="DI59" i="12"/>
  <c r="DH59" i="12"/>
  <c r="DG59" i="12"/>
  <c r="DF59" i="12"/>
  <c r="DE59" i="12"/>
  <c r="DD59" i="12"/>
  <c r="DC59" i="12"/>
  <c r="DB59" i="12"/>
  <c r="DA59" i="12"/>
  <c r="CZ59" i="12"/>
  <c r="CY59" i="12"/>
  <c r="CX59" i="12"/>
  <c r="CW59" i="12"/>
  <c r="CS59" i="12"/>
  <c r="CR59" i="12"/>
  <c r="CQ59" i="12"/>
  <c r="CP59" i="12"/>
  <c r="CO59" i="12"/>
  <c r="CN59" i="12"/>
  <c r="CM59" i="12"/>
  <c r="CL59" i="12"/>
  <c r="CK59" i="12"/>
  <c r="CJ59" i="12"/>
  <c r="CI59" i="12"/>
  <c r="CH59" i="12"/>
  <c r="CG59" i="12"/>
  <c r="CF59" i="12"/>
  <c r="CE59" i="12"/>
  <c r="CD59" i="12"/>
  <c r="CC59" i="12"/>
  <c r="CB59" i="12"/>
  <c r="CA59" i="12"/>
  <c r="BZ59" i="12"/>
  <c r="BY59" i="12"/>
  <c r="AT28" i="3"/>
  <c r="BX59" i="12"/>
  <c r="AS28" i="3"/>
  <c r="BW59" i="12"/>
  <c r="AR28" i="3"/>
  <c r="BV59" i="12"/>
  <c r="AQ28" i="3"/>
  <c r="BU59" i="12"/>
  <c r="AP28" i="3"/>
  <c r="BT59" i="12"/>
  <c r="AO28" i="3"/>
  <c r="BS59" i="12"/>
  <c r="AN28" i="3"/>
  <c r="BR59" i="12"/>
  <c r="AM28" i="3"/>
  <c r="BQ59" i="12"/>
  <c r="AL28" i="3"/>
  <c r="BP59" i="12"/>
  <c r="AK28" i="3"/>
  <c r="BO59" i="12"/>
  <c r="AJ28" i="3"/>
  <c r="BN59" i="12"/>
  <c r="AI28" i="3"/>
  <c r="BM59" i="12"/>
  <c r="AH28" i="3"/>
  <c r="BL59" i="12"/>
  <c r="AG28" i="3"/>
  <c r="BK59" i="12"/>
  <c r="AF28" i="3"/>
  <c r="BJ59" i="12"/>
  <c r="AE28" i="3"/>
  <c r="BI59" i="12"/>
  <c r="AD28" i="3"/>
  <c r="BH59" i="12"/>
  <c r="AC28" i="3"/>
  <c r="BG59" i="12"/>
  <c r="AB28" i="3"/>
  <c r="BF59" i="12"/>
  <c r="AA28" i="3"/>
  <c r="BE59" i="12"/>
  <c r="BD59" i="12"/>
  <c r="Y28" i="3"/>
  <c r="BC59" i="12"/>
  <c r="X28" i="3"/>
  <c r="BB59" i="12"/>
  <c r="W28" i="3"/>
  <c r="BA59" i="12"/>
  <c r="V28" i="3"/>
  <c r="AZ59" i="12"/>
  <c r="U28" i="3"/>
  <c r="AY59" i="12"/>
  <c r="T28" i="3"/>
  <c r="AX59" i="12"/>
  <c r="S28" i="3"/>
  <c r="AW59" i="12"/>
  <c r="R28" i="3"/>
  <c r="AV59" i="12"/>
  <c r="Q28" i="3"/>
  <c r="AU59" i="12"/>
  <c r="P28" i="3"/>
  <c r="AT59" i="12"/>
  <c r="O28" i="3"/>
  <c r="AS59" i="12"/>
  <c r="N28" i="3"/>
  <c r="AR59" i="12"/>
  <c r="M28" i="3"/>
  <c r="AQ59" i="12"/>
  <c r="L28" i="3"/>
  <c r="AP59" i="12"/>
  <c r="K28" i="3"/>
  <c r="AO59" i="12"/>
  <c r="J28" i="3"/>
  <c r="AN59" i="12"/>
  <c r="I28" i="3"/>
  <c r="AM59" i="12"/>
  <c r="H28" i="3"/>
  <c r="AL59" i="12"/>
  <c r="G28" i="3"/>
  <c r="AK59" i="12"/>
  <c r="F28" i="3"/>
  <c r="AJ59" i="12"/>
  <c r="AI59" i="12"/>
  <c r="S39" i="3"/>
  <c r="W59" i="12"/>
  <c r="R59" i="12"/>
  <c r="E51" i="3"/>
  <c r="I51" i="3"/>
  <c r="M51" i="3"/>
  <c r="Q51" i="3"/>
  <c r="U51" i="3"/>
  <c r="Z51" i="3"/>
  <c r="AE59" i="12"/>
  <c r="D51" i="3"/>
  <c r="L51" i="3"/>
  <c r="P51" i="3"/>
  <c r="T51" i="3"/>
  <c r="Y51" i="3"/>
  <c r="AD59" i="12"/>
  <c r="G51" i="3"/>
  <c r="K51" i="3"/>
  <c r="O51" i="3"/>
  <c r="S51" i="3"/>
  <c r="X51" i="3"/>
  <c r="AC59" i="12"/>
  <c r="J51" i="3"/>
  <c r="N51" i="3"/>
  <c r="R51" i="3"/>
  <c r="W51" i="3"/>
  <c r="AB59" i="12"/>
  <c r="AA59" i="12"/>
  <c r="Z59" i="12"/>
  <c r="Y59" i="12"/>
  <c r="X59" i="12"/>
  <c r="R39" i="3"/>
  <c r="V59" i="12"/>
  <c r="DN58" i="12"/>
  <c r="DM58" i="12"/>
  <c r="DL58" i="12"/>
  <c r="DK58" i="12"/>
  <c r="DJ58" i="12"/>
  <c r="DI58" i="12"/>
  <c r="DH58" i="12"/>
  <c r="DG58" i="12"/>
  <c r="DF58" i="12"/>
  <c r="DE58" i="12"/>
  <c r="DD58" i="12"/>
  <c r="DC58" i="12"/>
  <c r="DB58" i="12"/>
  <c r="DA58" i="12"/>
  <c r="CZ58" i="12"/>
  <c r="CY58" i="12"/>
  <c r="CX58" i="12"/>
  <c r="CW58" i="12"/>
  <c r="CS58" i="12"/>
  <c r="CR58" i="12"/>
  <c r="CQ58" i="12"/>
  <c r="CP58" i="12"/>
  <c r="CO58" i="12"/>
  <c r="CN58" i="12"/>
  <c r="CM58" i="12"/>
  <c r="CL58" i="12"/>
  <c r="CK58" i="12"/>
  <c r="CJ58" i="12"/>
  <c r="CI58" i="12"/>
  <c r="CH58" i="12"/>
  <c r="CG58" i="12"/>
  <c r="CF58" i="12"/>
  <c r="CE58" i="12"/>
  <c r="CD58" i="12"/>
  <c r="CC58" i="12"/>
  <c r="CB58" i="12"/>
  <c r="CA58" i="12"/>
  <c r="BZ58" i="12"/>
  <c r="BY58" i="12"/>
  <c r="AT27" i="3"/>
  <c r="BX58" i="12"/>
  <c r="AS27" i="3"/>
  <c r="BW58" i="12"/>
  <c r="AR27" i="3"/>
  <c r="BV58" i="12"/>
  <c r="AQ27" i="3"/>
  <c r="BU58" i="12"/>
  <c r="AP27" i="3"/>
  <c r="BT58" i="12"/>
  <c r="AO27" i="3"/>
  <c r="BS58" i="12"/>
  <c r="AN27" i="3"/>
  <c r="BR58" i="12"/>
  <c r="AM27" i="3"/>
  <c r="BQ58" i="12"/>
  <c r="AL27" i="3"/>
  <c r="BP58" i="12"/>
  <c r="AK27" i="3"/>
  <c r="BO58" i="12"/>
  <c r="AJ27" i="3"/>
  <c r="BN58" i="12"/>
  <c r="AI27" i="3"/>
  <c r="BM58" i="12"/>
  <c r="AH27" i="3"/>
  <c r="BL58" i="12"/>
  <c r="AG27" i="3"/>
  <c r="BK58" i="12"/>
  <c r="AF27" i="3"/>
  <c r="BJ58" i="12"/>
  <c r="AE27" i="3"/>
  <c r="BI58" i="12"/>
  <c r="AD27" i="3"/>
  <c r="BH58" i="12"/>
  <c r="AC27" i="3"/>
  <c r="BG58" i="12"/>
  <c r="AB27" i="3"/>
  <c r="BF58" i="12"/>
  <c r="AA27" i="3"/>
  <c r="BE58" i="12"/>
  <c r="BD58" i="12"/>
  <c r="Y27" i="3"/>
  <c r="BC58" i="12"/>
  <c r="X27" i="3"/>
  <c r="BB58" i="12"/>
  <c r="W27" i="3"/>
  <c r="BA58" i="12"/>
  <c r="V27" i="3"/>
  <c r="AZ58" i="12"/>
  <c r="U27" i="3"/>
  <c r="AY58" i="12"/>
  <c r="T27" i="3"/>
  <c r="AX58" i="12"/>
  <c r="S27" i="3"/>
  <c r="AW58" i="12"/>
  <c r="R27" i="3"/>
  <c r="AV58" i="12"/>
  <c r="Q27" i="3"/>
  <c r="AU58" i="12"/>
  <c r="P27" i="3"/>
  <c r="AT58" i="12"/>
  <c r="O27" i="3"/>
  <c r="AS58" i="12"/>
  <c r="N27" i="3"/>
  <c r="AR58" i="12"/>
  <c r="M27" i="3"/>
  <c r="AQ58" i="12"/>
  <c r="L27" i="3"/>
  <c r="AP58" i="12"/>
  <c r="K27" i="3"/>
  <c r="AO58" i="12"/>
  <c r="J27" i="3"/>
  <c r="AN58" i="12"/>
  <c r="I27" i="3"/>
  <c r="AM58" i="12"/>
  <c r="H27" i="3"/>
  <c r="AL58" i="12"/>
  <c r="G27" i="3"/>
  <c r="AK58" i="12"/>
  <c r="F27" i="3"/>
  <c r="AJ58" i="12"/>
  <c r="AI58" i="12"/>
  <c r="S38" i="3"/>
  <c r="W58" i="12"/>
  <c r="R58" i="12"/>
  <c r="E50" i="3"/>
  <c r="I50" i="3"/>
  <c r="M50" i="3"/>
  <c r="Q50" i="3"/>
  <c r="U50" i="3"/>
  <c r="Z50" i="3"/>
  <c r="AE58" i="12"/>
  <c r="D50" i="3"/>
  <c r="L50" i="3"/>
  <c r="P50" i="3"/>
  <c r="T50" i="3"/>
  <c r="Y50" i="3"/>
  <c r="AD58" i="12"/>
  <c r="G50" i="3"/>
  <c r="K50" i="3"/>
  <c r="O50" i="3"/>
  <c r="S50" i="3"/>
  <c r="X50" i="3"/>
  <c r="AC58" i="12"/>
  <c r="J50" i="3"/>
  <c r="N50" i="3"/>
  <c r="R50" i="3"/>
  <c r="W50" i="3"/>
  <c r="AB58" i="12"/>
  <c r="AA58" i="12"/>
  <c r="Z58" i="12"/>
  <c r="Y58" i="12"/>
  <c r="X58" i="12"/>
  <c r="R38" i="3"/>
  <c r="V58" i="12"/>
  <c r="DN57" i="12"/>
  <c r="DM57" i="12"/>
  <c r="DL57" i="12"/>
  <c r="DK57" i="12"/>
  <c r="DJ57" i="12"/>
  <c r="DI57" i="12"/>
  <c r="DH57" i="12"/>
  <c r="DG57" i="12"/>
  <c r="DF57" i="12"/>
  <c r="DE57" i="12"/>
  <c r="DD57" i="12"/>
  <c r="DC57" i="12"/>
  <c r="DB57" i="12"/>
  <c r="DA57" i="12"/>
  <c r="CZ57" i="12"/>
  <c r="CY57" i="12"/>
  <c r="CX57" i="12"/>
  <c r="CW57" i="12"/>
  <c r="CV57" i="12"/>
  <c r="CU57" i="12"/>
  <c r="CS57" i="12"/>
  <c r="CR57" i="12"/>
  <c r="CQ57" i="12"/>
  <c r="CP57" i="12"/>
  <c r="CO57" i="12"/>
  <c r="CN57" i="12"/>
  <c r="CM57" i="12"/>
  <c r="CL57" i="12"/>
  <c r="CK57" i="12"/>
  <c r="CJ57" i="12"/>
  <c r="CI57" i="12"/>
  <c r="CH57" i="12"/>
  <c r="CG57" i="12"/>
  <c r="CF57" i="12"/>
  <c r="CE57" i="12"/>
  <c r="CD57" i="12"/>
  <c r="CC57" i="12"/>
  <c r="CB57" i="12"/>
  <c r="CA57" i="12"/>
  <c r="BZ57" i="12"/>
  <c r="BY57" i="12"/>
  <c r="AT26" i="3"/>
  <c r="BX57" i="12"/>
  <c r="AS26" i="3"/>
  <c r="BW57" i="12"/>
  <c r="AR26" i="3"/>
  <c r="BV57" i="12"/>
  <c r="AQ26" i="3"/>
  <c r="BU57" i="12"/>
  <c r="AP26" i="3"/>
  <c r="BT57" i="12"/>
  <c r="AO26" i="3"/>
  <c r="BS57" i="12"/>
  <c r="AN26" i="3"/>
  <c r="BR57" i="12"/>
  <c r="AM26" i="3"/>
  <c r="BQ57" i="12"/>
  <c r="AL26" i="3"/>
  <c r="BP57" i="12"/>
  <c r="AK26" i="3"/>
  <c r="BO57" i="12"/>
  <c r="AJ26" i="3"/>
  <c r="BN57" i="12"/>
  <c r="AI26" i="3"/>
  <c r="BM57" i="12"/>
  <c r="AH26" i="3"/>
  <c r="BL57" i="12"/>
  <c r="AG26" i="3"/>
  <c r="BK57" i="12"/>
  <c r="AF26" i="3"/>
  <c r="BJ57" i="12"/>
  <c r="AE26" i="3"/>
  <c r="BI57" i="12"/>
  <c r="AD26" i="3"/>
  <c r="BH57" i="12"/>
  <c r="AC26" i="3"/>
  <c r="BG57" i="12"/>
  <c r="AB26" i="3"/>
  <c r="BF57" i="12"/>
  <c r="AA26" i="3"/>
  <c r="BE57" i="12"/>
  <c r="BD57" i="12"/>
  <c r="Y26" i="3"/>
  <c r="BC57" i="12"/>
  <c r="X26" i="3"/>
  <c r="BB57" i="12"/>
  <c r="W26" i="3"/>
  <c r="BA57" i="12"/>
  <c r="V26" i="3"/>
  <c r="AZ57" i="12"/>
  <c r="U26" i="3"/>
  <c r="AY57" i="12"/>
  <c r="T26" i="3"/>
  <c r="AX57" i="12"/>
  <c r="S26" i="3"/>
  <c r="AW57" i="12"/>
  <c r="R26" i="3"/>
  <c r="AV57" i="12"/>
  <c r="Q26" i="3"/>
  <c r="AU57" i="12"/>
  <c r="P26" i="3"/>
  <c r="AT57" i="12"/>
  <c r="O26" i="3"/>
  <c r="AS57" i="12"/>
  <c r="N26" i="3"/>
  <c r="AR57" i="12"/>
  <c r="M26" i="3"/>
  <c r="AQ57" i="12"/>
  <c r="L26" i="3"/>
  <c r="AP57" i="12"/>
  <c r="K26" i="3"/>
  <c r="AO57" i="12"/>
  <c r="J26" i="3"/>
  <c r="AN57" i="12"/>
  <c r="I26" i="3"/>
  <c r="AM57" i="12"/>
  <c r="H26" i="3"/>
  <c r="AL57" i="12"/>
  <c r="G26" i="3"/>
  <c r="AK57" i="12"/>
  <c r="F26" i="3"/>
  <c r="AJ57" i="12"/>
  <c r="AI57" i="12"/>
  <c r="S37" i="3"/>
  <c r="W57" i="12"/>
  <c r="R57" i="12"/>
  <c r="E49" i="3"/>
  <c r="I49" i="3"/>
  <c r="M49" i="3"/>
  <c r="Q49" i="3"/>
  <c r="U49" i="3"/>
  <c r="Z49" i="3"/>
  <c r="AE57" i="12"/>
  <c r="D49" i="3"/>
  <c r="L49" i="3"/>
  <c r="P49" i="3"/>
  <c r="T49" i="3"/>
  <c r="Y49" i="3"/>
  <c r="AD57" i="12"/>
  <c r="G49" i="3"/>
  <c r="K49" i="3"/>
  <c r="O49" i="3"/>
  <c r="S49" i="3"/>
  <c r="X49" i="3"/>
  <c r="AC57" i="12"/>
  <c r="J49" i="3"/>
  <c r="N49" i="3"/>
  <c r="R49" i="3"/>
  <c r="W49" i="3"/>
  <c r="AB57" i="12"/>
  <c r="AA57" i="12"/>
  <c r="Z57" i="12"/>
  <c r="Y57" i="12"/>
  <c r="X57" i="12"/>
  <c r="R37" i="3"/>
  <c r="V57" i="12"/>
  <c r="DN56" i="12"/>
  <c r="DM56" i="12"/>
  <c r="DL56" i="12"/>
  <c r="DK56" i="12"/>
  <c r="DJ56" i="12"/>
  <c r="DI56" i="12"/>
  <c r="DH56" i="12"/>
  <c r="DG56" i="12"/>
  <c r="DF56" i="12"/>
  <c r="DE56" i="12"/>
  <c r="DD56" i="12"/>
  <c r="DC56" i="12"/>
  <c r="DB56" i="12"/>
  <c r="DA56" i="12"/>
  <c r="CZ56" i="12"/>
  <c r="CY56" i="12"/>
  <c r="CX56" i="12"/>
  <c r="CW56" i="12"/>
  <c r="CV56" i="12"/>
  <c r="CU56" i="12"/>
  <c r="CS56" i="12"/>
  <c r="CR56" i="12"/>
  <c r="CQ56" i="12"/>
  <c r="CP56" i="12"/>
  <c r="CO56" i="12"/>
  <c r="CN56" i="12"/>
  <c r="CM56" i="12"/>
  <c r="CL56" i="12"/>
  <c r="CK56" i="12"/>
  <c r="CJ56" i="12"/>
  <c r="CI56" i="12"/>
  <c r="CH56" i="12"/>
  <c r="CG56" i="12"/>
  <c r="CF56" i="12"/>
  <c r="CE56" i="12"/>
  <c r="CD56" i="12"/>
  <c r="CC56" i="12"/>
  <c r="CB56" i="12"/>
  <c r="CA56" i="12"/>
  <c r="BZ56" i="12"/>
  <c r="BY56" i="12"/>
  <c r="AT25" i="3"/>
  <c r="BX56" i="12"/>
  <c r="AS25" i="3"/>
  <c r="BW56" i="12"/>
  <c r="AR25" i="3"/>
  <c r="BV56" i="12"/>
  <c r="AQ25" i="3"/>
  <c r="BU56" i="12"/>
  <c r="AP25" i="3"/>
  <c r="BT56" i="12"/>
  <c r="AO25" i="3"/>
  <c r="BS56" i="12"/>
  <c r="AN25" i="3"/>
  <c r="BR56" i="12"/>
  <c r="AM25" i="3"/>
  <c r="BQ56" i="12"/>
  <c r="AL25" i="3"/>
  <c r="BP56" i="12"/>
  <c r="AK25" i="3"/>
  <c r="BO56" i="12"/>
  <c r="AJ25" i="3"/>
  <c r="BN56" i="12"/>
  <c r="AI25" i="3"/>
  <c r="BM56" i="12"/>
  <c r="AH25" i="3"/>
  <c r="BL56" i="12"/>
  <c r="AG25" i="3"/>
  <c r="BK56" i="12"/>
  <c r="AF25" i="3"/>
  <c r="BJ56" i="12"/>
  <c r="AE25" i="3"/>
  <c r="BI56" i="12"/>
  <c r="AD25" i="3"/>
  <c r="BH56" i="12"/>
  <c r="AC25" i="3"/>
  <c r="BG56" i="12"/>
  <c r="AB25" i="3"/>
  <c r="BF56" i="12"/>
  <c r="AA25" i="3"/>
  <c r="BE56" i="12"/>
  <c r="BD56" i="12"/>
  <c r="Y25" i="3"/>
  <c r="BC56" i="12"/>
  <c r="X25" i="3"/>
  <c r="BB56" i="12"/>
  <c r="W25" i="3"/>
  <c r="BA56" i="12"/>
  <c r="V25" i="3"/>
  <c r="AZ56" i="12"/>
  <c r="U25" i="3"/>
  <c r="AY56" i="12"/>
  <c r="T25" i="3"/>
  <c r="AX56" i="12"/>
  <c r="S25" i="3"/>
  <c r="AW56" i="12"/>
  <c r="R25" i="3"/>
  <c r="AV56" i="12"/>
  <c r="Q25" i="3"/>
  <c r="AU56" i="12"/>
  <c r="P25" i="3"/>
  <c r="AT56" i="12"/>
  <c r="O25" i="3"/>
  <c r="AS56" i="12"/>
  <c r="N25" i="3"/>
  <c r="AR56" i="12"/>
  <c r="M25" i="3"/>
  <c r="AQ56" i="12"/>
  <c r="L25" i="3"/>
  <c r="AP56" i="12"/>
  <c r="K25" i="3"/>
  <c r="AO56" i="12"/>
  <c r="J25" i="3"/>
  <c r="AN56" i="12"/>
  <c r="I25" i="3"/>
  <c r="AM56" i="12"/>
  <c r="H25" i="3"/>
  <c r="AL56" i="12"/>
  <c r="G25" i="3"/>
  <c r="AK56" i="12"/>
  <c r="F25" i="3"/>
  <c r="AJ56" i="12"/>
  <c r="AI56" i="12"/>
  <c r="S36" i="3"/>
  <c r="W56" i="12"/>
  <c r="R56" i="12"/>
  <c r="E48" i="3"/>
  <c r="I48" i="3"/>
  <c r="M48" i="3"/>
  <c r="Q48" i="3"/>
  <c r="U48" i="3"/>
  <c r="Z48" i="3"/>
  <c r="AE56" i="12"/>
  <c r="D48" i="3"/>
  <c r="L48" i="3"/>
  <c r="P48" i="3"/>
  <c r="T48" i="3"/>
  <c r="Y48" i="3"/>
  <c r="AD56" i="12"/>
  <c r="G48" i="3"/>
  <c r="K48" i="3"/>
  <c r="O48" i="3"/>
  <c r="S48" i="3"/>
  <c r="X48" i="3"/>
  <c r="AC56" i="12"/>
  <c r="J48" i="3"/>
  <c r="N48" i="3"/>
  <c r="R48" i="3"/>
  <c r="W48" i="3"/>
  <c r="AB56" i="12"/>
  <c r="AA56" i="12"/>
  <c r="Z56" i="12"/>
  <c r="Y56" i="12"/>
  <c r="X56" i="12"/>
  <c r="R36" i="3"/>
  <c r="V56" i="12"/>
  <c r="DN6" i="12"/>
  <c r="DM6" i="12"/>
  <c r="DL6" i="12"/>
  <c r="DK6" i="12"/>
  <c r="DJ6" i="12"/>
  <c r="DI6" i="12"/>
  <c r="DH6" i="12"/>
  <c r="DG6" i="12"/>
  <c r="DF6" i="12"/>
  <c r="DE6" i="12"/>
  <c r="DD6" i="12"/>
  <c r="DC6" i="12"/>
  <c r="DB6" i="12"/>
  <c r="DA6" i="12"/>
  <c r="CZ6" i="12"/>
  <c r="CY6" i="12"/>
  <c r="CX6" i="12"/>
  <c r="CW6" i="12"/>
  <c r="CV6" i="12"/>
  <c r="CU6" i="12"/>
  <c r="CT6" i="12"/>
  <c r="CS6" i="12"/>
  <c r="CR6" i="12"/>
  <c r="CQ6" i="12"/>
  <c r="CP6" i="12"/>
  <c r="CO6" i="12"/>
  <c r="CN6" i="12"/>
  <c r="CM6" i="12"/>
  <c r="CL6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AT23" i="3"/>
  <c r="BX6" i="12"/>
  <c r="AS23" i="3"/>
  <c r="BW6" i="12"/>
  <c r="AR23" i="3"/>
  <c r="BV6" i="12"/>
  <c r="AQ23" i="3"/>
  <c r="BU6" i="12"/>
  <c r="AP23" i="3"/>
  <c r="BT6" i="12"/>
  <c r="AO23" i="3"/>
  <c r="BS6" i="12"/>
  <c r="AN23" i="3"/>
  <c r="BR6" i="12"/>
  <c r="AM23" i="3"/>
  <c r="BQ6" i="12"/>
  <c r="AL23" i="3"/>
  <c r="BP6" i="12"/>
  <c r="AK23" i="3"/>
  <c r="BO6" i="12"/>
  <c r="AJ23" i="3"/>
  <c r="BN6" i="12"/>
  <c r="AI23" i="3"/>
  <c r="BM6" i="12"/>
  <c r="AH23" i="3"/>
  <c r="BL6" i="12"/>
  <c r="AG23" i="3"/>
  <c r="BK6" i="12"/>
  <c r="AF23" i="3"/>
  <c r="BJ6" i="12"/>
  <c r="AE23" i="3"/>
  <c r="BI6" i="12"/>
  <c r="AD23" i="3"/>
  <c r="BH6" i="12"/>
  <c r="AC23" i="3"/>
  <c r="BG6" i="12"/>
  <c r="BF6" i="12"/>
  <c r="BE6" i="12"/>
  <c r="BD6" i="12"/>
  <c r="Y23" i="3"/>
  <c r="BC6" i="12"/>
  <c r="X23" i="3"/>
  <c r="BB6" i="12"/>
  <c r="W23" i="3"/>
  <c r="BA6" i="12"/>
  <c r="V23" i="3"/>
  <c r="AZ6" i="12"/>
  <c r="U23" i="3"/>
  <c r="AY6" i="12"/>
  <c r="T23" i="3"/>
  <c r="AX6" i="12"/>
  <c r="S23" i="3"/>
  <c r="AW6" i="12"/>
  <c r="R23" i="3"/>
  <c r="AV6" i="12"/>
  <c r="Q23" i="3"/>
  <c r="AU6" i="12"/>
  <c r="P23" i="3"/>
  <c r="AT6" i="12"/>
  <c r="O23" i="3"/>
  <c r="AS6" i="12"/>
  <c r="N23" i="3"/>
  <c r="AR6" i="12"/>
  <c r="M23" i="3"/>
  <c r="AQ6" i="12"/>
  <c r="L23" i="3"/>
  <c r="AP6" i="12"/>
  <c r="K23" i="3"/>
  <c r="AO6" i="12"/>
  <c r="J23" i="3"/>
  <c r="AN6" i="12"/>
  <c r="I23" i="3"/>
  <c r="AM6" i="12"/>
  <c r="H23" i="3"/>
  <c r="AL6" i="12"/>
  <c r="AK6" i="12"/>
  <c r="AJ6" i="12"/>
  <c r="AI6" i="12"/>
  <c r="S34" i="3"/>
  <c r="W6" i="12"/>
  <c r="R6" i="12"/>
  <c r="E46" i="3"/>
  <c r="I46" i="3"/>
  <c r="M46" i="3"/>
  <c r="Q46" i="3"/>
  <c r="U46" i="3"/>
  <c r="Z46" i="3"/>
  <c r="AE6" i="12"/>
  <c r="D46" i="3"/>
  <c r="L46" i="3"/>
  <c r="P46" i="3"/>
  <c r="T46" i="3"/>
  <c r="Y46" i="3"/>
  <c r="AD6" i="12"/>
  <c r="G46" i="3"/>
  <c r="K46" i="3"/>
  <c r="O46" i="3"/>
  <c r="S46" i="3"/>
  <c r="X46" i="3"/>
  <c r="AC6" i="12"/>
  <c r="J46" i="3"/>
  <c r="N46" i="3"/>
  <c r="R46" i="3"/>
  <c r="W46" i="3"/>
  <c r="AB6" i="12"/>
  <c r="AA6" i="12"/>
  <c r="Z6" i="12"/>
  <c r="Y6" i="12"/>
  <c r="X6" i="12"/>
  <c r="R34" i="3"/>
  <c r="V6" i="12"/>
  <c r="DN5" i="12"/>
  <c r="DM5" i="12"/>
  <c r="DL5" i="12"/>
  <c r="DK5" i="12"/>
  <c r="DJ5" i="12"/>
  <c r="DI5" i="12"/>
  <c r="DH5" i="12"/>
  <c r="DG5" i="12"/>
  <c r="DF5" i="12"/>
  <c r="DE5" i="12"/>
  <c r="DD5" i="12"/>
  <c r="DC5" i="12"/>
  <c r="DB5" i="12"/>
  <c r="DA5" i="12"/>
  <c r="CZ5" i="12"/>
  <c r="CY5" i="12"/>
  <c r="CX5" i="12"/>
  <c r="CW5" i="12"/>
  <c r="CV5" i="12"/>
  <c r="CU5" i="12"/>
  <c r="CT5" i="12"/>
  <c r="CS5" i="12"/>
  <c r="CR5" i="12"/>
  <c r="CQ5" i="12"/>
  <c r="CP5" i="12"/>
  <c r="CO5" i="12"/>
  <c r="CN5" i="12"/>
  <c r="CM5" i="12"/>
  <c r="CL5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AT22" i="3"/>
  <c r="BX5" i="12"/>
  <c r="AS22" i="3"/>
  <c r="BW5" i="12"/>
  <c r="AR22" i="3"/>
  <c r="BV5" i="12"/>
  <c r="AQ22" i="3"/>
  <c r="BU5" i="12"/>
  <c r="AP22" i="3"/>
  <c r="BT5" i="12"/>
  <c r="AO22" i="3"/>
  <c r="BS5" i="12"/>
  <c r="AN22" i="3"/>
  <c r="BR5" i="12"/>
  <c r="AM22" i="3"/>
  <c r="BQ5" i="12"/>
  <c r="AL22" i="3"/>
  <c r="BP5" i="12"/>
  <c r="AK22" i="3"/>
  <c r="BO5" i="12"/>
  <c r="AJ22" i="3"/>
  <c r="BN5" i="12"/>
  <c r="AI22" i="3"/>
  <c r="BM5" i="12"/>
  <c r="AH22" i="3"/>
  <c r="BL5" i="12"/>
  <c r="AG22" i="3"/>
  <c r="BK5" i="12"/>
  <c r="AF22" i="3"/>
  <c r="BJ5" i="12"/>
  <c r="AE22" i="3"/>
  <c r="BI5" i="12"/>
  <c r="AD22" i="3"/>
  <c r="BH5" i="12"/>
  <c r="AC22" i="3"/>
  <c r="BG5" i="12"/>
  <c r="BF5" i="12"/>
  <c r="BE5" i="12"/>
  <c r="BD5" i="12"/>
  <c r="Y22" i="3"/>
  <c r="BC5" i="12"/>
  <c r="X22" i="3"/>
  <c r="BB5" i="12"/>
  <c r="W22" i="3"/>
  <c r="BA5" i="12"/>
  <c r="V22" i="3"/>
  <c r="AZ5" i="12"/>
  <c r="U22" i="3"/>
  <c r="AY5" i="12"/>
  <c r="T22" i="3"/>
  <c r="AX5" i="12"/>
  <c r="S22" i="3"/>
  <c r="AW5" i="12"/>
  <c r="R22" i="3"/>
  <c r="AV5" i="12"/>
  <c r="Q22" i="3"/>
  <c r="AU5" i="12"/>
  <c r="P22" i="3"/>
  <c r="AT5" i="12"/>
  <c r="O22" i="3"/>
  <c r="AS5" i="12"/>
  <c r="N22" i="3"/>
  <c r="AR5" i="12"/>
  <c r="M22" i="3"/>
  <c r="AQ5" i="12"/>
  <c r="L22" i="3"/>
  <c r="AP5" i="12"/>
  <c r="K22" i="3"/>
  <c r="AO5" i="12"/>
  <c r="J22" i="3"/>
  <c r="AN5" i="12"/>
  <c r="I22" i="3"/>
  <c r="AM5" i="12"/>
  <c r="H22" i="3"/>
  <c r="AL5" i="12"/>
  <c r="AK5" i="12"/>
  <c r="AJ5" i="12"/>
  <c r="AI5" i="12"/>
  <c r="S33" i="3"/>
  <c r="W5" i="12"/>
  <c r="R5" i="12"/>
  <c r="E45" i="3"/>
  <c r="I45" i="3"/>
  <c r="M45" i="3"/>
  <c r="Q45" i="3"/>
  <c r="U45" i="3"/>
  <c r="Z45" i="3"/>
  <c r="AE5" i="12"/>
  <c r="D45" i="3"/>
  <c r="L45" i="3"/>
  <c r="P45" i="3"/>
  <c r="T45" i="3"/>
  <c r="Y45" i="3"/>
  <c r="AD5" i="12"/>
  <c r="G45" i="3"/>
  <c r="K45" i="3"/>
  <c r="O45" i="3"/>
  <c r="S45" i="3"/>
  <c r="X45" i="3"/>
  <c r="AC5" i="12"/>
  <c r="J45" i="3"/>
  <c r="N45" i="3"/>
  <c r="R45" i="3"/>
  <c r="W45" i="3"/>
  <c r="AB5" i="12"/>
  <c r="AA5" i="12"/>
  <c r="Z5" i="12"/>
  <c r="Y5" i="12"/>
  <c r="X5" i="12"/>
  <c r="R33" i="3"/>
  <c r="V5" i="12"/>
  <c r="DN4" i="12"/>
  <c r="DM4" i="12"/>
  <c r="DL4" i="12"/>
  <c r="DK4" i="12"/>
  <c r="DJ4" i="12"/>
  <c r="DI4" i="12"/>
  <c r="DH4" i="12"/>
  <c r="DG4" i="12"/>
  <c r="DF4" i="12"/>
  <c r="DE4" i="12"/>
  <c r="DD4" i="12"/>
  <c r="DC4" i="12"/>
  <c r="DB4" i="12"/>
  <c r="DA4" i="12"/>
  <c r="CZ4" i="12"/>
  <c r="CY4" i="12"/>
  <c r="CX4" i="12"/>
  <c r="CW4" i="12"/>
  <c r="CV4" i="12"/>
  <c r="CU4" i="12"/>
  <c r="CT4" i="12"/>
  <c r="CS4" i="12"/>
  <c r="CR4" i="12"/>
  <c r="CQ4" i="12"/>
  <c r="CP4" i="12"/>
  <c r="CO4" i="12"/>
  <c r="CN4" i="12"/>
  <c r="CM4" i="12"/>
  <c r="CL4" i="12"/>
  <c r="CK4" i="12"/>
  <c r="CJ4" i="12"/>
  <c r="CI4" i="12"/>
  <c r="CH4" i="12"/>
  <c r="CG4" i="12"/>
  <c r="CF4" i="12"/>
  <c r="CE4" i="12"/>
  <c r="CD4" i="12"/>
  <c r="CC4" i="12"/>
  <c r="CB4" i="12"/>
  <c r="CA4" i="12"/>
  <c r="BZ4" i="12"/>
  <c r="BY4" i="12"/>
  <c r="AT21" i="3"/>
  <c r="BX4" i="12"/>
  <c r="AS21" i="3"/>
  <c r="BW4" i="12"/>
  <c r="AR21" i="3"/>
  <c r="BV4" i="12"/>
  <c r="AQ21" i="3"/>
  <c r="BU4" i="12"/>
  <c r="AP21" i="3"/>
  <c r="BT4" i="12"/>
  <c r="AO21" i="3"/>
  <c r="BS4" i="12"/>
  <c r="AN21" i="3"/>
  <c r="BR4" i="12"/>
  <c r="AM21" i="3"/>
  <c r="BQ4" i="12"/>
  <c r="AL21" i="3"/>
  <c r="BP4" i="12"/>
  <c r="AK21" i="3"/>
  <c r="BO4" i="12"/>
  <c r="AJ21" i="3"/>
  <c r="BN4" i="12"/>
  <c r="AI21" i="3"/>
  <c r="BM4" i="12"/>
  <c r="AH21" i="3"/>
  <c r="BL4" i="12"/>
  <c r="AG21" i="3"/>
  <c r="BK4" i="12"/>
  <c r="AF21" i="3"/>
  <c r="BJ4" i="12"/>
  <c r="AE21" i="3"/>
  <c r="BI4" i="12"/>
  <c r="AD21" i="3"/>
  <c r="BH4" i="12"/>
  <c r="AC21" i="3"/>
  <c r="BG4" i="12"/>
  <c r="AB21" i="3"/>
  <c r="BF4" i="12"/>
  <c r="AA21" i="3"/>
  <c r="BE4" i="12"/>
  <c r="Z21" i="3"/>
  <c r="BD4" i="12"/>
  <c r="Y21" i="3"/>
  <c r="BC4" i="12"/>
  <c r="X21" i="3"/>
  <c r="BB4" i="12"/>
  <c r="W21" i="3"/>
  <c r="BA4" i="12"/>
  <c r="V21" i="3"/>
  <c r="AZ4" i="12"/>
  <c r="U21" i="3"/>
  <c r="AY4" i="12"/>
  <c r="T21" i="3"/>
  <c r="AX4" i="12"/>
  <c r="S21" i="3"/>
  <c r="AW4" i="12"/>
  <c r="R21" i="3"/>
  <c r="AV4" i="12"/>
  <c r="Q21" i="3"/>
  <c r="AU4" i="12"/>
  <c r="P21" i="3"/>
  <c r="AT4" i="12"/>
  <c r="O21" i="3"/>
  <c r="AS4" i="12"/>
  <c r="N21" i="3"/>
  <c r="AR4" i="12"/>
  <c r="M21" i="3"/>
  <c r="AQ4" i="12"/>
  <c r="L21" i="3"/>
  <c r="AP4" i="12"/>
  <c r="K21" i="3"/>
  <c r="AO4" i="12"/>
  <c r="J21" i="3"/>
  <c r="AN4" i="12"/>
  <c r="I21" i="3"/>
  <c r="AM4" i="12"/>
  <c r="H21" i="3"/>
  <c r="AL4" i="12"/>
  <c r="G21" i="3"/>
  <c r="AK4" i="12"/>
  <c r="F21" i="3"/>
  <c r="AJ4" i="12"/>
  <c r="E21" i="3"/>
  <c r="AI4" i="12"/>
  <c r="B32" i="3"/>
  <c r="C32" i="3"/>
  <c r="J32" i="3"/>
  <c r="K32" i="3"/>
  <c r="O32" i="3"/>
  <c r="H32" i="3"/>
  <c r="I32" i="3"/>
  <c r="M32" i="3"/>
  <c r="S32" i="3"/>
  <c r="W4" i="12"/>
  <c r="R4" i="12"/>
  <c r="E44" i="3"/>
  <c r="I44" i="3"/>
  <c r="M44" i="3"/>
  <c r="Q44" i="3"/>
  <c r="U44" i="3"/>
  <c r="Z44" i="3"/>
  <c r="AE4" i="12"/>
  <c r="D44" i="3"/>
  <c r="L44" i="3"/>
  <c r="P44" i="3"/>
  <c r="T44" i="3"/>
  <c r="Y44" i="3"/>
  <c r="AD4" i="12"/>
  <c r="G44" i="3"/>
  <c r="K44" i="3"/>
  <c r="O44" i="3"/>
  <c r="S44" i="3"/>
  <c r="X44" i="3"/>
  <c r="AC4" i="12"/>
  <c r="J44" i="3"/>
  <c r="N44" i="3"/>
  <c r="R44" i="3"/>
  <c r="W44" i="3"/>
  <c r="AB4" i="12"/>
  <c r="AA4" i="12"/>
  <c r="Z4" i="12"/>
  <c r="Y4" i="12"/>
  <c r="X4" i="12"/>
  <c r="N32" i="3"/>
  <c r="L32" i="3"/>
  <c r="R32" i="3"/>
  <c r="V4" i="12"/>
  <c r="DN3" i="12"/>
  <c r="DM3" i="12"/>
  <c r="DL3" i="12"/>
  <c r="DK3" i="12"/>
  <c r="DJ3" i="12"/>
  <c r="DI3" i="12"/>
  <c r="DH3" i="12"/>
  <c r="DG3" i="12"/>
  <c r="DF3" i="12"/>
  <c r="DE3" i="12"/>
  <c r="DD3" i="12"/>
  <c r="DC3" i="12"/>
  <c r="DB3" i="12"/>
  <c r="DA3" i="12"/>
  <c r="CZ3" i="12"/>
  <c r="CY3" i="12"/>
  <c r="CX3" i="12"/>
  <c r="CW3" i="12"/>
  <c r="CV3" i="12"/>
  <c r="CU3" i="12"/>
  <c r="CT3" i="12"/>
  <c r="CS3" i="12"/>
  <c r="CR3" i="12"/>
  <c r="CQ3" i="12"/>
  <c r="CP3" i="12"/>
  <c r="CO3" i="12"/>
  <c r="CN3" i="12"/>
  <c r="CM3" i="12"/>
  <c r="CL3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AT20" i="3"/>
  <c r="BX3" i="12"/>
  <c r="AS20" i="3"/>
  <c r="BW3" i="12"/>
  <c r="AR20" i="3"/>
  <c r="BV3" i="12"/>
  <c r="AQ20" i="3"/>
  <c r="BU3" i="12"/>
  <c r="AP20" i="3"/>
  <c r="BT3" i="12"/>
  <c r="AO20" i="3"/>
  <c r="BS3" i="12"/>
  <c r="AN20" i="3"/>
  <c r="BR3" i="12"/>
  <c r="AM20" i="3"/>
  <c r="BQ3" i="12"/>
  <c r="AL20" i="3"/>
  <c r="BP3" i="12"/>
  <c r="AK20" i="3"/>
  <c r="BO3" i="12"/>
  <c r="AJ20" i="3"/>
  <c r="BN3" i="12"/>
  <c r="AI20" i="3"/>
  <c r="BM3" i="12"/>
  <c r="AH20" i="3"/>
  <c r="BL3" i="12"/>
  <c r="AG20" i="3"/>
  <c r="BK3" i="12"/>
  <c r="AF20" i="3"/>
  <c r="BJ3" i="12"/>
  <c r="AE20" i="3"/>
  <c r="BI3" i="12"/>
  <c r="AD20" i="3"/>
  <c r="BH3" i="12"/>
  <c r="AC20" i="3"/>
  <c r="BG3" i="12"/>
  <c r="BF3" i="12"/>
  <c r="BE3" i="12"/>
  <c r="BD3" i="12"/>
  <c r="Y20" i="3"/>
  <c r="BC3" i="12"/>
  <c r="X20" i="3"/>
  <c r="BB3" i="12"/>
  <c r="W20" i="3"/>
  <c r="BA3" i="12"/>
  <c r="V20" i="3"/>
  <c r="AZ3" i="12"/>
  <c r="U20" i="3"/>
  <c r="AY3" i="12"/>
  <c r="T20" i="3"/>
  <c r="AX3" i="12"/>
  <c r="S20" i="3"/>
  <c r="AW3" i="12"/>
  <c r="R20" i="3"/>
  <c r="AV3" i="12"/>
  <c r="Q20" i="3"/>
  <c r="AU3" i="12"/>
  <c r="P20" i="3"/>
  <c r="AT3" i="12"/>
  <c r="O20" i="3"/>
  <c r="AS3" i="12"/>
  <c r="N20" i="3"/>
  <c r="AR3" i="12"/>
  <c r="M20" i="3"/>
  <c r="AQ3" i="12"/>
  <c r="L20" i="3"/>
  <c r="AP3" i="12"/>
  <c r="K20" i="3"/>
  <c r="AO3" i="12"/>
  <c r="J20" i="3"/>
  <c r="AN3" i="12"/>
  <c r="I20" i="3"/>
  <c r="AM3" i="12"/>
  <c r="H20" i="3"/>
  <c r="AL3" i="12"/>
  <c r="AK3" i="12"/>
  <c r="AJ3" i="12"/>
  <c r="AI3" i="12"/>
  <c r="S31" i="3"/>
  <c r="W3" i="12"/>
  <c r="R3" i="12"/>
  <c r="E43" i="3"/>
  <c r="I43" i="3"/>
  <c r="M43" i="3"/>
  <c r="Q43" i="3"/>
  <c r="U43" i="3"/>
  <c r="Z43" i="3"/>
  <c r="AE3" i="12"/>
  <c r="D43" i="3"/>
  <c r="L43" i="3"/>
  <c r="P43" i="3"/>
  <c r="T43" i="3"/>
  <c r="Y43" i="3"/>
  <c r="AD3" i="12"/>
  <c r="G43" i="3"/>
  <c r="K43" i="3"/>
  <c r="O43" i="3"/>
  <c r="S43" i="3"/>
  <c r="X43" i="3"/>
  <c r="AC3" i="12"/>
  <c r="J43" i="3"/>
  <c r="N43" i="3"/>
  <c r="R43" i="3"/>
  <c r="W43" i="3"/>
  <c r="AB3" i="12"/>
  <c r="AA3" i="12"/>
  <c r="Z3" i="12"/>
  <c r="Y3" i="12"/>
  <c r="X3" i="12"/>
  <c r="R31" i="3"/>
  <c r="V3" i="12"/>
  <c r="AA51" i="3"/>
  <c r="V51" i="3"/>
  <c r="AA50" i="3"/>
  <c r="V50" i="3"/>
  <c r="AA49" i="3"/>
  <c r="V49" i="3"/>
  <c r="AA48" i="3"/>
  <c r="V48" i="3"/>
  <c r="A39" i="3"/>
  <c r="A38" i="3"/>
  <c r="A37" i="3"/>
  <c r="A36" i="3"/>
  <c r="A35" i="3"/>
  <c r="Q32" i="3"/>
  <c r="P32" i="3"/>
  <c r="E32" i="3"/>
  <c r="G32" i="3"/>
  <c r="D32" i="3"/>
  <c r="F32" i="3"/>
  <c r="A34" i="3"/>
  <c r="A32" i="3"/>
  <c r="V46" i="3"/>
  <c r="AA44" i="3"/>
  <c r="V44" i="3"/>
  <c r="AA45" i="3"/>
  <c r="V45" i="3"/>
  <c r="A33" i="3"/>
  <c r="A31" i="3"/>
  <c r="AA46" i="3"/>
  <c r="AA43" i="3"/>
  <c r="V43" i="3"/>
  <c r="E43" i="13"/>
  <c r="H43" i="13"/>
  <c r="K43" i="13"/>
  <c r="E42" i="13"/>
  <c r="H42" i="13"/>
  <c r="K42" i="13"/>
  <c r="E41" i="13"/>
  <c r="H41" i="13"/>
  <c r="K41" i="13"/>
  <c r="E40" i="13"/>
  <c r="H40" i="13"/>
  <c r="K40" i="13"/>
  <c r="E39" i="13"/>
  <c r="H39" i="13"/>
  <c r="K39" i="13"/>
  <c r="E38" i="13"/>
  <c r="H38" i="13"/>
  <c r="K38" i="13"/>
  <c r="E37" i="13"/>
  <c r="H37" i="13"/>
  <c r="K37" i="13"/>
  <c r="E36" i="13"/>
  <c r="H36" i="13"/>
  <c r="K36" i="13"/>
  <c r="E35" i="13"/>
  <c r="H35" i="13"/>
  <c r="K35" i="13"/>
  <c r="E34" i="13"/>
  <c r="H34" i="13"/>
  <c r="K34" i="13"/>
  <c r="E33" i="13"/>
  <c r="H33" i="13"/>
  <c r="K33" i="13"/>
  <c r="E32" i="13"/>
  <c r="H32" i="13"/>
  <c r="K32" i="13"/>
  <c r="E31" i="13"/>
  <c r="H31" i="13"/>
  <c r="K31" i="13"/>
  <c r="E30" i="13"/>
  <c r="H30" i="13"/>
  <c r="K30" i="13"/>
  <c r="E29" i="13"/>
  <c r="H29" i="13"/>
  <c r="K29" i="13"/>
  <c r="E28" i="13"/>
  <c r="H28" i="13"/>
  <c r="K28" i="13"/>
  <c r="E27" i="13"/>
  <c r="H27" i="13"/>
  <c r="K27" i="13"/>
  <c r="E26" i="13"/>
  <c r="H26" i="13"/>
  <c r="K26" i="13"/>
  <c r="E25" i="13"/>
  <c r="H25" i="13"/>
  <c r="K25" i="13"/>
  <c r="E24" i="13"/>
  <c r="H24" i="13"/>
  <c r="K24" i="13"/>
  <c r="E23" i="13"/>
  <c r="H23" i="13"/>
  <c r="K23" i="13"/>
  <c r="E22" i="13"/>
  <c r="H22" i="13"/>
  <c r="K22" i="13"/>
  <c r="E21" i="13"/>
  <c r="H21" i="13"/>
  <c r="K21" i="13"/>
  <c r="E20" i="13"/>
  <c r="H20" i="13"/>
  <c r="K20" i="13"/>
  <c r="E19" i="13"/>
  <c r="H19" i="13"/>
  <c r="K19" i="13"/>
  <c r="E18" i="13"/>
  <c r="H18" i="13"/>
  <c r="K18" i="13"/>
  <c r="E17" i="13"/>
  <c r="H17" i="13"/>
  <c r="K17" i="13"/>
  <c r="E16" i="13"/>
  <c r="H16" i="13"/>
  <c r="K16" i="13"/>
  <c r="E15" i="13"/>
  <c r="H15" i="13"/>
  <c r="K15" i="13"/>
  <c r="E14" i="13"/>
  <c r="H14" i="13"/>
  <c r="K14" i="13"/>
  <c r="E13" i="13"/>
  <c r="H13" i="13"/>
  <c r="K13" i="13"/>
  <c r="E53" i="13"/>
  <c r="H53" i="13"/>
  <c r="K53" i="13"/>
  <c r="E52" i="13"/>
  <c r="H52" i="13"/>
  <c r="K52" i="13"/>
  <c r="E49" i="13"/>
  <c r="H49" i="13"/>
  <c r="K49" i="13"/>
  <c r="J49" i="13"/>
  <c r="E56" i="13"/>
  <c r="H56" i="13"/>
  <c r="K56" i="13"/>
  <c r="E48" i="13"/>
  <c r="H48" i="13"/>
  <c r="K48" i="13"/>
  <c r="E47" i="13"/>
  <c r="H47" i="13"/>
  <c r="K47" i="13"/>
  <c r="E11" i="13"/>
  <c r="H11" i="13"/>
  <c r="K11" i="13"/>
  <c r="E58" i="13"/>
  <c r="H58" i="13"/>
  <c r="K58" i="13"/>
  <c r="E57" i="13"/>
  <c r="H57" i="13"/>
  <c r="K57" i="13"/>
  <c r="E44" i="13"/>
  <c r="H44" i="13"/>
  <c r="K44" i="13"/>
  <c r="J44" i="13"/>
  <c r="E10" i="13"/>
  <c r="H10" i="13"/>
  <c r="K10" i="13"/>
  <c r="E9" i="13"/>
  <c r="H9" i="13"/>
  <c r="K9" i="13"/>
  <c r="E8" i="13"/>
  <c r="H8" i="13"/>
  <c r="K8" i="13"/>
  <c r="E5" i="13"/>
  <c r="H5" i="13"/>
  <c r="K5" i="13"/>
  <c r="J52" i="13"/>
  <c r="E51" i="13"/>
  <c r="H51" i="13"/>
  <c r="K51" i="13"/>
  <c r="J51" i="13"/>
  <c r="E50" i="13"/>
  <c r="H50" i="13"/>
  <c r="K50" i="13"/>
  <c r="J50" i="13"/>
  <c r="J48" i="13"/>
  <c r="J47" i="13"/>
  <c r="E46" i="13"/>
  <c r="H46" i="13"/>
  <c r="K46" i="13"/>
  <c r="J46" i="13"/>
  <c r="E45" i="13"/>
  <c r="H45" i="13"/>
  <c r="K45" i="13"/>
  <c r="J45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E12" i="13"/>
  <c r="H12" i="13"/>
  <c r="K12" i="13"/>
  <c r="J12" i="13"/>
  <c r="J11" i="13"/>
  <c r="J10" i="13"/>
  <c r="J9" i="13"/>
  <c r="J8" i="13"/>
  <c r="E7" i="13"/>
  <c r="H7" i="13"/>
  <c r="K7" i="13"/>
  <c r="J7" i="13"/>
  <c r="E6" i="13"/>
  <c r="H6" i="13"/>
  <c r="K6" i="13"/>
  <c r="J6" i="13"/>
  <c r="J5" i="13"/>
  <c r="E54" i="13"/>
  <c r="H54" i="13"/>
  <c r="K54" i="13"/>
  <c r="E55" i="13"/>
  <c r="H55" i="13"/>
  <c r="J55" i="13"/>
  <c r="K55" i="13"/>
  <c r="J53" i="13"/>
  <c r="J54" i="13"/>
  <c r="J56" i="13"/>
  <c r="J57" i="13"/>
  <c r="J58" i="13"/>
  <c r="E59" i="13"/>
  <c r="H59" i="13"/>
  <c r="K59" i="13"/>
  <c r="J59" i="13"/>
  <c r="E60" i="13"/>
  <c r="H60" i="13"/>
  <c r="K60" i="13"/>
  <c r="J60" i="13"/>
  <c r="I60" i="13"/>
  <c r="B60" i="13"/>
  <c r="C59" i="12"/>
  <c r="I59" i="13"/>
  <c r="B59" i="13"/>
  <c r="C58" i="12"/>
  <c r="I58" i="13"/>
  <c r="B58" i="13"/>
  <c r="C57" i="12"/>
  <c r="I57" i="13"/>
  <c r="B57" i="13"/>
  <c r="C56" i="12"/>
  <c r="I56" i="13"/>
  <c r="B56" i="13"/>
  <c r="C55" i="12"/>
  <c r="I55" i="13"/>
  <c r="B55" i="13"/>
  <c r="C54" i="12"/>
  <c r="I54" i="13"/>
  <c r="B54" i="13"/>
  <c r="C53" i="12"/>
  <c r="I53" i="13"/>
  <c r="B53" i="13"/>
  <c r="C52" i="12"/>
  <c r="I52" i="13"/>
  <c r="B52" i="13"/>
  <c r="C51" i="12"/>
  <c r="I51" i="13"/>
  <c r="B51" i="13"/>
  <c r="C50" i="12"/>
  <c r="I50" i="13"/>
  <c r="B50" i="13"/>
  <c r="C49" i="12"/>
  <c r="I49" i="13"/>
  <c r="B49" i="13"/>
  <c r="C48" i="12"/>
  <c r="I48" i="13"/>
  <c r="B48" i="13"/>
  <c r="C47" i="12"/>
  <c r="I47" i="13"/>
  <c r="B47" i="13"/>
  <c r="C46" i="12"/>
  <c r="I46" i="13"/>
  <c r="B46" i="13"/>
  <c r="C45" i="12"/>
  <c r="I45" i="13"/>
  <c r="B45" i="13"/>
  <c r="C44" i="12"/>
  <c r="I44" i="13"/>
  <c r="B44" i="13"/>
  <c r="C43" i="12"/>
  <c r="I43" i="13"/>
  <c r="B43" i="13"/>
  <c r="C42" i="12"/>
  <c r="I42" i="13"/>
  <c r="B42" i="13"/>
  <c r="C41" i="12"/>
  <c r="I41" i="13"/>
  <c r="B41" i="13"/>
  <c r="C40" i="12"/>
  <c r="I40" i="13"/>
  <c r="B40" i="13"/>
  <c r="C39" i="12"/>
  <c r="I39" i="13"/>
  <c r="B39" i="13"/>
  <c r="C38" i="12"/>
  <c r="I38" i="13"/>
  <c r="B38" i="13"/>
  <c r="C37" i="12"/>
  <c r="I37" i="13"/>
  <c r="B37" i="13"/>
  <c r="C36" i="12"/>
  <c r="I36" i="13"/>
  <c r="B36" i="13"/>
  <c r="C35" i="12"/>
  <c r="I35" i="13"/>
  <c r="B35" i="13"/>
  <c r="C34" i="12"/>
  <c r="I34" i="13"/>
  <c r="B34" i="13"/>
  <c r="C33" i="12"/>
  <c r="I33" i="13"/>
  <c r="B33" i="13"/>
  <c r="C32" i="12"/>
  <c r="I32" i="13"/>
  <c r="B32" i="13"/>
  <c r="C31" i="12"/>
  <c r="I31" i="13"/>
  <c r="B31" i="13"/>
  <c r="C30" i="12"/>
  <c r="I30" i="13"/>
  <c r="B30" i="13"/>
  <c r="C29" i="12"/>
  <c r="I29" i="13"/>
  <c r="B29" i="13"/>
  <c r="C28" i="12"/>
  <c r="I28" i="13"/>
  <c r="B28" i="13"/>
  <c r="C27" i="12"/>
  <c r="I27" i="13"/>
  <c r="B27" i="13"/>
  <c r="C26" i="12"/>
  <c r="I26" i="13"/>
  <c r="B26" i="13"/>
  <c r="C25" i="12"/>
  <c r="I25" i="13"/>
  <c r="B25" i="13"/>
  <c r="C24" i="12"/>
  <c r="I24" i="13"/>
  <c r="B24" i="13"/>
  <c r="C23" i="12"/>
  <c r="I23" i="13"/>
  <c r="B23" i="13"/>
  <c r="C22" i="12"/>
  <c r="I22" i="13"/>
  <c r="B22" i="13"/>
  <c r="C21" i="12"/>
  <c r="I21" i="13"/>
  <c r="B21" i="13"/>
  <c r="C20" i="12"/>
  <c r="I20" i="13"/>
  <c r="B20" i="13"/>
  <c r="C19" i="12"/>
  <c r="I19" i="13"/>
  <c r="B19" i="13"/>
  <c r="C18" i="12"/>
  <c r="I18" i="13"/>
  <c r="B18" i="13"/>
  <c r="C17" i="12"/>
  <c r="I17" i="13"/>
  <c r="B17" i="13"/>
  <c r="C16" i="12"/>
  <c r="I16" i="13"/>
  <c r="B16" i="13"/>
  <c r="C15" i="12"/>
  <c r="I15" i="13"/>
  <c r="B15" i="13"/>
  <c r="C14" i="12"/>
  <c r="I14" i="13"/>
  <c r="B14" i="13"/>
  <c r="C13" i="12"/>
  <c r="I13" i="13"/>
  <c r="B13" i="13"/>
  <c r="C12" i="12"/>
  <c r="I12" i="13"/>
  <c r="B12" i="13"/>
  <c r="C11" i="12"/>
  <c r="I11" i="13"/>
  <c r="B11" i="13"/>
  <c r="C10" i="12"/>
  <c r="I10" i="13"/>
  <c r="B10" i="13"/>
  <c r="C9" i="12"/>
  <c r="I9" i="13"/>
  <c r="B9" i="13"/>
  <c r="C8" i="12"/>
  <c r="I8" i="13"/>
  <c r="B8" i="13"/>
  <c r="C7" i="12"/>
  <c r="I7" i="13"/>
  <c r="B7" i="13"/>
  <c r="C6" i="12"/>
  <c r="I6" i="13"/>
  <c r="B6" i="13"/>
  <c r="C5" i="12"/>
  <c r="I5" i="13"/>
  <c r="B5" i="13"/>
  <c r="C4" i="12"/>
</calcChain>
</file>

<file path=xl/sharedStrings.xml><?xml version="1.0" encoding="utf-8"?>
<sst xmlns="http://schemas.openxmlformats.org/spreadsheetml/2006/main" count="634" uniqueCount="303">
  <si>
    <t>Aperture Basic Info</t>
  </si>
  <si>
    <t>Detector Frame</t>
  </si>
  <si>
    <t>Science Frame</t>
  </si>
  <si>
    <t>V-Frame</t>
  </si>
  <si>
    <t>Frame Relationships</t>
  </si>
  <si>
    <t>Science to Ideal Polynomial</t>
  </si>
  <si>
    <t>Vertices</t>
  </si>
  <si>
    <t>InstrName</t>
  </si>
  <si>
    <t>AperName</t>
  </si>
  <si>
    <t>AperShape</t>
  </si>
  <si>
    <t>XDetSize</t>
  </si>
  <si>
    <t>YDetSize</t>
  </si>
  <si>
    <t>XDetRef</t>
  </si>
  <si>
    <t>YDetRef</t>
  </si>
  <si>
    <t>XSciSize</t>
  </si>
  <si>
    <t>YSciSize</t>
  </si>
  <si>
    <t>XSciRef</t>
  </si>
  <si>
    <t>YSciRef</t>
  </si>
  <si>
    <t>XSciScale</t>
  </si>
  <si>
    <t>YSciScale</t>
  </si>
  <si>
    <t>V2Ref</t>
  </si>
  <si>
    <t>V3Ref</t>
  </si>
  <si>
    <t>VIdlParity</t>
  </si>
  <si>
    <t>DetSciYAngle</t>
  </si>
  <si>
    <t>DetSciParity</t>
  </si>
  <si>
    <t>Sci2IdlDeg</t>
  </si>
  <si>
    <t>Sci2IdlX10</t>
  </si>
  <si>
    <t>Sci2IdlX11</t>
  </si>
  <si>
    <t>Sci2IdlX20</t>
  </si>
  <si>
    <t>Sci2IdlX21</t>
  </si>
  <si>
    <t>Sci2IdlX22</t>
  </si>
  <si>
    <t>Sci2IdlY10</t>
  </si>
  <si>
    <t>Sci2IdlY11</t>
  </si>
  <si>
    <t>Sci2IdlY20</t>
  </si>
  <si>
    <t>Sci2IdlY21</t>
  </si>
  <si>
    <t>Sci2IdlY22</t>
  </si>
  <si>
    <t>Idl2SciX10</t>
  </si>
  <si>
    <t>Idl2SciX11</t>
  </si>
  <si>
    <t>Idl2SciX20</t>
  </si>
  <si>
    <t>Idl2SciX21</t>
  </si>
  <si>
    <t>Idl2SciX22</t>
  </si>
  <si>
    <t>Idl2SciY10</t>
  </si>
  <si>
    <t>Idl2SciY11</t>
  </si>
  <si>
    <t>Idl2SciY20</t>
  </si>
  <si>
    <t>Idl2SciY21</t>
  </si>
  <si>
    <t>Idl2SciY22</t>
  </si>
  <si>
    <t>XIdlVert1</t>
  </si>
  <si>
    <t>XIdlVert2</t>
  </si>
  <si>
    <t>XIdlVert3</t>
  </si>
  <si>
    <t>XIdlVert4</t>
  </si>
  <si>
    <t>YIdlVert1</t>
  </si>
  <si>
    <t>YIdlVert2</t>
  </si>
  <si>
    <t>YIdlVert3</t>
  </si>
  <si>
    <t>YIdlVert4</t>
  </si>
  <si>
    <t>Comment</t>
  </si>
  <si>
    <t>x1</t>
  </si>
  <si>
    <t>x2</t>
  </si>
  <si>
    <t>x3</t>
  </si>
  <si>
    <t>x4</t>
  </si>
  <si>
    <t>y1</t>
  </si>
  <si>
    <t>y2</t>
  </si>
  <si>
    <t>y3</t>
  </si>
  <si>
    <t>y4</t>
  </si>
  <si>
    <t>NIRSPEC</t>
  </si>
  <si>
    <t>Science Corners</t>
  </si>
  <si>
    <t>Ix1</t>
  </si>
  <si>
    <t>Ix2</t>
  </si>
  <si>
    <t>Ix3</t>
  </si>
  <si>
    <t>Ix4</t>
  </si>
  <si>
    <t>Iy1</t>
  </si>
  <si>
    <t>Iy2</t>
  </si>
  <si>
    <t>Iy3</t>
  </si>
  <si>
    <t>V2_1</t>
  </si>
  <si>
    <t>V2_2</t>
  </si>
  <si>
    <t>V2_3</t>
  </si>
  <si>
    <t>V2_4</t>
  </si>
  <si>
    <t>V3_1</t>
  </si>
  <si>
    <t>V3_2</t>
  </si>
  <si>
    <t>V3_3</t>
  </si>
  <si>
    <t>V3_4</t>
  </si>
  <si>
    <t>Iy4</t>
  </si>
  <si>
    <t>V2V3 Corners</t>
  </si>
  <si>
    <t>QUAD</t>
  </si>
  <si>
    <t>UseAfterDate</t>
  </si>
  <si>
    <t>*END*</t>
  </si>
  <si>
    <t>V3SciXAngle</t>
  </si>
  <si>
    <t>V3SciYAngle</t>
  </si>
  <si>
    <t>Main Config Table</t>
  </si>
  <si>
    <t>Field</t>
  </si>
  <si>
    <t>Value</t>
  </si>
  <si>
    <t>Last Row Item</t>
  </si>
  <si>
    <t>Data Worksheet Name</t>
  </si>
  <si>
    <t>Excel Sheet Header Row</t>
  </si>
  <si>
    <t>Xpath Root</t>
  </si>
  <si>
    <t>Main List Node</t>
  </si>
  <si>
    <t>Foreign Key</t>
  </si>
  <si>
    <t>SIAF</t>
  </si>
  <si>
    <t>2</t>
  </si>
  <si>
    <t>/SiafEntries/SiafEntry</t>
  </si>
  <si>
    <t>True</t>
  </si>
  <si>
    <t>V3IdlYAngle</t>
  </si>
  <si>
    <t>Sci2IdlX30</t>
  </si>
  <si>
    <t>Sci2IdlX31</t>
  </si>
  <si>
    <t>Sci2IdlX32</t>
  </si>
  <si>
    <t>Sci2IdlX33</t>
  </si>
  <si>
    <t>Sci2IdlX40</t>
  </si>
  <si>
    <t>Sci2IdlX41</t>
  </si>
  <si>
    <t>Sci2IdlX42</t>
  </si>
  <si>
    <t>Sci2IdlX43</t>
  </si>
  <si>
    <t>Sci2IdlX44</t>
  </si>
  <si>
    <t>Sci2IdlX50</t>
  </si>
  <si>
    <t>Sci2IdlX51</t>
  </si>
  <si>
    <t>Sci2IdlX52</t>
  </si>
  <si>
    <t>Sci2IdlX53</t>
  </si>
  <si>
    <t>Sci2IdlX54</t>
  </si>
  <si>
    <t>Sci2IdlX55</t>
  </si>
  <si>
    <t>Sci2IdlY30</t>
  </si>
  <si>
    <t>Sci2IdlY31</t>
  </si>
  <si>
    <t>Sci2IdlY32</t>
  </si>
  <si>
    <t>Sci2IdlY33</t>
  </si>
  <si>
    <t>Sci2IdlY40</t>
  </si>
  <si>
    <t>Sci2IdlY41</t>
  </si>
  <si>
    <t>Sci2IdlY42</t>
  </si>
  <si>
    <t>Sci2IdlY43</t>
  </si>
  <si>
    <t>Sci2IdlY44</t>
  </si>
  <si>
    <t>Sci2IdlY50</t>
  </si>
  <si>
    <t>Sci2IdlY51</t>
  </si>
  <si>
    <t>Sci2IdlY52</t>
  </si>
  <si>
    <t>Sci2IdlY53</t>
  </si>
  <si>
    <t>Sci2IdlY54</t>
  </si>
  <si>
    <t>Sci2IdlY55</t>
  </si>
  <si>
    <t>Idl2SciX30</t>
  </si>
  <si>
    <t>Idl2SciX31</t>
  </si>
  <si>
    <t>Idl2SciX32</t>
  </si>
  <si>
    <t>Idl2SciX33</t>
  </si>
  <si>
    <t>Idl2SciX40</t>
  </si>
  <si>
    <t>Idl2SciX41</t>
  </si>
  <si>
    <t>Idl2SciX42</t>
  </si>
  <si>
    <t>Idl2SciX43</t>
  </si>
  <si>
    <t>Idl2SciX44</t>
  </si>
  <si>
    <t>Idl2SciX50</t>
  </si>
  <si>
    <t>Idl2SciX51</t>
  </si>
  <si>
    <t>Idl2SciX52</t>
  </si>
  <si>
    <t>Idl2SciX53</t>
  </si>
  <si>
    <t>Idl2SciX54</t>
  </si>
  <si>
    <t>Idl2SciX55</t>
  </si>
  <si>
    <t>Idl2SciY30</t>
  </si>
  <si>
    <t>Idl2SciY31</t>
  </si>
  <si>
    <t>Idl2SciY32</t>
  </si>
  <si>
    <t>Idl2SciY33</t>
  </si>
  <si>
    <t>Idl2SciY40</t>
  </si>
  <si>
    <t>Idl2SciY41</t>
  </si>
  <si>
    <t>Idl2SciY42</t>
  </si>
  <si>
    <t>Idl2SciY43</t>
  </si>
  <si>
    <t>Idl2SciY44</t>
  </si>
  <si>
    <t>Idl2SciY50</t>
  </si>
  <si>
    <t>Idl2SciY51</t>
  </si>
  <si>
    <t>Idl2SciY52</t>
  </si>
  <si>
    <t>Idl2SciY53</t>
  </si>
  <si>
    <t>Idl2SciY54</t>
  </si>
  <si>
    <t>Idl2SciY55</t>
  </si>
  <si>
    <t>CLEAR_GWA_OTE</t>
  </si>
  <si>
    <t>491_GWA</t>
  </si>
  <si>
    <t>492_GWA</t>
  </si>
  <si>
    <t>Sci2IdlX00</t>
  </si>
  <si>
    <t>Sci2IdlY00</t>
  </si>
  <si>
    <t>Xref</t>
  </si>
  <si>
    <t>Yref</t>
  </si>
  <si>
    <t>Xgwa</t>
  </si>
  <si>
    <t>XAN</t>
  </si>
  <si>
    <t>YAN</t>
  </si>
  <si>
    <t>Ygwa</t>
  </si>
  <si>
    <t>dXAN_dXgwa</t>
  </si>
  <si>
    <t>dXAN_dYgwa</t>
  </si>
  <si>
    <t>dYAN_dXgwa</t>
  </si>
  <si>
    <t>dYAN_dYgwa</t>
  </si>
  <si>
    <t>Xscale</t>
  </si>
  <si>
    <t>Yscale</t>
  </si>
  <si>
    <t>BetaX</t>
  </si>
  <si>
    <t>BetaY</t>
  </si>
  <si>
    <t>dV2_dYSci</t>
  </si>
  <si>
    <t>dV3_dXSci</t>
  </si>
  <si>
    <t>dV3_dYSci</t>
  </si>
  <si>
    <t>dV2_dXSci</t>
  </si>
  <si>
    <t>GWA plane corners</t>
  </si>
  <si>
    <t>Xoffset</t>
  </si>
  <si>
    <t>Yoffset</t>
  </si>
  <si>
    <t>491_GWA shifted</t>
  </si>
  <si>
    <t>492_GWA shifted</t>
  </si>
  <si>
    <t>492_GWA XY-flipped</t>
  </si>
  <si>
    <t>Reverse Directions</t>
  </si>
  <si>
    <t>F110W_GWA_OTE</t>
  </si>
  <si>
    <t>F140X_GWA_OTE</t>
  </si>
  <si>
    <t>Idl2SciX00</t>
  </si>
  <si>
    <t>Idl2SciY00</t>
  </si>
  <si>
    <t>Detector</t>
  </si>
  <si>
    <t>NRS1_FULL_OSS</t>
  </si>
  <si>
    <t>NRS1_FULL</t>
  </si>
  <si>
    <t>NRS2_FULL_OSS</t>
  </si>
  <si>
    <t>NRS2_FULL</t>
  </si>
  <si>
    <t>NRS_S200A1_SLIT</t>
  </si>
  <si>
    <t>NRS_S400A1_SLIT</t>
  </si>
  <si>
    <t>NRS_S200A2_SLIT</t>
  </si>
  <si>
    <t>NRS_S1600A1_SLIT</t>
  </si>
  <si>
    <t>NRS_S200B1_SLIT</t>
  </si>
  <si>
    <t>NRS_FULL_MSA</t>
  </si>
  <si>
    <t>NRS_FULL_MSA1</t>
  </si>
  <si>
    <t>NRS_FULL_MSA2</t>
  </si>
  <si>
    <t>NRS_FULL_MSA3</t>
  </si>
  <si>
    <t>NRS_FULL_MSA4</t>
  </si>
  <si>
    <t>AperType</t>
  </si>
  <si>
    <t>OSS</t>
  </si>
  <si>
    <t>FULLSCA</t>
  </si>
  <si>
    <t>SLIT</t>
  </si>
  <si>
    <t>TRANSFORM</t>
  </si>
  <si>
    <t>NRS_FULL_IFU</t>
  </si>
  <si>
    <t>NRS1_FP1MIMF</t>
  </si>
  <si>
    <t>NRS1_FP2MIMF</t>
  </si>
  <si>
    <t>NRS1_FP3MIMF</t>
  </si>
  <si>
    <t>NRS2_FP4MIMF</t>
  </si>
  <si>
    <t>NRS2_FP5MIMF</t>
  </si>
  <si>
    <t>NRS_CLEAR_OTEIP_MSA_L0</t>
  </si>
  <si>
    <t>NRS_CLEAR_OTEIP_MSA_L1</t>
  </si>
  <si>
    <t>NRS_F100LP_OTEIP_MSA_L0</t>
  </si>
  <si>
    <t>NRS_F100LP_OTEIP_MSA_L1</t>
  </si>
  <si>
    <t>NRS_F290LP_OTEIP_MSA_L0</t>
  </si>
  <si>
    <t>NRS_F290LP_OTEIP_MSA_L1</t>
  </si>
  <si>
    <t>NRS_F110W_OTEIP_MSA_L0</t>
  </si>
  <si>
    <t>NRS_F110W_OTEIP_MSA_L1</t>
  </si>
  <si>
    <t>NRS_F140X_OTEIP_MSA_L0</t>
  </si>
  <si>
    <t>NRS_F140X_OTEIP_MSA_L1</t>
  </si>
  <si>
    <t>NRS_F170LP_OTEIP_MSA_L0</t>
  </si>
  <si>
    <t>NRS_F170LP_OTEIP_MSA_L1</t>
  </si>
  <si>
    <t>NRS_F070LP_OTEIP_MSA_L0</t>
  </si>
  <si>
    <t>NRS_F070LP_OTEIP_MSA_L1</t>
  </si>
  <si>
    <t>DDCName</t>
  </si>
  <si>
    <t>NRS_CNTR</t>
  </si>
  <si>
    <t>NRS1_CNTR</t>
  </si>
  <si>
    <t>NRS2_CNTR</t>
  </si>
  <si>
    <t>None</t>
  </si>
  <si>
    <t xml:space="preserve">       NRS_SKY_OTEIP</t>
  </si>
  <si>
    <t>NRS_IFU_SLICE00</t>
  </si>
  <si>
    <t>NRS_IFU_SLICE01</t>
  </si>
  <si>
    <t>NRS_IFU_SLICE02</t>
  </si>
  <si>
    <t>NRS_IFU_SLICE03</t>
  </si>
  <si>
    <t>NRS_IFU_SLICE04</t>
  </si>
  <si>
    <t>NRS_IFU_SLICE05</t>
  </si>
  <si>
    <t>NRS_IFU_SLICE06</t>
  </si>
  <si>
    <t>NRS_IFU_SLICE07</t>
  </si>
  <si>
    <t>NRS_IFU_SLICE08</t>
  </si>
  <si>
    <t>NRS_IFU_SLICE09</t>
  </si>
  <si>
    <t>NRS_IFU_SLICE10</t>
  </si>
  <si>
    <t>NRS_IFU_SLICE11</t>
  </si>
  <si>
    <t>NRS_IFU_SLICE12</t>
  </si>
  <si>
    <t>NRS_IFU_SLICE13</t>
  </si>
  <si>
    <t>NRS_IFU_SLICE14</t>
  </si>
  <si>
    <t>NRS_IFU_SLICE15</t>
  </si>
  <si>
    <t>NRS_IFU_SLICE16</t>
  </si>
  <si>
    <t>NRS_IFU_SLICE17</t>
  </si>
  <si>
    <t>NRS_IFU_SLICE18</t>
  </si>
  <si>
    <t>NRS_IFU_SLICE19</t>
  </si>
  <si>
    <t>NRS_IFU_SLICE20</t>
  </si>
  <si>
    <t>NRS_IFU_SLICE21</t>
  </si>
  <si>
    <t>NRS_IFU_SLICE22</t>
  </si>
  <si>
    <t>NRS_IFU_SLICE23</t>
  </si>
  <si>
    <t>NRS_IFU_SLICE24</t>
  </si>
  <si>
    <t>NRS_IFU_SLICE25</t>
  </si>
  <si>
    <t>NRS_IFU_SLICE26</t>
  </si>
  <si>
    <t>NRS_IFU_SLICE27</t>
  </si>
  <si>
    <t>NRS_IFU_SLICE28</t>
  </si>
  <si>
    <t>NRS_IFU_SLICE29</t>
  </si>
  <si>
    <t>NRS_VIGNETTED_MSA</t>
  </si>
  <si>
    <t>NRS_VIGNETTED_MSA1</t>
  </si>
  <si>
    <t>NRS_VIGNETTED_MSA2</t>
  </si>
  <si>
    <t>NRS_VIGNETTED_MSA3</t>
  </si>
  <si>
    <t>NRS_VIGNETTED_MSA4</t>
  </si>
  <si>
    <t>NRS_FIELD1_MSA4</t>
  </si>
  <si>
    <t>NRS_FIELD2_MSA4</t>
  </si>
  <si>
    <t xml:space="preserve"> C1_XPOSSKY</t>
  </si>
  <si>
    <t xml:space="preserve"> C1_YPOSSKY</t>
  </si>
  <si>
    <t xml:space="preserve"> C2_XPOSSKY</t>
  </si>
  <si>
    <t xml:space="preserve"> C2_YPOSSKY</t>
  </si>
  <si>
    <t xml:space="preserve"> C3_XPOSSKY</t>
  </si>
  <si>
    <t xml:space="preserve"> C3_YPOSSKY</t>
  </si>
  <si>
    <t xml:space="preserve"> C4_XPOSSKY</t>
  </si>
  <si>
    <t xml:space="preserve"> C4_YPOSSKY</t>
  </si>
  <si>
    <t xml:space="preserve"> RefXPOSKY</t>
  </si>
  <si>
    <t xml:space="preserve"> RefYPOSKY</t>
  </si>
  <si>
    <t xml:space="preserve">Giovanna's delivery </t>
  </si>
  <si>
    <t>Radians</t>
  </si>
  <si>
    <t>XSci_1</t>
  </si>
  <si>
    <t>XSci_2</t>
  </si>
  <si>
    <t>XSci_3</t>
  </si>
  <si>
    <t>XSci_4</t>
  </si>
  <si>
    <t>Ysci_1</t>
  </si>
  <si>
    <t>Ysci_2</t>
  </si>
  <si>
    <t>Ysci_3</t>
  </si>
  <si>
    <t>Ysci_4</t>
  </si>
  <si>
    <t>Minimum</t>
  </si>
  <si>
    <t>Created</t>
  </si>
  <si>
    <t>SIAF_NAME</t>
  </si>
  <si>
    <t xml:space="preserve"> AngleV3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</si>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</sst>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0"/>
    <numFmt numFmtId="165" formatCode="0.00000E+00"/>
    <numFmt numFmtId="166" formatCode="0.000"/>
    <numFmt numFmtId="167" formatCode="0.0"/>
    <numFmt numFmtId="168" formatCode="0.0000"/>
    <numFmt numFmtId="169" formatCode="0.000000E+00"/>
    <numFmt numFmtId="170" formatCode="0.00000"/>
    <numFmt numFmtId="171" formatCode="yyyy\-mm\-dd"/>
    <numFmt numFmtId="172" formatCode="0.000000000000000E+00"/>
    <numFmt numFmtId="173" formatCode="0.00000000000000E+00"/>
    <numFmt numFmtId="174" formatCode="0.000000000000E+00"/>
    <numFmt numFmtId="175" formatCode="0.00000000"/>
    <numFmt numFmtId="176" formatCode="[$-409]mmmm\ d\,\ yyyy;@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5"/>
      <color theme="5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008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2"/>
      <name val="Calibri"/>
      <family val="2"/>
      <scheme val="minor"/>
    </font>
    <font>
      <i/>
      <sz val="14"/>
      <color rgb="FF0000FF"/>
      <name val="Courier"/>
      <family val="3"/>
    </font>
    <font>
      <sz val="14"/>
      <color rgb="FF000000"/>
      <name val="Courier"/>
      <family val="3"/>
    </font>
    <font>
      <b/>
      <sz val="14"/>
      <color rgb="FF000000"/>
      <name val="Courier"/>
      <family val="1"/>
    </font>
    <font>
      <b/>
      <sz val="15"/>
      <color rgb="FF1F497D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/>
      <bottom style="thick">
        <color theme="4"/>
      </bottom>
      <diagonal/>
    </border>
    <border>
      <left/>
      <right style="medium">
        <color theme="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 style="thin">
        <color auto="1"/>
      </right>
      <top/>
      <bottom style="thick">
        <color rgb="FF4F81BD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medium">
        <color auto="1"/>
      </bottom>
      <diagonal/>
    </border>
  </borders>
  <cellStyleXfs count="217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3">
    <xf numFmtId="0" fontId="0" fillId="0" borderId="0" xfId="0"/>
    <xf numFmtId="0" fontId="3" fillId="4" borderId="2" xfId="15" applyFill="1" applyBorder="1" applyAlignment="1">
      <alignment horizontal="center"/>
    </xf>
    <xf numFmtId="0" fontId="4" fillId="0" borderId="0" xfId="0" applyFont="1"/>
    <xf numFmtId="164" fontId="0" fillId="0" borderId="0" xfId="0" applyNumberFormat="1"/>
    <xf numFmtId="164" fontId="3" fillId="4" borderId="1" xfId="15" applyNumberFormat="1" applyFont="1" applyFill="1" applyAlignment="1">
      <alignment horizontal="center"/>
    </xf>
    <xf numFmtId="0" fontId="3" fillId="4" borderId="1" xfId="15" applyFont="1" applyFill="1" applyAlignment="1">
      <alignment horizontal="center"/>
    </xf>
    <xf numFmtId="165" fontId="3" fillId="4" borderId="1" xfId="15" applyNumberFormat="1" applyFont="1" applyFill="1" applyAlignment="1">
      <alignment horizontal="center"/>
    </xf>
    <xf numFmtId="168" fontId="0" fillId="0" borderId="0" xfId="0" applyNumberFormat="1"/>
    <xf numFmtId="2" fontId="0" fillId="4" borderId="0" xfId="0" applyNumberFormat="1" applyFill="1"/>
    <xf numFmtId="2" fontId="0" fillId="4" borderId="3" xfId="0" applyNumberFormat="1" applyFill="1" applyBorder="1"/>
    <xf numFmtId="0" fontId="6" fillId="0" borderId="0" xfId="0" applyFont="1"/>
    <xf numFmtId="0" fontId="7" fillId="2" borderId="1" xfId="15" applyFont="1" applyFill="1" applyAlignment="1">
      <alignment horizontal="center"/>
    </xf>
    <xf numFmtId="0" fontId="0" fillId="0" borderId="0" xfId="0" applyFill="1" applyAlignment="1"/>
    <xf numFmtId="0" fontId="0" fillId="0" borderId="0" xfId="0" applyFill="1" applyBorder="1" applyAlignment="1"/>
    <xf numFmtId="0" fontId="4" fillId="6" borderId="0" xfId="0" applyFont="1" applyFill="1" applyBorder="1" applyAlignment="1"/>
    <xf numFmtId="0" fontId="4" fillId="0" borderId="0" xfId="0" applyFont="1" applyFill="1" applyBorder="1" applyAlignment="1"/>
    <xf numFmtId="0" fontId="8" fillId="0" borderId="0" xfId="0" applyFont="1" applyFill="1" applyBorder="1" applyAlignment="1"/>
    <xf numFmtId="49" fontId="8" fillId="0" borderId="0" xfId="0" applyNumberFormat="1" applyFont="1" applyFill="1" applyBorder="1" applyAlignment="1"/>
    <xf numFmtId="49" fontId="0" fillId="0" borderId="0" xfId="0" applyNumberFormat="1"/>
    <xf numFmtId="0" fontId="3" fillId="4" borderId="1" xfId="15" applyFill="1" applyBorder="1" applyAlignment="1">
      <alignment horizontal="center"/>
    </xf>
    <xf numFmtId="169" fontId="0" fillId="0" borderId="0" xfId="0" applyNumberFormat="1"/>
    <xf numFmtId="166" fontId="0" fillId="0" borderId="0" xfId="0" applyNumberFormat="1"/>
    <xf numFmtId="164" fontId="0" fillId="3" borderId="0" xfId="0" applyNumberFormat="1" applyFill="1"/>
    <xf numFmtId="164" fontId="0" fillId="0" borderId="0" xfId="0" applyNumberFormat="1" applyFont="1"/>
    <xf numFmtId="164" fontId="10" fillId="0" borderId="0" xfId="0" applyNumberFormat="1" applyFont="1"/>
    <xf numFmtId="168" fontId="4" fillId="0" borderId="0" xfId="0" applyNumberFormat="1" applyFont="1"/>
    <xf numFmtId="0" fontId="11" fillId="0" borderId="0" xfId="0" applyFont="1"/>
    <xf numFmtId="166" fontId="11" fillId="0" borderId="0" xfId="0" applyNumberFormat="1" applyFont="1"/>
    <xf numFmtId="171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4" borderId="0" xfId="0" applyNumberFormat="1" applyFill="1" applyBorder="1"/>
    <xf numFmtId="0" fontId="12" fillId="0" borderId="0" xfId="0" applyFont="1"/>
    <xf numFmtId="0" fontId="13" fillId="0" borderId="0" xfId="0" applyFont="1"/>
    <xf numFmtId="168" fontId="14" fillId="10" borderId="6" xfId="0" applyNumberFormat="1" applyFont="1" applyFill="1" applyBorder="1"/>
    <xf numFmtId="168" fontId="15" fillId="10" borderId="9" xfId="0" applyNumberFormat="1" applyFont="1" applyFill="1" applyBorder="1"/>
    <xf numFmtId="168" fontId="14" fillId="12" borderId="6" xfId="0" applyNumberFormat="1" applyFont="1" applyFill="1" applyBorder="1"/>
    <xf numFmtId="168" fontId="15" fillId="12" borderId="6" xfId="0" applyNumberFormat="1" applyFont="1" applyFill="1" applyBorder="1"/>
    <xf numFmtId="168" fontId="15" fillId="12" borderId="9" xfId="0" applyNumberFormat="1" applyFont="1" applyFill="1" applyBorder="1"/>
    <xf numFmtId="0" fontId="15" fillId="0" borderId="0" xfId="0" applyFont="1"/>
    <xf numFmtId="0" fontId="17" fillId="7" borderId="10" xfId="0" applyFont="1" applyFill="1" applyBorder="1" applyAlignment="1">
      <alignment horizontal="center"/>
    </xf>
    <xf numFmtId="0" fontId="17" fillId="7" borderId="11" xfId="0" applyFont="1" applyFill="1" applyBorder="1" applyAlignment="1">
      <alignment horizontal="center"/>
    </xf>
    <xf numFmtId="0" fontId="17" fillId="7" borderId="12" xfId="0" applyFont="1" applyFill="1" applyBorder="1" applyAlignment="1">
      <alignment horizontal="center"/>
    </xf>
    <xf numFmtId="0" fontId="17" fillId="8" borderId="11" xfId="0" applyFont="1" applyFill="1" applyBorder="1" applyAlignment="1">
      <alignment horizontal="center"/>
    </xf>
    <xf numFmtId="167" fontId="17" fillId="8" borderId="11" xfId="0" applyNumberFormat="1" applyFont="1" applyFill="1" applyBorder="1" applyAlignment="1">
      <alignment horizontal="center"/>
    </xf>
    <xf numFmtId="0" fontId="17" fillId="9" borderId="10" xfId="0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164" fontId="17" fillId="9" borderId="11" xfId="0" applyNumberFormat="1" applyFont="1" applyFill="1" applyBorder="1" applyAlignment="1">
      <alignment horizontal="center"/>
    </xf>
    <xf numFmtId="168" fontId="17" fillId="10" borderId="10" xfId="0" applyNumberFormat="1" applyFont="1" applyFill="1" applyBorder="1" applyAlignment="1">
      <alignment horizontal="center"/>
    </xf>
    <xf numFmtId="168" fontId="17" fillId="10" borderId="11" xfId="0" applyNumberFormat="1" applyFont="1" applyFill="1" applyBorder="1" applyAlignment="1">
      <alignment horizontal="center"/>
    </xf>
    <xf numFmtId="168" fontId="17" fillId="11" borderId="10" xfId="0" applyNumberFormat="1" applyFont="1" applyFill="1" applyBorder="1" applyAlignment="1">
      <alignment horizontal="center"/>
    </xf>
    <xf numFmtId="0" fontId="17" fillId="11" borderId="11" xfId="0" applyFont="1" applyFill="1" applyBorder="1" applyAlignment="1">
      <alignment horizontal="center"/>
    </xf>
    <xf numFmtId="168" fontId="17" fillId="11" borderId="11" xfId="0" applyNumberFormat="1" applyFont="1" applyFill="1" applyBorder="1" applyAlignment="1">
      <alignment horizontal="center"/>
    </xf>
    <xf numFmtId="168" fontId="17" fillId="12" borderId="10" xfId="0" applyNumberFormat="1" applyFont="1" applyFill="1" applyBorder="1" applyAlignment="1">
      <alignment horizontal="center"/>
    </xf>
    <xf numFmtId="168" fontId="17" fillId="12" borderId="11" xfId="0" applyNumberFormat="1" applyFont="1" applyFill="1" applyBorder="1" applyAlignment="1">
      <alignment horizontal="center"/>
    </xf>
    <xf numFmtId="168" fontId="17" fillId="12" borderId="12" xfId="0" applyNumberFormat="1" applyFont="1" applyFill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13" borderId="10" xfId="0" applyFont="1" applyFill="1" applyBorder="1" applyAlignment="1">
      <alignment horizontal="center"/>
    </xf>
    <xf numFmtId="0" fontId="0" fillId="0" borderId="13" xfId="0" applyBorder="1"/>
    <xf numFmtId="1" fontId="0" fillId="0" borderId="13" xfId="0" applyNumberFormat="1" applyBorder="1"/>
    <xf numFmtId="0" fontId="13" fillId="0" borderId="13" xfId="0" applyFont="1" applyBorder="1"/>
    <xf numFmtId="167" fontId="0" fillId="0" borderId="13" xfId="0" applyNumberFormat="1" applyBorder="1"/>
    <xf numFmtId="164" fontId="0" fillId="0" borderId="13" xfId="0" applyNumberFormat="1" applyBorder="1"/>
    <xf numFmtId="168" fontId="0" fillId="0" borderId="13" xfId="0" applyNumberFormat="1" applyBorder="1"/>
    <xf numFmtId="2" fontId="0" fillId="0" borderId="13" xfId="0" applyNumberFormat="1" applyBorder="1"/>
    <xf numFmtId="171" fontId="0" fillId="0" borderId="13" xfId="0" applyNumberFormat="1" applyBorder="1"/>
    <xf numFmtId="172" fontId="16" fillId="13" borderId="6" xfId="0" applyNumberFormat="1" applyFont="1" applyFill="1" applyBorder="1"/>
    <xf numFmtId="172" fontId="17" fillId="13" borderId="11" xfId="0" applyNumberFormat="1" applyFont="1" applyFill="1" applyBorder="1" applyAlignment="1">
      <alignment horizontal="center"/>
    </xf>
    <xf numFmtId="172" fontId="0" fillId="0" borderId="0" xfId="0" applyNumberFormat="1"/>
    <xf numFmtId="172" fontId="0" fillId="0" borderId="13" xfId="0" applyNumberFormat="1" applyBorder="1"/>
    <xf numFmtId="172" fontId="16" fillId="13" borderId="9" xfId="0" applyNumberFormat="1" applyFont="1" applyFill="1" applyBorder="1"/>
    <xf numFmtId="172" fontId="16" fillId="13" borderId="0" xfId="0" applyNumberFormat="1" applyFont="1" applyFill="1"/>
    <xf numFmtId="0" fontId="0" fillId="0" borderId="14" xfId="0" applyBorder="1"/>
    <xf numFmtId="1" fontId="0" fillId="0" borderId="14" xfId="0" applyNumberFormat="1" applyBorder="1"/>
    <xf numFmtId="167" fontId="0" fillId="0" borderId="14" xfId="0" applyNumberFormat="1" applyBorder="1"/>
    <xf numFmtId="168" fontId="0" fillId="0" borderId="14" xfId="0" applyNumberFormat="1" applyBorder="1"/>
    <xf numFmtId="171" fontId="0" fillId="0" borderId="14" xfId="0" applyNumberFormat="1" applyBorder="1"/>
    <xf numFmtId="172" fontId="0" fillId="0" borderId="14" xfId="0" applyNumberFormat="1" applyBorder="1"/>
    <xf numFmtId="173" fontId="0" fillId="0" borderId="0" xfId="0" applyNumberFormat="1"/>
    <xf numFmtId="174" fontId="0" fillId="0" borderId="0" xfId="0" applyNumberFormat="1"/>
    <xf numFmtId="170" fontId="0" fillId="0" borderId="0" xfId="0" applyNumberFormat="1"/>
    <xf numFmtId="0" fontId="0" fillId="14" borderId="0" xfId="0" applyFill="1"/>
    <xf numFmtId="0" fontId="13" fillId="14" borderId="0" xfId="0" applyFont="1" applyFill="1"/>
    <xf numFmtId="0" fontId="0" fillId="0" borderId="0" xfId="0" applyFill="1"/>
    <xf numFmtId="1" fontId="0" fillId="0" borderId="0" xfId="0" applyNumberFormat="1" applyFill="1"/>
    <xf numFmtId="167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171" fontId="0" fillId="0" borderId="0" xfId="0" applyNumberFormat="1" applyFill="1"/>
    <xf numFmtId="172" fontId="0" fillId="0" borderId="0" xfId="0" applyNumberFormat="1" applyFill="1"/>
    <xf numFmtId="0" fontId="0" fillId="0" borderId="13" xfId="0" applyFill="1" applyBorder="1"/>
    <xf numFmtId="173" fontId="0" fillId="0" borderId="14" xfId="0" applyNumberFormat="1" applyBorder="1"/>
    <xf numFmtId="175" fontId="0" fillId="0" borderId="0" xfId="0" applyNumberFormat="1"/>
    <xf numFmtId="11" fontId="0" fillId="0" borderId="0" xfId="0" applyNumberFormat="1"/>
    <xf numFmtId="171" fontId="6" fillId="0" borderId="0" xfId="0" applyNumberFormat="1" applyFont="1"/>
    <xf numFmtId="0" fontId="6" fillId="0" borderId="0" xfId="0" applyFont="1" applyAlignment="1">
      <alignment horizontal="right"/>
    </xf>
    <xf numFmtId="176" fontId="0" fillId="0" borderId="0" xfId="0" applyNumberFormat="1"/>
    <xf numFmtId="0" fontId="0" fillId="15" borderId="0" xfId="0" applyFill="1"/>
    <xf numFmtId="1" fontId="0" fillId="15" borderId="0" xfId="0" applyNumberFormat="1" applyFill="1"/>
    <xf numFmtId="167" fontId="0" fillId="15" borderId="0" xfId="0" applyNumberFormat="1" applyFill="1"/>
    <xf numFmtId="164" fontId="0" fillId="15" borderId="0" xfId="0" applyNumberFormat="1" applyFill="1"/>
    <xf numFmtId="2" fontId="0" fillId="15" borderId="0" xfId="0" applyNumberFormat="1" applyFill="1"/>
    <xf numFmtId="168" fontId="0" fillId="15" borderId="0" xfId="0" applyNumberFormat="1" applyFill="1"/>
    <xf numFmtId="171" fontId="0" fillId="15" borderId="0" xfId="0" applyNumberFormat="1" applyFill="1"/>
    <xf numFmtId="172" fontId="0" fillId="15" borderId="0" xfId="0" applyNumberFormat="1" applyFill="1"/>
    <xf numFmtId="170" fontId="0" fillId="15" borderId="0" xfId="0" applyNumberFormat="1" applyFill="1"/>
    <xf numFmtId="0" fontId="14" fillId="7" borderId="5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/>
    </xf>
    <xf numFmtId="0" fontId="14" fillId="8" borderId="6" xfId="0" applyFont="1" applyFill="1" applyBorder="1" applyAlignment="1">
      <alignment horizontal="center"/>
    </xf>
    <xf numFmtId="0" fontId="14" fillId="8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4" fillId="11" borderId="6" xfId="0" applyFont="1" applyFill="1" applyBorder="1" applyAlignment="1">
      <alignment horizontal="center"/>
    </xf>
    <xf numFmtId="0" fontId="14" fillId="11" borderId="7" xfId="0" applyFont="1" applyFill="1" applyBorder="1" applyAlignment="1">
      <alignment horizontal="center"/>
    </xf>
    <xf numFmtId="0" fontId="14" fillId="13" borderId="5" xfId="0" applyFont="1" applyFill="1" applyBorder="1" applyAlignment="1">
      <alignment vertical="center"/>
    </xf>
    <xf numFmtId="0" fontId="14" fillId="13" borderId="6" xfId="0" applyFont="1" applyFill="1" applyBorder="1" applyAlignment="1">
      <alignment vertic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6" fillId="15" borderId="0" xfId="0" applyFont="1" applyFill="1"/>
    <xf numFmtId="0" fontId="4" fillId="15" borderId="0" xfId="0" applyFont="1" applyFill="1"/>
    <xf numFmtId="0" fontId="3" fillId="16" borderId="1" xfId="15" applyFont="1" applyFill="1" applyAlignment="1">
      <alignment horizontal="center"/>
    </xf>
    <xf numFmtId="0" fontId="0" fillId="16" borderId="0" xfId="0" applyFill="1"/>
    <xf numFmtId="0" fontId="4" fillId="16" borderId="0" xfId="0" applyFont="1" applyFill="1"/>
    <xf numFmtId="164" fontId="4" fillId="16" borderId="0" xfId="0" applyNumberFormat="1" applyFont="1" applyFill="1"/>
    <xf numFmtId="164" fontId="0" fillId="16" borderId="0" xfId="0" applyNumberFormat="1" applyFont="1" applyFill="1"/>
    <xf numFmtId="0" fontId="6" fillId="16" borderId="0" xfId="0" applyFont="1" applyFill="1"/>
    <xf numFmtId="164" fontId="10" fillId="16" borderId="0" xfId="0" applyNumberFormat="1" applyFont="1" applyFill="1"/>
    <xf numFmtId="2" fontId="0" fillId="16" borderId="0" xfId="0" applyNumberFormat="1" applyFill="1"/>
    <xf numFmtId="0" fontId="13" fillId="16" borderId="0" xfId="0" applyFont="1" applyFill="1"/>
    <xf numFmtId="0" fontId="11" fillId="16" borderId="0" xfId="0" applyFont="1" applyFill="1"/>
    <xf numFmtId="169" fontId="0" fillId="16" borderId="0" xfId="0" applyNumberFormat="1" applyFill="1"/>
    <xf numFmtId="1" fontId="0" fillId="16" borderId="0" xfId="0" applyNumberFormat="1" applyFill="1"/>
    <xf numFmtId="175" fontId="0" fillId="16" borderId="0" xfId="0" applyNumberFormat="1" applyFill="1"/>
    <xf numFmtId="164" fontId="0" fillId="16" borderId="0" xfId="0" applyNumberFormat="1" applyFill="1"/>
    <xf numFmtId="168" fontId="0" fillId="16" borderId="0" xfId="0" applyNumberFormat="1" applyFill="1"/>
    <xf numFmtId="171" fontId="0" fillId="16" borderId="0" xfId="0" applyNumberFormat="1" applyFill="1"/>
    <xf numFmtId="172" fontId="0" fillId="16" borderId="0" xfId="0" applyNumberFormat="1" applyFill="1"/>
  </cellXfs>
  <cellStyles count="217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Heading 1" xfId="15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Normal" xfId="0" builtinId="0"/>
  </cellStyles>
  <dxfs count="5"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3" Type="http://schemas.openxmlformats.org/officeDocument/2006/relationships/customXml" Target="../customXml/item1.xml"/><Relationship Id="rId14" Type="http://schemas.openxmlformats.org/officeDocument/2006/relationships/customXml" Target="../customXml/item2.xml"/><Relationship Id="rId15" Type="http://schemas.openxmlformats.org/officeDocument/2006/relationships/customXml" Target="../customXml/item3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chartsheet" Target="chartsheets/sheet3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Calc!$A$91</c:f>
              <c:strCache>
                <c:ptCount val="1"/>
                <c:pt idx="0">
                  <c:v>NRS_FULL_MSA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Calc!$N$91:$Q$91</c:f>
              <c:numCache>
                <c:formatCode>0.00000</c:formatCode>
                <c:ptCount val="4"/>
                <c:pt idx="0">
                  <c:v>110.1717017555414</c:v>
                </c:pt>
                <c:pt idx="1">
                  <c:v>108.627939474684</c:v>
                </c:pt>
                <c:pt idx="2">
                  <c:v>-108.6184074771369</c:v>
                </c:pt>
                <c:pt idx="3">
                  <c:v>-110.1622193898656</c:v>
                </c:pt>
              </c:numCache>
            </c:numRef>
          </c:xVal>
          <c:yVal>
            <c:numRef>
              <c:f>Calc!$R$91:$U$91</c:f>
              <c:numCache>
                <c:formatCode>0.00000</c:formatCode>
                <c:ptCount val="4"/>
                <c:pt idx="0">
                  <c:v>110.2788934753457</c:v>
                </c:pt>
                <c:pt idx="1">
                  <c:v>-107.7176823242791</c:v>
                </c:pt>
                <c:pt idx="2">
                  <c:v>-107.7392741187602</c:v>
                </c:pt>
                <c:pt idx="3">
                  <c:v>110.2530703559066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129024"/>
        <c:axId val="-2077127664"/>
      </c:scatterChart>
      <c:valAx>
        <c:axId val="-2077129024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crossAx val="-2077127664"/>
        <c:crosses val="autoZero"/>
        <c:crossBetween val="midCat"/>
      </c:valAx>
      <c:valAx>
        <c:axId val="-207712766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-2077129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GWA Plane</a:t>
            </a:r>
            <a:r>
              <a:rPr lang="en-US" baseline="0"/>
              <a:t> </a:t>
            </a:r>
            <a:r>
              <a:rPr lang="en-US"/>
              <a:t>before reflection</a:t>
            </a:r>
          </a:p>
        </c:rich>
      </c:tx>
      <c:layout>
        <c:manualLayout>
          <c:xMode val="edge"/>
          <c:yMode val="edge"/>
          <c:x val="0.33703397606057"/>
          <c:y val="0.013077699210515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8616757795148"/>
          <c:y val="0.0595562630207841"/>
          <c:w val="0.871937467202211"/>
          <c:h val="0.7686149305793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Calc!$A$44</c:f>
              <c:strCache>
                <c:ptCount val="1"/>
                <c:pt idx="0">
                  <c:v>NRS1_FULL</c:v>
                </c:pt>
              </c:strCache>
            </c:strRef>
          </c:tx>
          <c:spPr>
            <a:ln w="25400"/>
          </c:spPr>
          <c:marker>
            <c:symbol val="square"/>
            <c:size val="3"/>
          </c:marker>
          <c:xVal>
            <c:numRef>
              <c:f>Calc!$J$44:$M$44</c:f>
              <c:numCache>
                <c:formatCode>0.000000</c:formatCode>
                <c:ptCount val="4"/>
                <c:pt idx="0">
                  <c:v>-0.132024121042314</c:v>
                </c:pt>
                <c:pt idx="1">
                  <c:v>-0.00315524225470362</c:v>
                </c:pt>
                <c:pt idx="2">
                  <c:v>-0.00217594704074564</c:v>
                </c:pt>
                <c:pt idx="3">
                  <c:v>-0.134996181338031</c:v>
                </c:pt>
              </c:numCache>
            </c:numRef>
          </c:xVal>
          <c:yVal>
            <c:numRef>
              <c:f>Calc!$N$44:$Q$44</c:f>
              <c:numCache>
                <c:formatCode>0.000000</c:formatCode>
                <c:ptCount val="4"/>
                <c:pt idx="0">
                  <c:v>0.229104722703833</c:v>
                </c:pt>
                <c:pt idx="1">
                  <c:v>0.227047820340911</c:v>
                </c:pt>
                <c:pt idx="2">
                  <c:v>0.36381879313589</c:v>
                </c:pt>
                <c:pt idx="3">
                  <c:v>0.366584266753879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Calc!$A$46</c:f>
              <c:strCache>
                <c:ptCount val="1"/>
                <c:pt idx="0">
                  <c:v>NRS2_FULL</c:v>
                </c:pt>
              </c:strCache>
            </c:strRef>
          </c:tx>
          <c:spPr>
            <a:ln w="25400"/>
          </c:spPr>
          <c:marker>
            <c:symbol val="square"/>
            <c:size val="3"/>
          </c:marker>
          <c:xVal>
            <c:numRef>
              <c:f>Calc!$J$45:$M$45</c:f>
              <c:numCache>
                <c:formatCode>0.000000</c:formatCode>
                <c:ptCount val="4"/>
                <c:pt idx="0">
                  <c:v>0.140131099179849</c:v>
                </c:pt>
                <c:pt idx="1">
                  <c:v>0.0072481090014385</c:v>
                </c:pt>
                <c:pt idx="2">
                  <c:v>0.00598374941880123</c:v>
                </c:pt>
                <c:pt idx="3">
                  <c:v>0.134860568477816</c:v>
                </c:pt>
              </c:numCache>
            </c:numRef>
          </c:xVal>
          <c:yVal>
            <c:numRef>
              <c:f>Calc!$N$46:$Q$46</c:f>
              <c:numCache>
                <c:formatCode>0.000000</c:formatCode>
                <c:ptCount val="4"/>
                <c:pt idx="0">
                  <c:v>0.22697371531495</c:v>
                </c:pt>
                <c:pt idx="1">
                  <c:v>0.227075056355461</c:v>
                </c:pt>
                <c:pt idx="2">
                  <c:v>0.364490014332133</c:v>
                </c:pt>
                <c:pt idx="3">
                  <c:v>0.363742566924319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6350"/>
          </c:spPr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6350"/>
          </c:spPr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6350"/>
          </c:spPr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6350"/>
          </c:spPr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7"/>
          <c:order val="7"/>
          <c:tx>
            <c:v>Reference</c:v>
          </c:tx>
          <c:spPr>
            <a:ln>
              <a:noFill/>
            </a:ln>
          </c:spPr>
          <c:marker>
            <c:symbol val="plus"/>
            <c:size val="3"/>
            <c:spPr>
              <a:ln>
                <a:solidFill>
                  <a:schemeClr val="tx1"/>
                </a:solidFill>
              </a:ln>
            </c:spPr>
          </c:marker>
          <c:xVal>
            <c:numRef>
              <c:f>Calc!$E$20:$E$23</c:f>
              <c:numCache>
                <c:formatCode>0.000000</c:formatCode>
                <c:ptCount val="4"/>
                <c:pt idx="0">
                  <c:v>-0.0676602424339753</c:v>
                </c:pt>
                <c:pt idx="1">
                  <c:v>-0.0676602424339753</c:v>
                </c:pt>
                <c:pt idx="2">
                  <c:v>0.0716611317091408</c:v>
                </c:pt>
                <c:pt idx="3">
                  <c:v>0.0716611317091408</c:v>
                </c:pt>
              </c:numCache>
            </c:numRef>
          </c:xVal>
          <c:yVal>
            <c:numRef>
              <c:f>Calc!$Z$20:$Z$23</c:f>
              <c:numCache>
                <c:formatCode>0.000000</c:formatCode>
                <c:ptCount val="4"/>
                <c:pt idx="0">
                  <c:v>0.294979080495832</c:v>
                </c:pt>
                <c:pt idx="1">
                  <c:v>0.294979080495832</c:v>
                </c:pt>
                <c:pt idx="2">
                  <c:v>0.293916665619539</c:v>
                </c:pt>
                <c:pt idx="3">
                  <c:v>0.293916665619539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885952"/>
        <c:axId val="-1689176448"/>
      </c:scatterChart>
      <c:valAx>
        <c:axId val="-2076885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Xgwa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-1689176448"/>
        <c:crosses val="autoZero"/>
        <c:crossBetween val="midCat"/>
      </c:valAx>
      <c:valAx>
        <c:axId val="-1689176448"/>
        <c:scaling>
          <c:orientation val="minMax"/>
          <c:max val="0.4"/>
          <c:min val="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Ygwa</a:t>
                </a:r>
              </a:p>
            </c:rich>
          </c:tx>
          <c:layout>
            <c:manualLayout>
              <c:xMode val="edge"/>
              <c:yMode val="edge"/>
              <c:x val="0.0363531941419136"/>
              <c:y val="0.460399199342751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-2076885952"/>
        <c:crossesAt val="-0.2"/>
        <c:crossBetween val="midCat"/>
        <c:majorUnit val="0.05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414768160455"/>
          <c:y val="0.0283802834212217"/>
          <c:w val="0.688799029414904"/>
          <c:h val="0.916285555501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(#REF!,#REF!)</c:f>
            </c:numRef>
          </c:xVal>
          <c:yVal>
            <c:numRef>
              <c:f>(#REF!,#REF!)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(#REF!,#REF!)</c:f>
            </c:numRef>
          </c:xVal>
          <c:yVal>
            <c:numRef>
              <c:f>(#REF!,#REF!)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(#REF!,#REF!)</c:f>
            </c:numRef>
          </c:xVal>
          <c:yVal>
            <c:numRef>
              <c:f>(#REF!,#REF!)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(#REF!,#REF!)</c:f>
            </c:numRef>
          </c:xVal>
          <c:yVal>
            <c:numRef>
              <c:f>(#REF!,#REF!)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(#REF!,#REF!)</c:f>
            </c:numRef>
          </c:xVal>
          <c:yVal>
            <c:numRef>
              <c:f>(#REF!,#REF!)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4"/>
          <c:order val="5"/>
          <c:tx>
            <c:v>NRS!ref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198736"/>
        <c:axId val="-1688299200"/>
      </c:scatterChart>
      <c:valAx>
        <c:axId val="-2077198736"/>
        <c:scaling>
          <c:orientation val="maxMin"/>
        </c:scaling>
        <c:delete val="0"/>
        <c:axPos val="b"/>
        <c:majorGridlines/>
        <c:numFmt formatCode="0" sourceLinked="0"/>
        <c:majorTickMark val="in"/>
        <c:minorTickMark val="in"/>
        <c:tickLblPos val="nextTo"/>
        <c:crossAx val="-1688299200"/>
        <c:crosses val="autoZero"/>
        <c:crossBetween val="midCat"/>
        <c:majorUnit val="50.0"/>
      </c:valAx>
      <c:valAx>
        <c:axId val="-1688299200"/>
        <c:scaling>
          <c:orientation val="minMax"/>
        </c:scaling>
        <c:delete val="0"/>
        <c:axPos val="r"/>
        <c:majorGridlines/>
        <c:numFmt formatCode="0" sourceLinked="0"/>
        <c:majorTickMark val="in"/>
        <c:minorTickMark val="in"/>
        <c:tickLblPos val="nextTo"/>
        <c:crossAx val="-2077198736"/>
        <c:crossesAt val="-100.0"/>
        <c:crossBetween val="midCat"/>
        <c:majorUnit val="50.0"/>
      </c:valAx>
    </c:plotArea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884431761435"/>
          <c:y val="0.0485981013206913"/>
          <c:w val="0.574819649734939"/>
          <c:h val="0.82495145666068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Calc!$A$43</c:f>
              <c:strCache>
                <c:ptCount val="1"/>
                <c:pt idx="0">
                  <c:v>NRS1_FULL_OSS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Calc!$R$43:$V$43</c:f>
              <c:numCache>
                <c:formatCode>0.00</c:formatCode>
                <c:ptCount val="5"/>
                <c:pt idx="0">
                  <c:v>145.5649404236834</c:v>
                </c:pt>
                <c:pt idx="1">
                  <c:v>302.1801085343593</c:v>
                </c:pt>
                <c:pt idx="2">
                  <c:v>445.1212771745522</c:v>
                </c:pt>
                <c:pt idx="3">
                  <c:v>285.627976161999</c:v>
                </c:pt>
                <c:pt idx="4">
                  <c:v>145.5649404236834</c:v>
                </c:pt>
              </c:numCache>
            </c:numRef>
          </c:xVal>
          <c:yVal>
            <c:numRef>
              <c:f>Calc!$W$43:$AA$43</c:f>
              <c:numCache>
                <c:formatCode>0.00</c:formatCode>
                <c:ptCount val="5"/>
                <c:pt idx="0">
                  <c:v>-492.4894236067412</c:v>
                </c:pt>
                <c:pt idx="1">
                  <c:v>-353.0933299446077</c:v>
                </c:pt>
                <c:pt idx="2">
                  <c:v>-514.5549722632675</c:v>
                </c:pt>
                <c:pt idx="3">
                  <c:v>-657.5207603860175</c:v>
                </c:pt>
                <c:pt idx="4">
                  <c:v>-492.4894236067412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Calc!$A$45</c:f>
              <c:strCache>
                <c:ptCount val="1"/>
                <c:pt idx="0">
                  <c:v>NRS2_FULL_OSS</c:v>
                </c:pt>
              </c:strCache>
            </c:strRef>
          </c:tx>
          <c:spPr>
            <a:ln w="1270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Calc!$R$45:$V$45</c:f>
              <c:numCache>
                <c:formatCode>0.00</c:formatCode>
                <c:ptCount val="5"/>
                <c:pt idx="0">
                  <c:v>618.3299012093496</c:v>
                </c:pt>
                <c:pt idx="1">
                  <c:v>456.5122997458271</c:v>
                </c:pt>
                <c:pt idx="2">
                  <c:v>313.2983074780499</c:v>
                </c:pt>
                <c:pt idx="3">
                  <c:v>470.8384288816048</c:v>
                </c:pt>
                <c:pt idx="4">
                  <c:v>618.3299012093496</c:v>
                </c:pt>
              </c:numCache>
            </c:numRef>
          </c:xVal>
          <c:yVal>
            <c:numRef>
              <c:f>Calc!$W$45:$AA$45</c:f>
              <c:numCache>
                <c:formatCode>0.00</c:formatCode>
                <c:ptCount val="5"/>
                <c:pt idx="0">
                  <c:v>-363.7103660864309</c:v>
                </c:pt>
                <c:pt idx="1">
                  <c:v>-504.4643407761147</c:v>
                </c:pt>
                <c:pt idx="2">
                  <c:v>-343.2416820937522</c:v>
                </c:pt>
                <c:pt idx="3">
                  <c:v>-204.8865961057253</c:v>
                </c:pt>
                <c:pt idx="4">
                  <c:v>-363.7103660864309</c:v>
                </c:pt>
              </c:numCache>
            </c:numRef>
          </c:yVal>
          <c:smooth val="0"/>
        </c:ser>
        <c:ser>
          <c:idx val="4"/>
          <c:order val="2"/>
          <c:tx>
            <c:v>Ref</c:v>
          </c:tx>
          <c:spPr>
            <a:ln>
              <a:noFill/>
            </a:ln>
            <a:effectLst/>
          </c:spPr>
          <c:marker>
            <c:symbol val="plus"/>
            <c:size val="6"/>
            <c:spPr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3"/>
          <c:tx>
            <c:v>S200A1</c:v>
          </c:tx>
          <c:marker>
            <c:symbol val="none"/>
          </c:marker>
          <c:yVal>
            <c:numLit>
              <c:formatCode>General</c:formatCode>
              <c:ptCount val="1"/>
              <c:pt idx="0">
                <c:v>1.0</c:v>
              </c:pt>
            </c:numLit>
          </c:yVal>
          <c:smooth val="0"/>
        </c:ser>
        <c:ser>
          <c:idx val="3"/>
          <c:order val="4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 w="25400">
                <a:solidFill>
                  <a:srgbClr val="4F81BD"/>
                </a:solidFill>
                <a:prstDash val="sysDash"/>
              </a:ln>
            </c:spPr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chemeClr val="accent4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115280"/>
        <c:axId val="-2077113504"/>
      </c:scatterChart>
      <c:valAx>
        <c:axId val="-2077115280"/>
        <c:scaling>
          <c:orientation val="maxMin"/>
          <c:min val="100.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-2077113504"/>
        <c:crossesAt val="-700.0"/>
        <c:crossBetween val="midCat"/>
      </c:valAx>
      <c:valAx>
        <c:axId val="-2077113504"/>
        <c:scaling>
          <c:orientation val="minMax"/>
          <c:max val="-100.0"/>
        </c:scaling>
        <c:delete val="0"/>
        <c:axPos val="r"/>
        <c:majorGridlines/>
        <c:numFmt formatCode="0" sourceLinked="0"/>
        <c:majorTickMark val="out"/>
        <c:minorTickMark val="none"/>
        <c:tickLblPos val="nextTo"/>
        <c:crossAx val="-2077115280"/>
        <c:crossesAt val="700.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85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121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0</xdr:row>
          <xdr:rowOff>50800</xdr:rowOff>
        </xdr:from>
        <xdr:to>
          <xdr:col>1</xdr:col>
          <xdr:colOff>596900</xdr:colOff>
          <xdr:row>1</xdr:row>
          <xdr:rowOff>88900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698500</xdr:colOff>
          <xdr:row>0</xdr:row>
          <xdr:rowOff>50800</xdr:rowOff>
        </xdr:from>
        <xdr:to>
          <xdr:col>1</xdr:col>
          <xdr:colOff>1612900</xdr:colOff>
          <xdr:row>1</xdr:row>
          <xdr:rowOff>88900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50800</xdr:colOff>
          <xdr:row>0</xdr:row>
          <xdr:rowOff>50800</xdr:rowOff>
        </xdr:from>
        <xdr:to>
          <xdr:col>1</xdr:col>
          <xdr:colOff>0</xdr:colOff>
          <xdr:row>1</xdr:row>
          <xdr:rowOff>101600</xdr:rowOff>
        </xdr:to>
        <xdr:sp macro="" textlink="">
          <xdr:nvSpPr>
            <xdr:cNvPr id="7171" name="Button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Create Schema Table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1081" cy="58351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628" cy="58252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0.04044</cdr:x>
      <cdr:y>0</cdr:y>
    </cdr:from>
    <cdr:to>
      <cdr:x>0.99651</cdr:x>
      <cdr:y>1</cdr:y>
    </cdr:to>
    <cdr:graphicFrame macro="">
      <cdr:nvGraphicFramePr>
        <cdr:cNvPr id="2" name="Chart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tar/jwst/tel/share/SIAF_WG/Instruments/ModelSheets/NIRSpec_SIA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AF"/>
      <sheetName val="Calc"/>
      <sheetName val="Plot"/>
      <sheetName val="Sheet1"/>
    </sheetNames>
    <sheetDataSet>
      <sheetData sheetId="0" refreshError="1"/>
      <sheetData sheetId="1">
        <row r="21">
          <cell r="A21" t="str">
            <v>NRS_FULL_IFU_IFUCNTR</v>
          </cell>
          <cell r="B21">
            <v>27.3</v>
          </cell>
          <cell r="C21">
            <v>27.3</v>
          </cell>
          <cell r="D21">
            <v>3.0030000000000001</v>
          </cell>
          <cell r="E21">
            <v>3.0030000000000001</v>
          </cell>
        </row>
        <row r="22">
          <cell r="A22" t="str">
            <v>NRS_S200A1_SLITCNTR</v>
          </cell>
          <cell r="B22">
            <v>1.8</v>
          </cell>
          <cell r="C22">
            <v>30.5</v>
          </cell>
          <cell r="D22">
            <v>0.19800000000000001</v>
          </cell>
          <cell r="E22">
            <v>3.355</v>
          </cell>
        </row>
        <row r="23">
          <cell r="A23" t="str">
            <v>NRS_S400A1_SLITCNTR</v>
          </cell>
          <cell r="B23">
            <v>3.8</v>
          </cell>
          <cell r="C23">
            <v>35.299999999999997</v>
          </cell>
          <cell r="D23">
            <v>0.41799999999999998</v>
          </cell>
          <cell r="E23">
            <v>3.8829999999999996</v>
          </cell>
        </row>
        <row r="24">
          <cell r="A24" t="str">
            <v>NRS_S200A2_SLITCNTR</v>
          </cell>
          <cell r="B24">
            <v>1.8</v>
          </cell>
          <cell r="C24">
            <v>30.5</v>
          </cell>
          <cell r="D24">
            <v>0.19800000000000001</v>
          </cell>
          <cell r="E24">
            <v>3.355</v>
          </cell>
        </row>
        <row r="25">
          <cell r="A25" t="str">
            <v>NRS_S1600A1_SLITCNTR</v>
          </cell>
          <cell r="B25">
            <v>15.4</v>
          </cell>
          <cell r="C25">
            <v>15.4</v>
          </cell>
          <cell r="D25">
            <v>1.694</v>
          </cell>
          <cell r="E25">
            <v>1.694</v>
          </cell>
        </row>
        <row r="26">
          <cell r="A26" t="str">
            <v>NRS_S200B1_SLITCNTR</v>
          </cell>
          <cell r="B26">
            <v>1.8</v>
          </cell>
          <cell r="C26">
            <v>30.5</v>
          </cell>
          <cell r="D26">
            <v>0.19800000000000001</v>
          </cell>
          <cell r="E26">
            <v>3.355</v>
          </cell>
        </row>
      </sheetData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3" name="SIAF_Config4" displayName="SIAF_Config4" ref="A5:B11" totalsRowShown="0" headerRowDxfId="4" dataDxfId="3" tableBorderDxfId="2">
  <autoFilter ref="A5:B11"/>
  <tableColumns count="2">
    <tableColumn id="1" name="Field" dataDxfId="1"/>
    <tableColumn id="2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table" Target="../tables/table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80"/>
  <sheetViews>
    <sheetView workbookViewId="0">
      <pane xSplit="2" ySplit="2" topLeftCell="BB3" activePane="bottomRight" state="frozen"/>
      <selection pane="topRight" activeCell="C1" sqref="C1"/>
      <selection pane="bottomLeft" activeCell="A3" sqref="A3"/>
      <selection pane="bottomRight" activeCell="BD3" sqref="BD3"/>
    </sheetView>
  </sheetViews>
  <sheetFormatPr baseColWidth="10" defaultRowHeight="16" x14ac:dyDescent="0.2"/>
  <cols>
    <col min="2" max="2" width="24.83203125" bestFit="1" customWidth="1"/>
    <col min="3" max="3" width="24.83203125" customWidth="1"/>
    <col min="4" max="4" width="13.1640625" customWidth="1"/>
    <col min="12" max="13" width="21.1640625" bestFit="1" customWidth="1"/>
    <col min="14" max="15" width="21.5" bestFit="1" customWidth="1"/>
    <col min="16" max="17" width="21.1640625" bestFit="1" customWidth="1"/>
    <col min="18" max="18" width="21.5" bestFit="1" customWidth="1"/>
    <col min="19" max="19" width="14.5" customWidth="1"/>
    <col min="20" max="20" width="15.83203125" customWidth="1"/>
    <col min="21" max="21" width="16.1640625" customWidth="1"/>
    <col min="22" max="22" width="17.33203125" customWidth="1"/>
    <col min="23" max="23" width="14.5" customWidth="1"/>
    <col min="24" max="31" width="10.83203125" style="7"/>
    <col min="35" max="35" width="22.1640625" style="69" bestFit="1" customWidth="1"/>
    <col min="36" max="36" width="22.5" style="69" bestFit="1" customWidth="1"/>
    <col min="37" max="38" width="22.1640625" style="69" bestFit="1" customWidth="1"/>
    <col min="39" max="39" width="22.5" style="69" bestFit="1" customWidth="1"/>
    <col min="40" max="40" width="22.1640625" style="69" bestFit="1" customWidth="1"/>
    <col min="41" max="41" width="22.5" style="69" bestFit="1" customWidth="1"/>
    <col min="42" max="42" width="22.1640625" style="69" bestFit="1" customWidth="1"/>
    <col min="43" max="51" width="22.5" style="69" bestFit="1" customWidth="1"/>
    <col min="52" max="52" width="22.1640625" style="69" bestFit="1" customWidth="1"/>
    <col min="53" max="56" width="22.5" style="69" bestFit="1" customWidth="1"/>
    <col min="57" max="57" width="22.1640625" style="69" bestFit="1" customWidth="1"/>
    <col min="58" max="58" width="22.5" style="69" bestFit="1" customWidth="1"/>
    <col min="59" max="60" width="22.1640625" style="69" bestFit="1" customWidth="1"/>
    <col min="61" max="61" width="22" style="69" bestFit="1" customWidth="1"/>
    <col min="62" max="68" width="22.5" style="69" bestFit="1" customWidth="1"/>
    <col min="69" max="69" width="22.1640625" style="69" bestFit="1" customWidth="1"/>
    <col min="70" max="70" width="22.5" style="69" bestFit="1" customWidth="1"/>
    <col min="71" max="71" width="22.1640625" style="69" bestFit="1" customWidth="1"/>
    <col min="72" max="75" width="22.5" style="69" bestFit="1" customWidth="1"/>
    <col min="76" max="76" width="23.1640625" style="69" bestFit="1" customWidth="1"/>
    <col min="77" max="96" width="22.5" style="69" bestFit="1" customWidth="1"/>
    <col min="97" max="97" width="23.33203125" style="69" bestFit="1" customWidth="1"/>
    <col min="98" max="118" width="22.5" style="69" bestFit="1" customWidth="1"/>
  </cols>
  <sheetData>
    <row r="1" spans="1:118" ht="18" x14ac:dyDescent="0.2">
      <c r="A1" s="108" t="s">
        <v>0</v>
      </c>
      <c r="B1" s="109"/>
      <c r="C1" s="109"/>
      <c r="D1" s="109"/>
      <c r="E1" s="110"/>
      <c r="F1" s="111" t="s">
        <v>1</v>
      </c>
      <c r="G1" s="112"/>
      <c r="H1" s="112"/>
      <c r="I1" s="113"/>
      <c r="J1" s="114" t="s">
        <v>2</v>
      </c>
      <c r="K1" s="115"/>
      <c r="L1" s="115"/>
      <c r="M1" s="115"/>
      <c r="N1" s="115"/>
      <c r="O1" s="116"/>
      <c r="P1" s="35" t="s">
        <v>3</v>
      </c>
      <c r="Q1" s="36"/>
      <c r="R1" s="117" t="s">
        <v>4</v>
      </c>
      <c r="S1" s="118"/>
      <c r="T1" s="118"/>
      <c r="U1" s="118"/>
      <c r="V1" s="118"/>
      <c r="W1" s="119"/>
      <c r="X1" s="37" t="s">
        <v>6</v>
      </c>
      <c r="Y1" s="38"/>
      <c r="Z1" s="38"/>
      <c r="AA1" s="38"/>
      <c r="AB1" s="38"/>
      <c r="AC1" s="38"/>
      <c r="AD1" s="38"/>
      <c r="AE1" s="39"/>
      <c r="AF1" s="40"/>
      <c r="AG1" s="40"/>
      <c r="AH1" s="120" t="s">
        <v>5</v>
      </c>
      <c r="AI1" s="121"/>
      <c r="AJ1" s="121"/>
      <c r="AK1" s="121"/>
      <c r="AL1" s="121"/>
      <c r="AM1" s="121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71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</row>
    <row r="2" spans="1:118" ht="21" thickBot="1" x14ac:dyDescent="0.3">
      <c r="A2" s="41" t="s">
        <v>7</v>
      </c>
      <c r="B2" s="42" t="s">
        <v>8</v>
      </c>
      <c r="C2" s="42" t="s">
        <v>235</v>
      </c>
      <c r="D2" s="42" t="s">
        <v>210</v>
      </c>
      <c r="E2" s="43" t="s">
        <v>9</v>
      </c>
      <c r="F2" s="44" t="s">
        <v>10</v>
      </c>
      <c r="G2" s="44" t="s">
        <v>11</v>
      </c>
      <c r="H2" s="45" t="s">
        <v>12</v>
      </c>
      <c r="I2" s="45" t="s">
        <v>13</v>
      </c>
      <c r="J2" s="46" t="s">
        <v>14</v>
      </c>
      <c r="K2" s="47" t="s">
        <v>15</v>
      </c>
      <c r="L2" s="47" t="s">
        <v>16</v>
      </c>
      <c r="M2" s="47" t="s">
        <v>17</v>
      </c>
      <c r="N2" s="48" t="s">
        <v>18</v>
      </c>
      <c r="O2" s="48" t="s">
        <v>19</v>
      </c>
      <c r="P2" s="49" t="s">
        <v>20</v>
      </c>
      <c r="Q2" s="50" t="s">
        <v>21</v>
      </c>
      <c r="R2" s="51" t="s">
        <v>100</v>
      </c>
      <c r="S2" s="52" t="s">
        <v>22</v>
      </c>
      <c r="T2" s="52" t="s">
        <v>23</v>
      </c>
      <c r="U2" s="52" t="s">
        <v>24</v>
      </c>
      <c r="V2" s="53" t="s">
        <v>85</v>
      </c>
      <c r="W2" s="53" t="s">
        <v>86</v>
      </c>
      <c r="X2" s="54" t="s">
        <v>46</v>
      </c>
      <c r="Y2" s="55" t="s">
        <v>47</v>
      </c>
      <c r="Z2" s="55" t="s">
        <v>48</v>
      </c>
      <c r="AA2" s="55" t="s">
        <v>49</v>
      </c>
      <c r="AB2" s="55" t="s">
        <v>50</v>
      </c>
      <c r="AC2" s="55" t="s">
        <v>51</v>
      </c>
      <c r="AD2" s="55" t="s">
        <v>52</v>
      </c>
      <c r="AE2" s="56" t="s">
        <v>53</v>
      </c>
      <c r="AF2" s="57" t="s">
        <v>83</v>
      </c>
      <c r="AG2" s="57" t="s">
        <v>54</v>
      </c>
      <c r="AH2" s="58" t="s">
        <v>25</v>
      </c>
      <c r="AI2" s="68" t="s">
        <v>164</v>
      </c>
      <c r="AJ2" s="68" t="s">
        <v>26</v>
      </c>
      <c r="AK2" s="68" t="s">
        <v>27</v>
      </c>
      <c r="AL2" s="68" t="s">
        <v>28</v>
      </c>
      <c r="AM2" s="68" t="s">
        <v>29</v>
      </c>
      <c r="AN2" s="68" t="s">
        <v>30</v>
      </c>
      <c r="AO2" s="68" t="s">
        <v>101</v>
      </c>
      <c r="AP2" s="68" t="s">
        <v>102</v>
      </c>
      <c r="AQ2" s="68" t="s">
        <v>103</v>
      </c>
      <c r="AR2" s="68" t="s">
        <v>104</v>
      </c>
      <c r="AS2" s="68" t="s">
        <v>105</v>
      </c>
      <c r="AT2" s="68" t="s">
        <v>106</v>
      </c>
      <c r="AU2" s="68" t="s">
        <v>107</v>
      </c>
      <c r="AV2" s="68" t="s">
        <v>108</v>
      </c>
      <c r="AW2" s="68" t="s">
        <v>109</v>
      </c>
      <c r="AX2" s="68" t="s">
        <v>110</v>
      </c>
      <c r="AY2" s="68" t="s">
        <v>111</v>
      </c>
      <c r="AZ2" s="68" t="s">
        <v>112</v>
      </c>
      <c r="BA2" s="68" t="s">
        <v>113</v>
      </c>
      <c r="BB2" s="68" t="s">
        <v>114</v>
      </c>
      <c r="BC2" s="68" t="s">
        <v>115</v>
      </c>
      <c r="BD2" s="68" t="s">
        <v>165</v>
      </c>
      <c r="BE2" s="68" t="s">
        <v>31</v>
      </c>
      <c r="BF2" s="68" t="s">
        <v>32</v>
      </c>
      <c r="BG2" s="68" t="s">
        <v>33</v>
      </c>
      <c r="BH2" s="68" t="s">
        <v>34</v>
      </c>
      <c r="BI2" s="68" t="s">
        <v>35</v>
      </c>
      <c r="BJ2" s="68" t="s">
        <v>116</v>
      </c>
      <c r="BK2" s="68" t="s">
        <v>117</v>
      </c>
      <c r="BL2" s="68" t="s">
        <v>118</v>
      </c>
      <c r="BM2" s="68" t="s">
        <v>119</v>
      </c>
      <c r="BN2" s="68" t="s">
        <v>120</v>
      </c>
      <c r="BO2" s="68" t="s">
        <v>121</v>
      </c>
      <c r="BP2" s="68" t="s">
        <v>122</v>
      </c>
      <c r="BQ2" s="68" t="s">
        <v>123</v>
      </c>
      <c r="BR2" s="68" t="s">
        <v>124</v>
      </c>
      <c r="BS2" s="68" t="s">
        <v>125</v>
      </c>
      <c r="BT2" s="68" t="s">
        <v>126</v>
      </c>
      <c r="BU2" s="68" t="s">
        <v>127</v>
      </c>
      <c r="BV2" s="68" t="s">
        <v>128</v>
      </c>
      <c r="BW2" s="68" t="s">
        <v>129</v>
      </c>
      <c r="BX2" s="68" t="s">
        <v>130</v>
      </c>
      <c r="BY2" s="68" t="s">
        <v>193</v>
      </c>
      <c r="BZ2" s="68" t="s">
        <v>36</v>
      </c>
      <c r="CA2" s="68" t="s">
        <v>37</v>
      </c>
      <c r="CB2" s="68" t="s">
        <v>38</v>
      </c>
      <c r="CC2" s="68" t="s">
        <v>39</v>
      </c>
      <c r="CD2" s="68" t="s">
        <v>40</v>
      </c>
      <c r="CE2" s="68" t="s">
        <v>131</v>
      </c>
      <c r="CF2" s="68" t="s">
        <v>132</v>
      </c>
      <c r="CG2" s="68" t="s">
        <v>133</v>
      </c>
      <c r="CH2" s="68" t="s">
        <v>134</v>
      </c>
      <c r="CI2" s="68" t="s">
        <v>135</v>
      </c>
      <c r="CJ2" s="68" t="s">
        <v>136</v>
      </c>
      <c r="CK2" s="68" t="s">
        <v>137</v>
      </c>
      <c r="CL2" s="68" t="s">
        <v>138</v>
      </c>
      <c r="CM2" s="68" t="s">
        <v>139</v>
      </c>
      <c r="CN2" s="68" t="s">
        <v>140</v>
      </c>
      <c r="CO2" s="68" t="s">
        <v>141</v>
      </c>
      <c r="CP2" s="68" t="s">
        <v>142</v>
      </c>
      <c r="CQ2" s="68" t="s">
        <v>143</v>
      </c>
      <c r="CR2" s="68" t="s">
        <v>144</v>
      </c>
      <c r="CS2" s="68" t="s">
        <v>145</v>
      </c>
      <c r="CT2" s="68" t="s">
        <v>194</v>
      </c>
      <c r="CU2" s="68" t="s">
        <v>41</v>
      </c>
      <c r="CV2" s="68" t="s">
        <v>42</v>
      </c>
      <c r="CW2" s="68" t="s">
        <v>43</v>
      </c>
      <c r="CX2" s="68" t="s">
        <v>44</v>
      </c>
      <c r="CY2" s="68" t="s">
        <v>45</v>
      </c>
      <c r="CZ2" s="68" t="s">
        <v>146</v>
      </c>
      <c r="DA2" s="68" t="s">
        <v>147</v>
      </c>
      <c r="DB2" s="68" t="s">
        <v>148</v>
      </c>
      <c r="DC2" s="68" t="s">
        <v>149</v>
      </c>
      <c r="DD2" s="68" t="s">
        <v>150</v>
      </c>
      <c r="DE2" s="68" t="s">
        <v>151</v>
      </c>
      <c r="DF2" s="68" t="s">
        <v>152</v>
      </c>
      <c r="DG2" s="68" t="s">
        <v>153</v>
      </c>
      <c r="DH2" s="68" t="s">
        <v>154</v>
      </c>
      <c r="DI2" s="68" t="s">
        <v>155</v>
      </c>
      <c r="DJ2" s="68" t="s">
        <v>156</v>
      </c>
      <c r="DK2" s="68" t="s">
        <v>157</v>
      </c>
      <c r="DL2" s="68" t="s">
        <v>158</v>
      </c>
      <c r="DM2" s="68" t="s">
        <v>159</v>
      </c>
      <c r="DN2" s="68" t="s">
        <v>160</v>
      </c>
    </row>
    <row r="3" spans="1:118" s="127" customFormat="1" ht="17" thickTop="1" x14ac:dyDescent="0.2">
      <c r="A3" s="127" t="s">
        <v>63</v>
      </c>
      <c r="B3" s="127" t="s">
        <v>196</v>
      </c>
      <c r="C3" s="127" t="str">
        <f>DDC!B4</f>
        <v>NRS1_CNTR</v>
      </c>
      <c r="D3" s="127" t="s">
        <v>211</v>
      </c>
      <c r="E3" s="127" t="s">
        <v>82</v>
      </c>
      <c r="F3" s="137">
        <v>2048</v>
      </c>
      <c r="G3" s="137">
        <v>2048</v>
      </c>
      <c r="H3" s="133">
        <v>1024.5</v>
      </c>
      <c r="I3" s="133">
        <v>1024.5</v>
      </c>
      <c r="J3" s="137">
        <v>2048</v>
      </c>
      <c r="K3" s="137">
        <v>2048</v>
      </c>
      <c r="L3" s="133">
        <v>1024.5</v>
      </c>
      <c r="M3" s="133">
        <v>1024.5</v>
      </c>
      <c r="N3" s="138">
        <f>Calc!P31</f>
        <v>0.10324662736982954</v>
      </c>
      <c r="O3" s="138">
        <f>Calc!Q31</f>
        <v>0.10533870467213714</v>
      </c>
      <c r="P3" s="139">
        <f>Calc!F31</f>
        <v>294.05481286004857</v>
      </c>
      <c r="Q3" s="139">
        <f>Calc!G31</f>
        <v>-502.90191109196689</v>
      </c>
      <c r="R3" s="139">
        <f>W3</f>
        <v>139.15545003789879</v>
      </c>
      <c r="S3" s="137">
        <v>1</v>
      </c>
      <c r="T3" s="133">
        <v>0</v>
      </c>
      <c r="U3" s="137">
        <v>1</v>
      </c>
      <c r="V3" s="139">
        <f>Calc!R31</f>
        <v>48.13350214841627</v>
      </c>
      <c r="W3" s="139">
        <f>Calc!S31</f>
        <v>139.15545003789879</v>
      </c>
      <c r="X3" s="140">
        <f>$S3*(Calc!R43-$P3)*COS(RADIANS($R3))-$S3*(Calc!W43-$Q3)*SIN(RADIANS($R3))</f>
        <v>105.52076251469471</v>
      </c>
      <c r="Y3" s="140">
        <f>$S3*(Calc!S43-$P3)*COS(RADIANS($R3))-$S3*(Calc!X43-$Q3)*SIN(RADIANS($R3))</f>
        <v>-104.12283942915678</v>
      </c>
      <c r="Z3" s="140">
        <f>$S3*(Calc!T43-$P3)*COS(RADIANS($R3))-$S3*(Calc!Y43-$Q3)*SIN(RADIANS($R3))</f>
        <v>-106.65857380693009</v>
      </c>
      <c r="AA3" s="140">
        <f>$S3*(Calc!U43-$P3)*COS(RADIANS($R3))-$S3*(Calc!Z43-$Q3)*SIN(RADIANS($R3))</f>
        <v>107.49690989722482</v>
      </c>
      <c r="AB3" s="140">
        <f>(Calc!R43-$P3)*SIN(RADIANS($R3))+(Calc!W43-$Q3)*COS(RADIANS($R3))</f>
        <v>-104.99062239131351</v>
      </c>
      <c r="AC3" s="140">
        <f>(Calc!S43-$P3)*SIN(RADIANS($R3))+(Calc!X43-$Q3)*COS(RADIANS($R3))</f>
        <v>-108.01419223597389</v>
      </c>
      <c r="AD3" s="140">
        <f>(Calc!T43-$P3)*SIN(RADIANS($R3))+(Calc!Y43-$Q3)*COS(RADIANS($R3))</f>
        <v>107.61421424987924</v>
      </c>
      <c r="AE3" s="140">
        <f>(Calc!U43-$P3)*SIN(RADIANS($R3))+(Calc!Z43-$Q3)*COS(RADIANS($R3))</f>
        <v>111.4558858755331</v>
      </c>
      <c r="AF3" s="141">
        <v>41640</v>
      </c>
      <c r="AH3" s="127">
        <v>5</v>
      </c>
      <c r="AI3" s="142">
        <f>Calc!E20</f>
        <v>-6.7660242433975351E-2</v>
      </c>
      <c r="AJ3" s="142">
        <f>Calc!F20</f>
        <v>6.3710617882725682E-5</v>
      </c>
      <c r="AK3" s="142">
        <f>Calc!G20</f>
        <v>-4.9678843267757534E-7</v>
      </c>
      <c r="AL3" s="142">
        <f>Calc!H20</f>
        <v>-2.9532836695665883E-10</v>
      </c>
      <c r="AM3" s="142">
        <f>Calc!I20</f>
        <v>9.4398521079112229E-10</v>
      </c>
      <c r="AN3" s="142">
        <f>Calc!J20</f>
        <v>-1.1208670557429307E-10</v>
      </c>
      <c r="AO3" s="142">
        <f>Calc!K20</f>
        <v>7.9124585605554909E-14</v>
      </c>
      <c r="AP3" s="142">
        <f>Calc!L20</f>
        <v>1.0441691046875324E-14</v>
      </c>
      <c r="AQ3" s="142">
        <f>Calc!M20</f>
        <v>9.2447667203907503E-14</v>
      </c>
      <c r="AR3" s="142">
        <f>Calc!N20</f>
        <v>-9.2141595854041468E-16</v>
      </c>
      <c r="AS3" s="142">
        <f>Calc!O20</f>
        <v>7.97054785944557E-18</v>
      </c>
      <c r="AT3" s="142">
        <f>Calc!P20</f>
        <v>-2.1144761915850751E-18</v>
      </c>
      <c r="AU3" s="142">
        <f>Calc!Q20</f>
        <v>2.601356881125444E-20</v>
      </c>
      <c r="AV3" s="142">
        <f>Calc!R20</f>
        <v>2.9425081025967295E-19</v>
      </c>
      <c r="AW3" s="142">
        <f>Calc!S20</f>
        <v>-8.3829310384137796E-18</v>
      </c>
      <c r="AX3" s="142">
        <f>Calc!T20</f>
        <v>-1.42314919585E-21</v>
      </c>
      <c r="AY3" s="142">
        <f>Calc!U20</f>
        <v>2.8922346385499998E-24</v>
      </c>
      <c r="AZ3" s="142">
        <f>Calc!V20</f>
        <v>-2.00596589997E-22</v>
      </c>
      <c r="BA3" s="142">
        <f>Calc!W20</f>
        <v>-5.0974818767300004E-22</v>
      </c>
      <c r="BB3" s="142">
        <f>Calc!X20</f>
        <v>1.86011972425E-22</v>
      </c>
      <c r="BC3" s="142">
        <f>Calc!Y20</f>
        <v>7.7132625107599997E-22</v>
      </c>
      <c r="BD3" s="142">
        <f>Calc!Z20</f>
        <v>0.29497908049583188</v>
      </c>
      <c r="BE3" s="142">
        <f>Calc!AA20</f>
        <v>-1.2000206476103616E-6</v>
      </c>
      <c r="BF3" s="142">
        <f>Calc!AB20</f>
        <v>6.6828110284307068E-5</v>
      </c>
      <c r="BG3" s="142">
        <f>Calc!AC20</f>
        <v>3.1924650557675572E-10</v>
      </c>
      <c r="BH3" s="142">
        <f>Calc!AD20</f>
        <v>-1.7703159460840283E-10</v>
      </c>
      <c r="BI3" s="142">
        <f>Calc!AE20</f>
        <v>1.2867539404066917E-9</v>
      </c>
      <c r="BJ3" s="142">
        <f>Calc!AF20</f>
        <v>5.5596625735041805E-15</v>
      </c>
      <c r="BK3" s="142">
        <f>Calc!AG20</f>
        <v>7.1811949283452473E-14</v>
      </c>
      <c r="BL3" s="142">
        <f>Calc!AH20</f>
        <v>1.7528840779289387E-14</v>
      </c>
      <c r="BM3" s="142">
        <f>Calc!AI20</f>
        <v>4.5927830045395991E-14</v>
      </c>
      <c r="BN3" s="142">
        <f>Calc!AJ20</f>
        <v>-3.1115151626727783E-19</v>
      </c>
      <c r="BO3" s="142">
        <f>Calc!AK20</f>
        <v>5.8724362046417922E-18</v>
      </c>
      <c r="BP3" s="142">
        <f>Calc!AL20</f>
        <v>-7.6302359932669695E-18</v>
      </c>
      <c r="BQ3" s="142">
        <f>Calc!AM20</f>
        <v>1.8475981877257938E-18</v>
      </c>
      <c r="BR3" s="142">
        <f>Calc!AN20</f>
        <v>-1.4062277790645555E-17</v>
      </c>
      <c r="BS3" s="142">
        <f>Calc!AO20</f>
        <v>-2.8352454995700001E-22</v>
      </c>
      <c r="BT3" s="142">
        <f>Calc!AP20</f>
        <v>-1.4111760654100001E-21</v>
      </c>
      <c r="BU3" s="142">
        <f>Calc!AQ20</f>
        <v>3.77306479219E-23</v>
      </c>
      <c r="BV3" s="142">
        <f>Calc!AR20</f>
        <v>-9.5460421541399995E-22</v>
      </c>
      <c r="BW3" s="142">
        <f>Calc!AS20</f>
        <v>-1.1432672115400001E-21</v>
      </c>
      <c r="BX3" s="142">
        <f>Calc!AT20</f>
        <v>6.1158069806300002E-21</v>
      </c>
      <c r="BY3" s="142">
        <f>Calc!E$13-H3</f>
        <v>1197.5704896500001</v>
      </c>
      <c r="BZ3" s="142">
        <f>Calc!F$13</f>
        <v>16358.183990899999</v>
      </c>
      <c r="CA3" s="142">
        <f>Calc!G$13</f>
        <v>-1497.43046495</v>
      </c>
      <c r="CB3" s="142">
        <f>Calc!H$13</f>
        <v>-163.25955776399999</v>
      </c>
      <c r="CC3" s="142">
        <f>Calc!I$13</f>
        <v>386.10461223800002</v>
      </c>
      <c r="CD3" s="142">
        <f>Calc!J$13</f>
        <v>7933.9478977400004</v>
      </c>
      <c r="CE3" s="142">
        <f>Calc!K$13</f>
        <v>-8780.2665423100007</v>
      </c>
      <c r="CF3" s="142">
        <f>Calc!L$13</f>
        <v>1879.1791221599999</v>
      </c>
      <c r="CG3" s="142">
        <f>Calc!M$13</f>
        <v>-11091.9392936</v>
      </c>
      <c r="CH3" s="142">
        <f>Calc!N$13</f>
        <v>-22879.2874041</v>
      </c>
      <c r="CI3" s="142">
        <f>Calc!O$13</f>
        <v>-5971.5059984500003</v>
      </c>
      <c r="CJ3" s="142">
        <f>Calc!P$13</f>
        <v>9663.7014914800002</v>
      </c>
      <c r="CK3" s="142">
        <f>Calc!Q$13</f>
        <v>-6920.2381920099997</v>
      </c>
      <c r="CL3" s="142">
        <f>Calc!R$13</f>
        <v>11942.6214936</v>
      </c>
      <c r="CM3" s="142">
        <f>Calc!S$13</f>
        <v>32500.833927700001</v>
      </c>
      <c r="CN3" s="142">
        <f>Calc!T$13</f>
        <v>21171.9223207</v>
      </c>
      <c r="CO3" s="142">
        <f>Calc!U$13</f>
        <v>14847.714800399999</v>
      </c>
      <c r="CP3" s="142">
        <f>Calc!V$13</f>
        <v>1438.6852080399999</v>
      </c>
      <c r="CQ3" s="142">
        <f>Calc!W$13</f>
        <v>8178.7701046700004</v>
      </c>
      <c r="CR3" s="142">
        <f>Calc!X$13</f>
        <v>-5274.1260132899997</v>
      </c>
      <c r="CS3" s="142">
        <f>Calc!Y$13</f>
        <v>-17700.472343500001</v>
      </c>
      <c r="CT3" s="142">
        <f>Calc!Z13-I3</f>
        <v>-4489.5919477699999</v>
      </c>
      <c r="CU3" s="142">
        <f>Calc!AA13</f>
        <v>183.41093346700001</v>
      </c>
      <c r="CV3" s="142">
        <f>Calc!AB13</f>
        <v>12875.6420155</v>
      </c>
      <c r="CW3" s="142">
        <f>Calc!AC13</f>
        <v>928.64008340500004</v>
      </c>
      <c r="CX3" s="142">
        <f>Calc!AD13</f>
        <v>-829.96006774700004</v>
      </c>
      <c r="CY3" s="142">
        <f>Calc!AE13</f>
        <v>25128.6347714</v>
      </c>
      <c r="CZ3" s="142">
        <f>Calc!AF13</f>
        <v>820.09113469199997</v>
      </c>
      <c r="DA3" s="142">
        <f>Calc!AG13</f>
        <v>-11624.2526987</v>
      </c>
      <c r="DB3" s="142">
        <f>Calc!AH13</f>
        <v>4354.0386575800003</v>
      </c>
      <c r="DC3" s="142">
        <f>Calc!AI13</f>
        <v>-92250.7416486</v>
      </c>
      <c r="DD3" s="142">
        <f>Calc!AJ13</f>
        <v>-2153.9835561</v>
      </c>
      <c r="DE3" s="142">
        <f>Calc!AK13</f>
        <v>-6849.7716648200003</v>
      </c>
      <c r="DF3" s="142">
        <f>Calc!AL13</f>
        <v>14995.563602300001</v>
      </c>
      <c r="DG3" s="142">
        <f>Calc!AM13</f>
        <v>-10476.2086101</v>
      </c>
      <c r="DH3" s="142">
        <f>Calc!AN13</f>
        <v>142897.49498399999</v>
      </c>
      <c r="DI3" s="142">
        <f>Calc!AO13</f>
        <v>6923.6219556300002</v>
      </c>
      <c r="DJ3" s="142">
        <f>Calc!AP13</f>
        <v>17875.088959299999</v>
      </c>
      <c r="DK3" s="142">
        <f>Calc!AQ13</f>
        <v>12156.176261799999</v>
      </c>
      <c r="DL3" s="142">
        <f>Calc!AR13</f>
        <v>-1763.8166260099999</v>
      </c>
      <c r="DM3" s="142">
        <f>Calc!AS13</f>
        <v>9316.1666996799995</v>
      </c>
      <c r="DN3" s="142">
        <f>Calc!AT13</f>
        <v>-87509.181240200007</v>
      </c>
    </row>
    <row r="4" spans="1:118" x14ac:dyDescent="0.2">
      <c r="A4" t="s">
        <v>63</v>
      </c>
      <c r="B4" t="s">
        <v>197</v>
      </c>
      <c r="C4" t="str">
        <f>DDC!B5</f>
        <v>NRS1_CNTR</v>
      </c>
      <c r="D4" t="s">
        <v>212</v>
      </c>
      <c r="E4" t="s">
        <v>82</v>
      </c>
      <c r="F4" s="31">
        <v>2048</v>
      </c>
      <c r="G4" s="31">
        <v>2048</v>
      </c>
      <c r="H4" s="29">
        <v>1024.5</v>
      </c>
      <c r="I4" s="29">
        <v>1024.5</v>
      </c>
      <c r="J4" s="31">
        <v>2048</v>
      </c>
      <c r="K4" s="31">
        <v>2048</v>
      </c>
      <c r="L4" s="29">
        <v>1024.5</v>
      </c>
      <c r="M4" s="29">
        <v>1024.5</v>
      </c>
      <c r="N4" s="94">
        <v>0.10326747696862015</v>
      </c>
      <c r="O4" s="94">
        <v>0.10532422274336092</v>
      </c>
      <c r="P4" s="3">
        <f>P3</f>
        <v>294.05481286004857</v>
      </c>
      <c r="Q4" s="3">
        <f>Q3</f>
        <v>-502.90191109196689</v>
      </c>
      <c r="R4" s="3">
        <f t="shared" ref="R4:R6" si="0">W4</f>
        <v>139.15545003789879</v>
      </c>
      <c r="S4" s="31">
        <v>-1</v>
      </c>
      <c r="T4" s="29">
        <v>0</v>
      </c>
      <c r="U4" s="31">
        <v>1</v>
      </c>
      <c r="V4" s="3">
        <f>Calc!R32</f>
        <v>48.13350214841627</v>
      </c>
      <c r="W4" s="3">
        <f>Calc!S32</f>
        <v>139.15545003789879</v>
      </c>
      <c r="X4" s="7">
        <f>$S4*(Calc!R44-$P4)*COS(RADIANS($R4))-$S4*(Calc!W44-$Q4)*SIN(RADIANS($R4))</f>
        <v>-105.52076251469471</v>
      </c>
      <c r="Y4" s="7">
        <f>$S4*(Calc!S44-$P4)*COS(RADIANS($R4))-$S4*(Calc!X44-$Q4)*SIN(RADIANS($R4))</f>
        <v>104.12283942915678</v>
      </c>
      <c r="Z4" s="7">
        <f>$S4*(Calc!T44-$P4)*COS(RADIANS($R4))-$S4*(Calc!Y44-$Q4)*SIN(RADIANS($R4))</f>
        <v>106.65857380693009</v>
      </c>
      <c r="AA4" s="7">
        <f>$S4*(Calc!U44-$P4)*COS(RADIANS($R4))-$S4*(Calc!Z44-$Q4)*SIN(RADIANS($R4))</f>
        <v>-107.49690989722482</v>
      </c>
      <c r="AB4" s="7">
        <f>(Calc!R44-$P4)*SIN(RADIANS($R4))+(Calc!W44-$Q4)*COS(RADIANS($R4))</f>
        <v>-104.99062239131351</v>
      </c>
      <c r="AC4" s="7">
        <f>(Calc!S44-$P4)*SIN(RADIANS($R4))+(Calc!X44-$Q4)*COS(RADIANS($R4))</f>
        <v>-108.01419223597389</v>
      </c>
      <c r="AD4" s="7">
        <f>(Calc!T44-$P4)*SIN(RADIANS($R4))+(Calc!Y44-$Q4)*COS(RADIANS($R4))</f>
        <v>107.61421424987924</v>
      </c>
      <c r="AE4" s="7">
        <f>(Calc!U44-$P4)*SIN(RADIANS($R4))+(Calc!Z44-$Q4)*COS(RADIANS($R4))</f>
        <v>111.4558858755331</v>
      </c>
      <c r="AF4" s="28">
        <v>41640</v>
      </c>
      <c r="AH4">
        <v>5</v>
      </c>
      <c r="AI4" s="69">
        <f>Calc!E21</f>
        <v>-6.7660242433975351E-2</v>
      </c>
      <c r="AJ4" s="69">
        <f>Calc!F21</f>
        <v>6.3710617882725682E-5</v>
      </c>
      <c r="AK4" s="69">
        <f>Calc!G21</f>
        <v>-4.9678843267757534E-7</v>
      </c>
      <c r="AL4" s="69">
        <f>Calc!H21</f>
        <v>-2.9532836695665883E-10</v>
      </c>
      <c r="AM4" s="69">
        <f>Calc!I21</f>
        <v>9.4398521079112229E-10</v>
      </c>
      <c r="AN4" s="69">
        <f>Calc!J21</f>
        <v>-1.1208670557429307E-10</v>
      </c>
      <c r="AO4" s="69">
        <f>Calc!K21</f>
        <v>7.9124585605554909E-14</v>
      </c>
      <c r="AP4" s="69">
        <f>Calc!L21</f>
        <v>1.0441691046875324E-14</v>
      </c>
      <c r="AQ4" s="69">
        <f>Calc!M21</f>
        <v>9.2447667203907503E-14</v>
      </c>
      <c r="AR4" s="69">
        <f>Calc!N21</f>
        <v>-9.2141595854041468E-16</v>
      </c>
      <c r="AS4" s="69">
        <f>Calc!O21</f>
        <v>7.97054785944557E-18</v>
      </c>
      <c r="AT4" s="69">
        <f>Calc!P21</f>
        <v>-2.1144761915850751E-18</v>
      </c>
      <c r="AU4" s="69">
        <f>Calc!Q21</f>
        <v>2.601356881125444E-20</v>
      </c>
      <c r="AV4" s="69">
        <f>Calc!R21</f>
        <v>2.9425081025967295E-19</v>
      </c>
      <c r="AW4" s="69">
        <f>Calc!S21</f>
        <v>-8.3829310384137796E-18</v>
      </c>
      <c r="AX4" s="69">
        <f>Calc!T21</f>
        <v>-1.42314919585E-21</v>
      </c>
      <c r="AY4" s="69">
        <f>Calc!U21</f>
        <v>2.8922346385499998E-24</v>
      </c>
      <c r="AZ4" s="69">
        <f>Calc!V21</f>
        <v>-2.00596589997E-22</v>
      </c>
      <c r="BA4" s="69">
        <f>Calc!W21</f>
        <v>-5.0974818767300004E-22</v>
      </c>
      <c r="BB4" s="69">
        <f>Calc!X21</f>
        <v>1.86011972425E-22</v>
      </c>
      <c r="BC4" s="69">
        <f>Calc!Y21</f>
        <v>7.7132625107599997E-22</v>
      </c>
      <c r="BD4" s="69">
        <f>Calc!Z21</f>
        <v>0.29497908049583188</v>
      </c>
      <c r="BE4" s="69">
        <f>Calc!AA21</f>
        <v>-1.2000206476103616E-6</v>
      </c>
      <c r="BF4" s="69">
        <f>Calc!AB21</f>
        <v>6.6828110284307068E-5</v>
      </c>
      <c r="BG4" s="69">
        <f>Calc!AC21</f>
        <v>3.1924650557675572E-10</v>
      </c>
      <c r="BH4" s="69">
        <f>Calc!AD21</f>
        <v>-1.7703159460840283E-10</v>
      </c>
      <c r="BI4" s="69">
        <f>Calc!AE21</f>
        <v>1.2867539404066917E-9</v>
      </c>
      <c r="BJ4" s="69">
        <f>Calc!AF21</f>
        <v>5.5596625735041805E-15</v>
      </c>
      <c r="BK4" s="69">
        <f>Calc!AG21</f>
        <v>7.1811949283452473E-14</v>
      </c>
      <c r="BL4" s="69">
        <f>Calc!AH21</f>
        <v>1.7528840779289387E-14</v>
      </c>
      <c r="BM4" s="69">
        <f>Calc!AI21</f>
        <v>4.5927830045395991E-14</v>
      </c>
      <c r="BN4" s="69">
        <f>Calc!AJ21</f>
        <v>-3.1115151626727783E-19</v>
      </c>
      <c r="BO4" s="69">
        <f>Calc!AK21</f>
        <v>5.8724362046417922E-18</v>
      </c>
      <c r="BP4" s="69">
        <f>Calc!AL21</f>
        <v>-7.6302359932669695E-18</v>
      </c>
      <c r="BQ4" s="69">
        <f>Calc!AM21</f>
        <v>1.8475981877257938E-18</v>
      </c>
      <c r="BR4" s="69">
        <f>Calc!AN21</f>
        <v>-1.4062277790645555E-17</v>
      </c>
      <c r="BS4" s="69">
        <f>Calc!AO21</f>
        <v>-2.8352454995700001E-22</v>
      </c>
      <c r="BT4" s="69">
        <f>Calc!AP21</f>
        <v>-1.4111760654100001E-21</v>
      </c>
      <c r="BU4" s="69">
        <f>Calc!AQ21</f>
        <v>3.77306479219E-23</v>
      </c>
      <c r="BV4" s="69">
        <f>Calc!AR21</f>
        <v>-9.5460421541399995E-22</v>
      </c>
      <c r="BW4" s="69">
        <f>Calc!AS21</f>
        <v>-1.1432672115400001E-21</v>
      </c>
      <c r="BX4" s="69">
        <f>Calc!AT21</f>
        <v>6.1158069806300002E-21</v>
      </c>
      <c r="BY4" s="69">
        <f>Calc!E$13-H4</f>
        <v>1197.5704896500001</v>
      </c>
      <c r="BZ4" s="69">
        <f>Calc!F$13</f>
        <v>16358.183990899999</v>
      </c>
      <c r="CA4" s="69">
        <f>Calc!G$13</f>
        <v>-1497.43046495</v>
      </c>
      <c r="CB4" s="69">
        <f>Calc!H$13</f>
        <v>-163.25955776399999</v>
      </c>
      <c r="CC4" s="69">
        <f>Calc!I$13</f>
        <v>386.10461223800002</v>
      </c>
      <c r="CD4" s="69">
        <f>Calc!J$13</f>
        <v>7933.9478977400004</v>
      </c>
      <c r="CE4" s="69">
        <f>Calc!K$13</f>
        <v>-8780.2665423100007</v>
      </c>
      <c r="CF4" s="69">
        <f>Calc!L$13</f>
        <v>1879.1791221599999</v>
      </c>
      <c r="CG4" s="69">
        <f>Calc!M$13</f>
        <v>-11091.9392936</v>
      </c>
      <c r="CH4" s="69">
        <f>Calc!N$13</f>
        <v>-22879.2874041</v>
      </c>
      <c r="CI4" s="69">
        <f>Calc!O$13</f>
        <v>-5971.5059984500003</v>
      </c>
      <c r="CJ4" s="69">
        <f>Calc!P$13</f>
        <v>9663.7014914800002</v>
      </c>
      <c r="CK4" s="69">
        <f>Calc!Q$13</f>
        <v>-6920.2381920099997</v>
      </c>
      <c r="CL4" s="69">
        <f>Calc!R$13</f>
        <v>11942.6214936</v>
      </c>
      <c r="CM4" s="69">
        <f>Calc!S$13</f>
        <v>32500.833927700001</v>
      </c>
      <c r="CN4" s="69">
        <f>Calc!T$13</f>
        <v>21171.9223207</v>
      </c>
      <c r="CO4" s="69">
        <f>Calc!U$13</f>
        <v>14847.714800399999</v>
      </c>
      <c r="CP4" s="69">
        <f>Calc!V$13</f>
        <v>1438.6852080399999</v>
      </c>
      <c r="CQ4" s="69">
        <f>Calc!W$13</f>
        <v>8178.7701046700004</v>
      </c>
      <c r="CR4" s="69">
        <f>Calc!X$13</f>
        <v>-5274.1260132899997</v>
      </c>
      <c r="CS4" s="69">
        <f>Calc!Y$13</f>
        <v>-17700.472343500001</v>
      </c>
      <c r="CT4" s="69">
        <f>Calc!Z13-I4</f>
        <v>-4489.5919477699999</v>
      </c>
      <c r="CU4" s="69">
        <f>Calc!AA$13</f>
        <v>183.41093346700001</v>
      </c>
      <c r="CV4" s="69">
        <f>Calc!AB$13</f>
        <v>12875.6420155</v>
      </c>
      <c r="CW4" s="69">
        <f>Calc!AC$13</f>
        <v>928.64008340500004</v>
      </c>
      <c r="CX4" s="69">
        <f>Calc!AD$13</f>
        <v>-829.96006774700004</v>
      </c>
      <c r="CY4" s="69">
        <f>Calc!AE$13</f>
        <v>25128.6347714</v>
      </c>
      <c r="CZ4" s="69">
        <f>Calc!AF$13</f>
        <v>820.09113469199997</v>
      </c>
      <c r="DA4" s="69">
        <f>Calc!AG$13</f>
        <v>-11624.2526987</v>
      </c>
      <c r="DB4" s="69">
        <f>Calc!AH$13</f>
        <v>4354.0386575800003</v>
      </c>
      <c r="DC4" s="69">
        <f>Calc!AI$13</f>
        <v>-92250.7416486</v>
      </c>
      <c r="DD4" s="69">
        <f>Calc!AJ$13</f>
        <v>-2153.9835561</v>
      </c>
      <c r="DE4" s="69">
        <f>Calc!AK$13</f>
        <v>-6849.7716648200003</v>
      </c>
      <c r="DF4" s="69">
        <f>Calc!AL$13</f>
        <v>14995.563602300001</v>
      </c>
      <c r="DG4" s="69">
        <f>Calc!AM$13</f>
        <v>-10476.2086101</v>
      </c>
      <c r="DH4" s="69">
        <f>Calc!AN$13</f>
        <v>142897.49498399999</v>
      </c>
      <c r="DI4" s="69">
        <f>Calc!AO$13</f>
        <v>6923.6219556300002</v>
      </c>
      <c r="DJ4" s="69">
        <f>Calc!AP$13</f>
        <v>17875.088959299999</v>
      </c>
      <c r="DK4" s="69">
        <f>Calc!AQ$13</f>
        <v>12156.176261799999</v>
      </c>
      <c r="DL4" s="69">
        <f>Calc!AR$13</f>
        <v>-1763.8166260099999</v>
      </c>
      <c r="DM4" s="69">
        <f>Calc!AS$13</f>
        <v>9316.1666996799995</v>
      </c>
      <c r="DN4" s="69">
        <f>Calc!AT$13</f>
        <v>-87509.181240200007</v>
      </c>
    </row>
    <row r="5" spans="1:118" x14ac:dyDescent="0.2">
      <c r="A5" t="s">
        <v>63</v>
      </c>
      <c r="B5" t="s">
        <v>198</v>
      </c>
      <c r="C5" t="str">
        <f>DDC!B6</f>
        <v>NRS2_CNTR</v>
      </c>
      <c r="D5" t="s">
        <v>211</v>
      </c>
      <c r="E5" t="s">
        <v>82</v>
      </c>
      <c r="F5" s="31">
        <v>2048</v>
      </c>
      <c r="G5" s="31">
        <v>2048</v>
      </c>
      <c r="H5" s="29">
        <v>1024.5</v>
      </c>
      <c r="I5" s="29">
        <v>1024.5</v>
      </c>
      <c r="J5" s="31">
        <v>2048</v>
      </c>
      <c r="K5" s="31">
        <v>2048</v>
      </c>
      <c r="L5" s="29">
        <f>(J5+1)/2</f>
        <v>1024.5</v>
      </c>
      <c r="M5" s="29">
        <f t="shared" ref="M5:M6" si="1">(K5+1)/2</f>
        <v>1024.5</v>
      </c>
      <c r="N5" s="94">
        <f>Calc!P33</f>
        <v>0.10331174094250724</v>
      </c>
      <c r="O5" s="94">
        <f>Calc!Q33</f>
        <v>0.10536197410822189</v>
      </c>
      <c r="P5" s="3">
        <f>Calc!F33</f>
        <v>463.16522786142303</v>
      </c>
      <c r="Q5" s="3">
        <f>Calc!G33</f>
        <v>-353.21247418212658</v>
      </c>
      <c r="R5" s="3">
        <f>W5</f>
        <v>-42.281772575382426</v>
      </c>
      <c r="S5" s="31">
        <v>1</v>
      </c>
      <c r="T5" s="29">
        <v>0</v>
      </c>
      <c r="U5" s="31">
        <v>1</v>
      </c>
      <c r="V5" s="3">
        <f>Calc!R33</f>
        <v>-131.14989737296153</v>
      </c>
      <c r="W5" s="3">
        <f>Calc!S33</f>
        <v>-42.281772575382426</v>
      </c>
      <c r="X5" s="7">
        <f>$S5*(Calc!R45-$P5)*COS(RADIANS($R5))-$S5*(Calc!W45-$Q5)*SIN(RADIANS($R5))</f>
        <v>107.7350907699838</v>
      </c>
      <c r="Y5" s="7">
        <f>$S5*(Calc!S45-$P5)*COS(RADIANS($R5))-$S5*(Calc!X45-$Q5)*SIN(RADIANS($R5))</f>
        <v>-106.68094120958345</v>
      </c>
      <c r="Z5" s="7">
        <f>$S5*(Calc!T45-$P5)*COS(RADIANS($R5))-$S5*(Calc!Y45-$Q5)*SIN(RADIANS($R5))</f>
        <v>-104.17019459799876</v>
      </c>
      <c r="AA5" s="7">
        <f>$S5*(Calc!U45-$P5)*COS(RADIANS($R5))-$S5*(Calc!Z45-$Q5)*SIN(RADIANS($R5))</f>
        <v>105.46724687355395</v>
      </c>
      <c r="AB5" s="7">
        <f>(Calc!R45-$P5)*SIN(RADIANS($R5))+(Calc!W45-$Q5)*COS(RADIANS($R5))</f>
        <v>-112.15806616729159</v>
      </c>
      <c r="AC5" s="7">
        <f>(Calc!S45-$P5)*SIN(RADIANS($R5))+(Calc!X45-$Q5)*COS(RADIANS($R5))</f>
        <v>-107.42702352441063</v>
      </c>
      <c r="AD5" s="7">
        <f>(Calc!T45-$P5)*SIN(RADIANS($R5))+(Calc!Y45-$Q5)*COS(RADIANS($R5))</f>
        <v>108.20388660986697</v>
      </c>
      <c r="AE5" s="7">
        <f>(Calc!U45-$P5)*SIN(RADIANS($R5))+(Calc!Z45-$Q5)*COS(RADIANS($R5))</f>
        <v>104.57582874615154</v>
      </c>
      <c r="AF5" s="28">
        <v>41640</v>
      </c>
      <c r="AH5">
        <v>5</v>
      </c>
      <c r="AI5" s="69">
        <f>Calc!E22</f>
        <v>7.1661131709140777E-2</v>
      </c>
      <c r="AJ5" s="69">
        <f>Calc!F22</f>
        <v>-6.3729288253466085E-5</v>
      </c>
      <c r="AK5" s="69">
        <f>Calc!G22</f>
        <v>-1.6015628857349593E-6</v>
      </c>
      <c r="AL5" s="69">
        <f>Calc!H22</f>
        <v>3.0544064881262559E-10</v>
      </c>
      <c r="AM5" s="69">
        <f>Calc!I22</f>
        <v>9.5937335467828663E-10</v>
      </c>
      <c r="AN5" s="69">
        <f>Calc!J22</f>
        <v>8.8755938710983107E-11</v>
      </c>
      <c r="AO5" s="69">
        <f>Calc!K22</f>
        <v>-8.0562249717482794E-14</v>
      </c>
      <c r="AP5" s="69">
        <f>Calc!L22</f>
        <v>3.3944298692417369E-15</v>
      </c>
      <c r="AQ5" s="69">
        <f>Calc!M22</f>
        <v>-8.9664728228246667E-14</v>
      </c>
      <c r="AR5" s="69">
        <f>Calc!N22</f>
        <v>2.7296895113351728E-15</v>
      </c>
      <c r="AS5" s="69">
        <f>Calc!O22</f>
        <v>-7.6429894322595925E-18</v>
      </c>
      <c r="AT5" s="69">
        <f>Calc!P22</f>
        <v>-2.0886522654872987E-18</v>
      </c>
      <c r="AU5" s="69">
        <f>Calc!Q22</f>
        <v>-1.2943605330057468E-18</v>
      </c>
      <c r="AV5" s="69">
        <f>Calc!R22</f>
        <v>-1.9432240642716415E-18</v>
      </c>
      <c r="AW5" s="69">
        <f>Calc!S22</f>
        <v>-7.9749501450098161E-18</v>
      </c>
      <c r="AX5" s="69">
        <f>Calc!T22</f>
        <v>1.42314887815E-21</v>
      </c>
      <c r="AY5" s="69">
        <f>Calc!U22</f>
        <v>-2.9926833411100002E-24</v>
      </c>
      <c r="AZ5" s="69">
        <f>Calc!V22</f>
        <v>2.0061973193000001E-22</v>
      </c>
      <c r="BA5" s="69">
        <f>Calc!W22</f>
        <v>5.0972826795099996E-22</v>
      </c>
      <c r="BB5" s="69">
        <f>Calc!X22</f>
        <v>-1.8608487238E-22</v>
      </c>
      <c r="BC5" s="69">
        <f>Calc!Y22</f>
        <v>-7.7132330429800004E-22</v>
      </c>
      <c r="BD5" s="69">
        <f>Calc!Z22</f>
        <v>0.29391666561953933</v>
      </c>
      <c r="BE5" s="69">
        <f>Calc!AA22</f>
        <v>-2.3625584795110513E-7</v>
      </c>
      <c r="BF5" s="69">
        <f>Calc!AB22</f>
        <v>-6.6814599733056959E-5</v>
      </c>
      <c r="BG5" s="69">
        <f>Calc!AC22</f>
        <v>3.1690191607675327E-10</v>
      </c>
      <c r="BH5" s="69">
        <f>Calc!AD22</f>
        <v>1.6332938500056853E-10</v>
      </c>
      <c r="BI5" s="69">
        <f>Calc!AE22</f>
        <v>1.2888686678228308E-9</v>
      </c>
      <c r="BJ5" s="69">
        <f>Calc!AF22</f>
        <v>1.0820479534470368E-14</v>
      </c>
      <c r="BK5" s="69">
        <f>Calc!AG22</f>
        <v>-6.9703499119525671E-14</v>
      </c>
      <c r="BL5" s="69">
        <f>Calc!AH22</f>
        <v>1.5410689167217626E-14</v>
      </c>
      <c r="BM5" s="69">
        <f>Calc!AI22</f>
        <v>-4.5389483939897799E-14</v>
      </c>
      <c r="BN5" s="69">
        <f>Calc!AJ22</f>
        <v>-3.4217537946596399E-18</v>
      </c>
      <c r="BO5" s="69">
        <f>Calc!AK22</f>
        <v>-6.513302974712965E-18</v>
      </c>
      <c r="BP5" s="69">
        <f>Calc!AL22</f>
        <v>-7.3815304197163439E-18</v>
      </c>
      <c r="BQ5" s="69">
        <f>Calc!AM22</f>
        <v>-2.3421571538568571E-18</v>
      </c>
      <c r="BR5" s="69">
        <f>Calc!AN22</f>
        <v>-1.6572400449659553E-17</v>
      </c>
      <c r="BS5" s="69">
        <f>Calc!AO22</f>
        <v>2.8354566386199998E-22</v>
      </c>
      <c r="BT5" s="69">
        <f>Calc!AP22</f>
        <v>1.41115330397E-21</v>
      </c>
      <c r="BU5" s="69">
        <f>Calc!AQ22</f>
        <v>-3.7772581494399997E-23</v>
      </c>
      <c r="BV5" s="69">
        <f>Calc!AR22</f>
        <v>9.5467436388700002E-22</v>
      </c>
      <c r="BW5" s="69">
        <f>Calc!AS22</f>
        <v>1.14278133866E-21</v>
      </c>
      <c r="BX5" s="69">
        <f>Calc!AT22</f>
        <v>-6.1158238038100001E-21</v>
      </c>
      <c r="BY5" s="69">
        <f>Calc!E$14-H5</f>
        <v>1001.4752503300001</v>
      </c>
      <c r="BZ5" s="69">
        <f>Calc!F$14</f>
        <v>-16320.8161616</v>
      </c>
      <c r="CA5" s="69">
        <f>Calc!G$14</f>
        <v>1414.16428664</v>
      </c>
      <c r="CB5" s="69">
        <f>Calc!H$14</f>
        <v>-118.50973134199999</v>
      </c>
      <c r="CC5" s="69">
        <f>Calc!I$14</f>
        <v>-898.83726239600003</v>
      </c>
      <c r="CD5" s="69">
        <f>Calc!J$14</f>
        <v>-7360.3513493500004</v>
      </c>
      <c r="CE5" s="69">
        <f>Calc!K$14</f>
        <v>8851.7602470500005</v>
      </c>
      <c r="CF5" s="69">
        <f>Calc!L$14</f>
        <v>564.99900255600005</v>
      </c>
      <c r="CG5" s="69">
        <f>Calc!M$14</f>
        <v>13713.6338813</v>
      </c>
      <c r="CH5" s="69">
        <f>Calc!N$14</f>
        <v>20917.172032900002</v>
      </c>
      <c r="CI5" s="69">
        <f>Calc!O$14</f>
        <v>-6032.2671464499999</v>
      </c>
      <c r="CJ5" s="69">
        <f>Calc!P$14</f>
        <v>-9725.2500018800001</v>
      </c>
      <c r="CK5" s="69">
        <f>Calc!Q$14</f>
        <v>-759.01608194799996</v>
      </c>
      <c r="CL5" s="69">
        <f>Calc!R$14</f>
        <v>-17851.3632708</v>
      </c>
      <c r="CM5" s="69">
        <f>Calc!S$14</f>
        <v>-29175.886262200002</v>
      </c>
      <c r="CN5" s="69">
        <f>Calc!T$14</f>
        <v>-20389.751649000002</v>
      </c>
      <c r="CO5" s="69">
        <f>Calc!U$14</f>
        <v>16546.307259099998</v>
      </c>
      <c r="CP5" s="69">
        <f>Calc!V$14</f>
        <v>-1727.20495678</v>
      </c>
      <c r="CQ5" s="69">
        <f>Calc!W$14</f>
        <v>407.401326052</v>
      </c>
      <c r="CR5" s="69">
        <f>Calc!X$14</f>
        <v>10222.076407099999</v>
      </c>
      <c r="CS5" s="69">
        <f>Calc!Y$14</f>
        <v>15467.1618595</v>
      </c>
      <c r="CT5" s="69">
        <f>Calc!Z$14-I5</f>
        <v>4481.7984713200003</v>
      </c>
      <c r="CU5" s="69">
        <f>Calc!AA$14</f>
        <v>-174.69323044800001</v>
      </c>
      <c r="CV5" s="69">
        <f>Calc!AB$14</f>
        <v>-12741.80523</v>
      </c>
      <c r="CW5" s="69">
        <f>Calc!AC14</f>
        <v>-973.315105797</v>
      </c>
      <c r="CX5" s="69">
        <f>Calc!AD14</f>
        <v>741.65318332899994</v>
      </c>
      <c r="CY5" s="69">
        <f>Calc!AE14</f>
        <v>-26050.1731015</v>
      </c>
      <c r="CZ5" s="69">
        <f>Calc!AF14</f>
        <v>1778.16757024</v>
      </c>
      <c r="DA5" s="69">
        <f>Calc!AG14</f>
        <v>11974.2001831</v>
      </c>
      <c r="DB5" s="69">
        <f>Calc!AH14</f>
        <v>-3963.7133501399999</v>
      </c>
      <c r="DC5" s="69">
        <f>Calc!AI14</f>
        <v>95402.661374599993</v>
      </c>
      <c r="DD5" s="69">
        <f>Calc!AJ14</f>
        <v>276.91222523300002</v>
      </c>
      <c r="DE5" s="69">
        <f>Calc!AK14</f>
        <v>-9887.0795682999997</v>
      </c>
      <c r="DF5" s="69">
        <f>Calc!AL14</f>
        <v>-15963.1079372</v>
      </c>
      <c r="DG5" s="69">
        <f>Calc!AM14</f>
        <v>9559.0996431099993</v>
      </c>
      <c r="DH5" s="69">
        <f>Calc!AN14</f>
        <v>-148252.25471400001</v>
      </c>
      <c r="DI5" s="69">
        <f>Calc!AO14</f>
        <v>-455.60904260500001</v>
      </c>
      <c r="DJ5" s="69">
        <f>Calc!AP14</f>
        <v>-12927.8539955</v>
      </c>
      <c r="DK5" s="69">
        <f>Calc!AQ14</f>
        <v>14980.8130815</v>
      </c>
      <c r="DL5" s="69">
        <f>Calc!AR14</f>
        <v>2714.1438414999998</v>
      </c>
      <c r="DM5" s="69">
        <f>Calc!AS14</f>
        <v>-8383.5910754600009</v>
      </c>
      <c r="DN5" s="69">
        <f>Calc!AT14</f>
        <v>91124.117671</v>
      </c>
    </row>
    <row r="6" spans="1:118" x14ac:dyDescent="0.2">
      <c r="A6" t="s">
        <v>63</v>
      </c>
      <c r="B6" t="s">
        <v>199</v>
      </c>
      <c r="C6" t="str">
        <f>DDC!B7</f>
        <v>NRS2_CNTR</v>
      </c>
      <c r="D6" t="s">
        <v>212</v>
      </c>
      <c r="E6" t="s">
        <v>82</v>
      </c>
      <c r="F6" s="31">
        <v>2048</v>
      </c>
      <c r="G6" s="31">
        <v>2048</v>
      </c>
      <c r="H6" s="29">
        <v>1024.5</v>
      </c>
      <c r="I6" s="29">
        <v>1024.5</v>
      </c>
      <c r="J6" s="31">
        <v>2048</v>
      </c>
      <c r="K6" s="31">
        <v>2048</v>
      </c>
      <c r="L6" s="29">
        <f t="shared" ref="L6" si="2">(J6+1)/2</f>
        <v>1024.5</v>
      </c>
      <c r="M6" s="29">
        <f t="shared" si="1"/>
        <v>1024.5</v>
      </c>
      <c r="N6" s="94">
        <f>Calc!P34</f>
        <v>0.10331174094250724</v>
      </c>
      <c r="O6" s="94">
        <f>Calc!Q34</f>
        <v>0.10536197410822189</v>
      </c>
      <c r="P6" s="3">
        <f>Calc!F34</f>
        <v>463.16522786142303</v>
      </c>
      <c r="Q6" s="3">
        <f>Calc!G34</f>
        <v>-353.21247418212658</v>
      </c>
      <c r="R6" s="3">
        <f t="shared" si="0"/>
        <v>137.7182274246176</v>
      </c>
      <c r="S6" s="31">
        <v>-1</v>
      </c>
      <c r="T6" s="29">
        <v>180</v>
      </c>
      <c r="U6" s="31">
        <v>1</v>
      </c>
      <c r="V6" s="3">
        <f>Calc!R34</f>
        <v>48.850102627038467</v>
      </c>
      <c r="W6" s="3">
        <f>Calc!S34</f>
        <v>137.7182274246176</v>
      </c>
      <c r="X6" s="7">
        <f>$S6*(Calc!R46-$P6)*COS(RADIANS($R6))-$S6*(Calc!W46-$Q6)*SIN(RADIANS($R6))</f>
        <v>-104.1701945979988</v>
      </c>
      <c r="Y6" s="7">
        <f>$S6*(Calc!S46-$P6)*COS(RADIANS($R6))-$S6*(Calc!X46-$Q6)*SIN(RADIANS($R6))</f>
        <v>105.46724687355392</v>
      </c>
      <c r="Z6" s="7">
        <f>$S6*(Calc!T46-$P6)*COS(RADIANS($R6))-$S6*(Calc!Y46-$Q6)*SIN(RADIANS($R6))</f>
        <v>107.73509076998386</v>
      </c>
      <c r="AA6" s="7">
        <f>$S6*(Calc!U46-$P6)*COS(RADIANS($R6))-$S6*(Calc!Z46-$Q6)*SIN(RADIANS($R6))</f>
        <v>-106.68094120958341</v>
      </c>
      <c r="AB6" s="7">
        <f>(Calc!R46-$P6)*SIN(RADIANS($R6))+(Calc!W46-$Q6)*COS(RADIANS($R6))</f>
        <v>-108.20388660986694</v>
      </c>
      <c r="AC6" s="7">
        <f>(Calc!S46-$P6)*SIN(RADIANS($R6))+(Calc!X46-$Q6)*COS(RADIANS($R6))</f>
        <v>-104.57582874615159</v>
      </c>
      <c r="AD6" s="7">
        <f>(Calc!T46-$P6)*SIN(RADIANS($R6))+(Calc!Y46-$Q6)*COS(RADIANS($R6))</f>
        <v>112.15806616729157</v>
      </c>
      <c r="AE6" s="7">
        <f>(Calc!U46-$P6)*SIN(RADIANS($R6))+(Calc!Z46-$Q6)*COS(RADIANS($R6))</f>
        <v>107.42702352441069</v>
      </c>
      <c r="AF6" s="28">
        <v>41640</v>
      </c>
      <c r="AH6">
        <v>5</v>
      </c>
      <c r="AI6" s="69">
        <f>Calc!E23</f>
        <v>7.1661131709140777E-2</v>
      </c>
      <c r="AJ6" s="69">
        <f>Calc!F23</f>
        <v>6.3729288253466085E-5</v>
      </c>
      <c r="AK6" s="69">
        <f>Calc!G23</f>
        <v>1.6015628857349593E-6</v>
      </c>
      <c r="AL6" s="69">
        <f>Calc!H23</f>
        <v>3.0544064881262559E-10</v>
      </c>
      <c r="AM6" s="69">
        <f>Calc!I23</f>
        <v>9.5937335467828663E-10</v>
      </c>
      <c r="AN6" s="69">
        <f>Calc!J23</f>
        <v>8.8755938710983107E-11</v>
      </c>
      <c r="AO6" s="69">
        <f>Calc!K23</f>
        <v>8.0562249717482794E-14</v>
      </c>
      <c r="AP6" s="69">
        <f>Calc!L23</f>
        <v>-3.3944298692417369E-15</v>
      </c>
      <c r="AQ6" s="69">
        <f>Calc!M23</f>
        <v>8.9664728228246667E-14</v>
      </c>
      <c r="AR6" s="69">
        <f>Calc!N23</f>
        <v>-2.7296895113351728E-15</v>
      </c>
      <c r="AS6" s="69">
        <f>Calc!O23</f>
        <v>-7.6429894322595925E-18</v>
      </c>
      <c r="AT6" s="69">
        <f>Calc!P23</f>
        <v>-2.0886522654872987E-18</v>
      </c>
      <c r="AU6" s="69">
        <f>Calc!Q23</f>
        <v>-1.2943605330057468E-18</v>
      </c>
      <c r="AV6" s="69">
        <f>Calc!R23</f>
        <v>-1.9432240642716415E-18</v>
      </c>
      <c r="AW6" s="69">
        <f>Calc!S23</f>
        <v>-7.9749501450098161E-18</v>
      </c>
      <c r="AX6" s="69">
        <f>Calc!T23</f>
        <v>-1.42314887815E-21</v>
      </c>
      <c r="AY6" s="69">
        <f>Calc!U23</f>
        <v>2.9926833411100002E-24</v>
      </c>
      <c r="AZ6" s="69">
        <f>Calc!V23</f>
        <v>-2.0061973193000001E-22</v>
      </c>
      <c r="BA6" s="69">
        <f>Calc!W23</f>
        <v>-5.0972826795099996E-22</v>
      </c>
      <c r="BB6" s="69">
        <f>Calc!X23</f>
        <v>1.8608487238E-22</v>
      </c>
      <c r="BC6" s="69">
        <f>Calc!Y23</f>
        <v>7.7132330429800004E-22</v>
      </c>
      <c r="BD6" s="69">
        <f>Calc!Z23</f>
        <v>0.29391666561953933</v>
      </c>
      <c r="BE6" s="69">
        <f>Calc!AA23</f>
        <v>2.3625584795110513E-7</v>
      </c>
      <c r="BF6" s="69">
        <f>Calc!AB23</f>
        <v>6.6814599733056959E-5</v>
      </c>
      <c r="BG6" s="69">
        <f>Calc!AC23</f>
        <v>3.1690191607675327E-10</v>
      </c>
      <c r="BH6" s="69">
        <f>Calc!AD23</f>
        <v>1.6332938500056853E-10</v>
      </c>
      <c r="BI6" s="69">
        <f>Calc!AE23</f>
        <v>1.2888686678228308E-9</v>
      </c>
      <c r="BJ6" s="69">
        <f>Calc!AF23</f>
        <v>-1.0820479534470368E-14</v>
      </c>
      <c r="BK6" s="69">
        <f>Calc!AG23</f>
        <v>6.9703499119525671E-14</v>
      </c>
      <c r="BL6" s="69">
        <f>Calc!AH23</f>
        <v>-1.5410689167217626E-14</v>
      </c>
      <c r="BM6" s="69">
        <f>Calc!AI23</f>
        <v>4.5389483939897799E-14</v>
      </c>
      <c r="BN6" s="69">
        <f>Calc!AJ23</f>
        <v>-3.4217537946596399E-18</v>
      </c>
      <c r="BO6" s="69">
        <f>Calc!AK23</f>
        <v>-6.513302974712965E-18</v>
      </c>
      <c r="BP6" s="69">
        <f>Calc!AL23</f>
        <v>-7.3815304197163439E-18</v>
      </c>
      <c r="BQ6" s="69">
        <f>Calc!AM23</f>
        <v>-2.3421571538568571E-18</v>
      </c>
      <c r="BR6" s="69">
        <f>Calc!AN23</f>
        <v>-1.6572400449659553E-17</v>
      </c>
      <c r="BS6" s="69">
        <f>Calc!AO23</f>
        <v>-2.8354566386199998E-22</v>
      </c>
      <c r="BT6" s="69">
        <f>Calc!AP23</f>
        <v>-1.41115330397E-21</v>
      </c>
      <c r="BU6" s="69">
        <f>Calc!AQ23</f>
        <v>3.7772581494399997E-23</v>
      </c>
      <c r="BV6" s="69">
        <f>Calc!AR23</f>
        <v>-9.5467436388700002E-22</v>
      </c>
      <c r="BW6" s="69">
        <f>Calc!AS23</f>
        <v>-1.14278133866E-21</v>
      </c>
      <c r="BX6" s="69">
        <f>Calc!AT23</f>
        <v>6.1158238038100001E-21</v>
      </c>
      <c r="BY6" s="69">
        <f>H6-Calc!E$14</f>
        <v>-1001.4752503300001</v>
      </c>
      <c r="BZ6" s="69">
        <f>-Calc!F$14</f>
        <v>16320.8161616</v>
      </c>
      <c r="CA6" s="69">
        <f>-Calc!G$14</f>
        <v>-1414.16428664</v>
      </c>
      <c r="CB6" s="69">
        <f>-Calc!H$14</f>
        <v>118.50973134199999</v>
      </c>
      <c r="CC6" s="69">
        <f>-Calc!I$14</f>
        <v>898.83726239600003</v>
      </c>
      <c r="CD6" s="69">
        <f>-Calc!J$14</f>
        <v>7360.3513493500004</v>
      </c>
      <c r="CE6" s="69">
        <f>-Calc!K$14</f>
        <v>-8851.7602470500005</v>
      </c>
      <c r="CF6" s="69">
        <f>-Calc!L$14</f>
        <v>-564.99900255600005</v>
      </c>
      <c r="CG6" s="69">
        <f>-Calc!M$14</f>
        <v>-13713.6338813</v>
      </c>
      <c r="CH6" s="69">
        <f>-Calc!N$14</f>
        <v>-20917.172032900002</v>
      </c>
      <c r="CI6" s="69">
        <f>-Calc!O$14</f>
        <v>6032.2671464499999</v>
      </c>
      <c r="CJ6" s="69">
        <f>-Calc!P$14</f>
        <v>9725.2500018800001</v>
      </c>
      <c r="CK6" s="69">
        <f>-Calc!Q$14</f>
        <v>759.01608194799996</v>
      </c>
      <c r="CL6" s="69">
        <f>-Calc!R$14</f>
        <v>17851.3632708</v>
      </c>
      <c r="CM6" s="69">
        <f>-Calc!S$14</f>
        <v>29175.886262200002</v>
      </c>
      <c r="CN6" s="69">
        <f>-Calc!T$14</f>
        <v>20389.751649000002</v>
      </c>
      <c r="CO6" s="69">
        <f>-Calc!U$14</f>
        <v>-16546.307259099998</v>
      </c>
      <c r="CP6" s="69">
        <f>-Calc!V$14</f>
        <v>1727.20495678</v>
      </c>
      <c r="CQ6" s="69">
        <f>-Calc!W$14</f>
        <v>-407.401326052</v>
      </c>
      <c r="CR6" s="69">
        <f>-Calc!X$14</f>
        <v>-10222.076407099999</v>
      </c>
      <c r="CS6" s="69">
        <f>-Calc!Y$14</f>
        <v>-15467.1618595</v>
      </c>
      <c r="CT6" s="69">
        <f>I5-Calc!Z14</f>
        <v>-4481.7984713200003</v>
      </c>
      <c r="CU6" s="69">
        <f>-Calc!AA$14</f>
        <v>174.69323044800001</v>
      </c>
      <c r="CV6" s="69">
        <f>-Calc!AB$14</f>
        <v>12741.80523</v>
      </c>
      <c r="CW6" s="69">
        <f>-Calc!AC$14</f>
        <v>973.315105797</v>
      </c>
      <c r="CX6" s="69">
        <f>-Calc!AD$14</f>
        <v>-741.65318332899994</v>
      </c>
      <c r="CY6" s="69">
        <f>-Calc!AE$14</f>
        <v>26050.1731015</v>
      </c>
      <c r="CZ6" s="69">
        <f>-Calc!AF$14</f>
        <v>-1778.16757024</v>
      </c>
      <c r="DA6" s="69">
        <f>-Calc!AG$14</f>
        <v>-11974.2001831</v>
      </c>
      <c r="DB6" s="69">
        <f>-Calc!AH$14</f>
        <v>3963.7133501399999</v>
      </c>
      <c r="DC6" s="69">
        <f>-Calc!AI$14</f>
        <v>-95402.661374599993</v>
      </c>
      <c r="DD6" s="69">
        <f>-Calc!AJ$14</f>
        <v>-276.91222523300002</v>
      </c>
      <c r="DE6" s="69">
        <f>-Calc!AK$14</f>
        <v>9887.0795682999997</v>
      </c>
      <c r="DF6" s="69">
        <f>-Calc!AL$14</f>
        <v>15963.1079372</v>
      </c>
      <c r="DG6" s="69">
        <f>-Calc!AM$14</f>
        <v>-9559.0996431099993</v>
      </c>
      <c r="DH6" s="69">
        <f>-Calc!AN$14</f>
        <v>148252.25471400001</v>
      </c>
      <c r="DI6" s="69">
        <f>-Calc!AO$14</f>
        <v>455.60904260500001</v>
      </c>
      <c r="DJ6" s="69">
        <f>-Calc!AP$14</f>
        <v>12927.8539955</v>
      </c>
      <c r="DK6" s="69">
        <f>-Calc!AQ$14</f>
        <v>-14980.8130815</v>
      </c>
      <c r="DL6" s="69">
        <f>-Calc!AR$14</f>
        <v>-2714.1438414999998</v>
      </c>
      <c r="DM6" s="69">
        <f>-Calc!AS$14</f>
        <v>8383.5910754600009</v>
      </c>
      <c r="DN6" s="69">
        <f>-Calc!AT$14</f>
        <v>-91124.117671</v>
      </c>
    </row>
    <row r="7" spans="1:118" s="84" customFormat="1" x14ac:dyDescent="0.2">
      <c r="A7" s="84" t="s">
        <v>63</v>
      </c>
      <c r="B7" s="84" t="str">
        <f>Calc!A55</f>
        <v>NRS_S200A1_SLIT</v>
      </c>
      <c r="C7" s="84" t="str">
        <f>DDC!B8</f>
        <v>NRS1_CNTR</v>
      </c>
      <c r="D7" s="84" t="s">
        <v>213</v>
      </c>
      <c r="E7" s="84" t="s">
        <v>82</v>
      </c>
      <c r="F7" s="85"/>
      <c r="G7" s="85"/>
      <c r="H7" s="86"/>
      <c r="I7" s="86"/>
      <c r="J7" s="85"/>
      <c r="K7" s="85"/>
      <c r="L7" s="86"/>
      <c r="M7" s="86"/>
      <c r="N7" s="87"/>
      <c r="O7" s="87"/>
      <c r="P7" s="87">
        <f>Calc!J55</f>
        <v>332.136078</v>
      </c>
      <c r="Q7" s="87">
        <f>Calc!K55</f>
        <v>-479.22421300000002</v>
      </c>
      <c r="R7" s="87">
        <f>Calc!L55</f>
        <v>138.76059000000001</v>
      </c>
      <c r="S7" s="85">
        <v>-1</v>
      </c>
      <c r="T7" s="88"/>
      <c r="U7" s="85"/>
      <c r="V7" s="89"/>
      <c r="W7" s="89"/>
      <c r="X7" s="89">
        <f>Calc!N55</f>
        <v>9.6371617725611758E-2</v>
      </c>
      <c r="Y7" s="89">
        <f>Calc!O55</f>
        <v>9.6348187771894245E-2</v>
      </c>
      <c r="Z7" s="89">
        <f>Calc!P55</f>
        <v>-9.6382841558737331E-2</v>
      </c>
      <c r="AA7" s="89">
        <f>Calc!Q55</f>
        <v>-9.6382063209679236E-2</v>
      </c>
      <c r="AB7" s="89">
        <f>Calc!R55</f>
        <v>1.5319914408657243</v>
      </c>
      <c r="AC7" s="89">
        <f>Calc!S55</f>
        <v>-1.7423835311305806</v>
      </c>
      <c r="AD7" s="89">
        <f>Calc!T55</f>
        <v>-1.7407659127703294</v>
      </c>
      <c r="AE7" s="89">
        <f>Calc!U55</f>
        <v>1.5335878718522584</v>
      </c>
      <c r="AF7" s="90">
        <v>41640</v>
      </c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</row>
    <row r="8" spans="1:118" s="84" customFormat="1" x14ac:dyDescent="0.2">
      <c r="A8" s="84" t="s">
        <v>63</v>
      </c>
      <c r="B8" s="84" t="str">
        <f>Calc!A56</f>
        <v>NRS_S200A2_SLIT</v>
      </c>
      <c r="C8" s="84" t="str">
        <f>DDC!B9</f>
        <v>NRS1_CNTR</v>
      </c>
      <c r="D8" s="84" t="s">
        <v>213</v>
      </c>
      <c r="E8" s="84" t="s">
        <v>82</v>
      </c>
      <c r="F8" s="85"/>
      <c r="G8" s="85"/>
      <c r="H8" s="86"/>
      <c r="I8" s="86"/>
      <c r="J8" s="85"/>
      <c r="K8" s="85"/>
      <c r="L8" s="86"/>
      <c r="M8" s="86"/>
      <c r="N8" s="87"/>
      <c r="O8" s="87"/>
      <c r="P8" s="87">
        <f>Calc!J56</f>
        <v>314.98486300000002</v>
      </c>
      <c r="Q8" s="87">
        <f>Calc!K56</f>
        <v>-489.45056199999999</v>
      </c>
      <c r="R8" s="87">
        <f>Calc!L56</f>
        <v>138.83282500000001</v>
      </c>
      <c r="S8" s="85">
        <v>-1</v>
      </c>
      <c r="T8" s="88"/>
      <c r="U8" s="85"/>
      <c r="V8" s="89"/>
      <c r="W8" s="89"/>
      <c r="X8" s="89">
        <f>Calc!N56</f>
        <v>9.7041442977280457E-2</v>
      </c>
      <c r="Y8" s="89">
        <f>Calc!O56</f>
        <v>9.7028429163465657E-2</v>
      </c>
      <c r="Z8" s="89">
        <f>Calc!P56</f>
        <v>-9.7049242505614752E-2</v>
      </c>
      <c r="AA8" s="89">
        <f>Calc!Q56</f>
        <v>-9.7079312997217282E-2</v>
      </c>
      <c r="AB8" s="89">
        <f>Calc!R56</f>
        <v>1.5449952979970041</v>
      </c>
      <c r="AC8" s="89">
        <f>Calc!S56</f>
        <v>-1.7583116794994345</v>
      </c>
      <c r="AD8" s="89">
        <f>Calc!T56</f>
        <v>-1.7562529921696965</v>
      </c>
      <c r="AE8" s="89">
        <f>Calc!U56</f>
        <v>1.5470561630842488</v>
      </c>
      <c r="AF8" s="90">
        <v>41640</v>
      </c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</row>
    <row r="9" spans="1:118" s="84" customFormat="1" x14ac:dyDescent="0.2">
      <c r="A9" s="84" t="s">
        <v>63</v>
      </c>
      <c r="B9" s="84" t="str">
        <f>Calc!A57</f>
        <v>NRS_S400A1_SLIT</v>
      </c>
      <c r="C9" s="84" t="str">
        <f>DDC!B10</f>
        <v>NRS1_CNTR</v>
      </c>
      <c r="D9" s="84" t="s">
        <v>213</v>
      </c>
      <c r="E9" s="84" t="s">
        <v>82</v>
      </c>
      <c r="F9" s="85"/>
      <c r="G9" s="85"/>
      <c r="H9" s="86"/>
      <c r="I9" s="86"/>
      <c r="J9" s="85"/>
      <c r="K9" s="85"/>
      <c r="L9" s="86"/>
      <c r="M9" s="86"/>
      <c r="N9" s="87"/>
      <c r="O9" s="87"/>
      <c r="P9" s="87">
        <f>Calc!J57</f>
        <v>321.87158199999999</v>
      </c>
      <c r="Q9" s="87">
        <f>Calc!K57</f>
        <v>-477.93875100000002</v>
      </c>
      <c r="R9" s="87">
        <f>Calc!L57</f>
        <v>138.78276099999999</v>
      </c>
      <c r="S9" s="85">
        <v>-1</v>
      </c>
      <c r="T9" s="88"/>
      <c r="U9" s="85"/>
      <c r="V9" s="89"/>
      <c r="W9" s="89"/>
      <c r="X9" s="89">
        <f>Calc!N57</f>
        <v>0.1973899769522478</v>
      </c>
      <c r="Y9" s="89">
        <f>Calc!O57</f>
        <v>0.19734277278794188</v>
      </c>
      <c r="Z9" s="89">
        <f>Calc!P57</f>
        <v>-0.19738456916018854</v>
      </c>
      <c r="AA9" s="89">
        <f>Calc!Q57</f>
        <v>-0.19744311825222716</v>
      </c>
      <c r="AB9" s="89">
        <f>Calc!R57</f>
        <v>1.7729138358825678</v>
      </c>
      <c r="AC9" s="89">
        <f>Calc!S57</f>
        <v>-1.9863607729877202</v>
      </c>
      <c r="AD9" s="89">
        <f>Calc!T57</f>
        <v>-1.9828193575125863</v>
      </c>
      <c r="AE9" s="89">
        <f>Calc!U57</f>
        <v>1.776484920344322</v>
      </c>
      <c r="AF9" s="90">
        <v>41640</v>
      </c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</row>
    <row r="10" spans="1:118" s="84" customFormat="1" x14ac:dyDescent="0.2">
      <c r="A10" s="84" t="s">
        <v>63</v>
      </c>
      <c r="B10" s="84" t="str">
        <f>Calc!A58</f>
        <v>NRS_S1600A1_SLIT</v>
      </c>
      <c r="C10" s="84" t="str">
        <f>DDC!B11</f>
        <v>NRS1_CNTR</v>
      </c>
      <c r="D10" s="84" t="s">
        <v>213</v>
      </c>
      <c r="E10" s="84" t="s">
        <v>82</v>
      </c>
      <c r="F10" s="85"/>
      <c r="G10" s="85"/>
      <c r="H10" s="86"/>
      <c r="I10" s="86"/>
      <c r="J10" s="85"/>
      <c r="K10" s="85"/>
      <c r="L10" s="86"/>
      <c r="M10" s="86"/>
      <c r="N10" s="87"/>
      <c r="O10" s="87"/>
      <c r="P10" s="87">
        <f>Calc!J58</f>
        <v>321.53195199999999</v>
      </c>
      <c r="Q10" s="87">
        <f>Calc!K58</f>
        <v>-473.67919899999998</v>
      </c>
      <c r="R10" s="87">
        <f>Calc!L58</f>
        <v>138.77143899999999</v>
      </c>
      <c r="S10" s="85">
        <v>-1</v>
      </c>
      <c r="T10" s="88"/>
      <c r="U10" s="85"/>
      <c r="V10" s="89"/>
      <c r="W10" s="89"/>
      <c r="X10" s="89">
        <f>Calc!N58</f>
        <v>0.79960980763367095</v>
      </c>
      <c r="Y10" s="89">
        <f>Calc!O58</f>
        <v>0.79955125255697712</v>
      </c>
      <c r="Z10" s="89">
        <f>Calc!P58</f>
        <v>-0.79955900810195768</v>
      </c>
      <c r="AA10" s="89">
        <f>Calc!Q58</f>
        <v>-0.7996499578207541</v>
      </c>
      <c r="AB10" s="89">
        <f>Calc!R58</f>
        <v>0.79472696023293343</v>
      </c>
      <c r="AC10" s="89">
        <f>Calc!S58</f>
        <v>-0.80844852595544969</v>
      </c>
      <c r="AD10" s="89">
        <f>Calc!T58</f>
        <v>-0.79460133616044604</v>
      </c>
      <c r="AE10" s="89">
        <f>Calc!U58</f>
        <v>0.80860668179922057</v>
      </c>
      <c r="AF10" s="90">
        <v>41640</v>
      </c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</row>
    <row r="11" spans="1:118" s="84" customFormat="1" x14ac:dyDescent="0.2">
      <c r="A11" s="84" t="s">
        <v>63</v>
      </c>
      <c r="B11" s="84" t="str">
        <f>Calc!A59</f>
        <v>NRS_S200B1_SLIT</v>
      </c>
      <c r="C11" s="84" t="str">
        <f>DDC!B12</f>
        <v>NRS2_CNTR</v>
      </c>
      <c r="D11" s="84" t="s">
        <v>213</v>
      </c>
      <c r="E11" s="84" t="s">
        <v>82</v>
      </c>
      <c r="F11" s="85"/>
      <c r="G11" s="85"/>
      <c r="H11" s="86"/>
      <c r="I11" s="86"/>
      <c r="J11" s="85"/>
      <c r="K11" s="85"/>
      <c r="L11" s="86"/>
      <c r="M11" s="86"/>
      <c r="N11" s="87"/>
      <c r="O11" s="87"/>
      <c r="P11" s="87">
        <f>Calc!J59</f>
        <v>440.48492399999998</v>
      </c>
      <c r="Q11" s="87">
        <f>Calc!K59</f>
        <v>-364.51617399999998</v>
      </c>
      <c r="R11" s="87">
        <f>Calc!L59</f>
        <v>138.15811199999999</v>
      </c>
      <c r="S11" s="85">
        <v>-1</v>
      </c>
      <c r="T11" s="88"/>
      <c r="U11" s="85"/>
      <c r="V11" s="89"/>
      <c r="W11" s="89"/>
      <c r="X11" s="89">
        <f>Calc!N59</f>
        <v>0.10054312779091412</v>
      </c>
      <c r="Y11" s="89">
        <f>Calc!O59</f>
        <v>0.10052229487623066</v>
      </c>
      <c r="Z11" s="89">
        <f>Calc!P59</f>
        <v>-0.10054348844302752</v>
      </c>
      <c r="AA11" s="89">
        <f>Calc!Q59</f>
        <v>-0.10056576249106985</v>
      </c>
      <c r="AB11" s="89">
        <f>Calc!R59</f>
        <v>1.546497728621695</v>
      </c>
      <c r="AC11" s="89">
        <f>Calc!S59</f>
        <v>-1.7547141229273455</v>
      </c>
      <c r="AD11" s="89">
        <f>Calc!T59</f>
        <v>-1.7568462622744354</v>
      </c>
      <c r="AE11" s="89">
        <f>Calc!U59</f>
        <v>1.5443672595337197</v>
      </c>
      <c r="AF11" s="90">
        <v>41640</v>
      </c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</row>
    <row r="12" spans="1:118" s="84" customFormat="1" x14ac:dyDescent="0.2">
      <c r="A12" s="84" t="s">
        <v>63</v>
      </c>
      <c r="B12" s="84" t="str">
        <f>Calc!A60</f>
        <v>NRS_FULL_IFU</v>
      </c>
      <c r="C12" s="84" t="str">
        <f>DDC!B13</f>
        <v>NRS1_CNTR</v>
      </c>
      <c r="D12" s="84" t="s">
        <v>213</v>
      </c>
      <c r="E12" s="84" t="s">
        <v>82</v>
      </c>
      <c r="F12" s="85"/>
      <c r="G12" s="85"/>
      <c r="H12" s="86"/>
      <c r="I12" s="86"/>
      <c r="J12" s="85"/>
      <c r="K12" s="85"/>
      <c r="L12" s="86"/>
      <c r="M12" s="86"/>
      <c r="N12" s="87"/>
      <c r="O12" s="87"/>
      <c r="P12" s="87">
        <f>Calc!J60</f>
        <v>300.15011600000003</v>
      </c>
      <c r="Q12" s="87">
        <f>Calc!K60</f>
        <v>-498.12496900000002</v>
      </c>
      <c r="R12" s="87">
        <f>Calc!L60</f>
        <v>138.89297500000001</v>
      </c>
      <c r="S12" s="85">
        <v>-1</v>
      </c>
      <c r="T12" s="88"/>
      <c r="U12" s="85"/>
      <c r="V12" s="89"/>
      <c r="W12" s="89"/>
      <c r="X12" s="89">
        <f>Calc!N60</f>
        <v>1.4859131119388571</v>
      </c>
      <c r="Y12" s="89">
        <f>Calc!O60</f>
        <v>1.4856126742054514</v>
      </c>
      <c r="Z12" s="89">
        <f>Calc!P60</f>
        <v>-1.6108126970408709</v>
      </c>
      <c r="AA12" s="89">
        <f>Calc!Q60</f>
        <v>-1.611126966992209</v>
      </c>
      <c r="AB12" s="89">
        <f>Calc!R60</f>
        <v>1.6313959676574459</v>
      </c>
      <c r="AC12" s="89">
        <f>Calc!S60</f>
        <v>-1.5612762100391437</v>
      </c>
      <c r="AD12" s="89">
        <f>Calc!T60</f>
        <v>-1.5228831168178782</v>
      </c>
      <c r="AE12" s="89">
        <f>Calc!U60</f>
        <v>1.6703064576919762</v>
      </c>
      <c r="AF12" s="90">
        <v>41640</v>
      </c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</row>
    <row r="13" spans="1:118" s="99" customFormat="1" x14ac:dyDescent="0.2">
      <c r="A13" s="99" t="s">
        <v>63</v>
      </c>
      <c r="B13" s="99" t="str">
        <f>Calc!A61</f>
        <v>NRS_IFU_SLICE00</v>
      </c>
      <c r="C13" s="99" t="str">
        <f>DDC!B14</f>
        <v>NRS1_CNTR</v>
      </c>
      <c r="D13" s="99" t="s">
        <v>213</v>
      </c>
      <c r="E13" s="99" t="s">
        <v>82</v>
      </c>
      <c r="F13" s="100"/>
      <c r="G13" s="100"/>
      <c r="H13" s="101"/>
      <c r="I13" s="101"/>
      <c r="J13" s="100"/>
      <c r="K13" s="100"/>
      <c r="L13" s="101"/>
      <c r="M13" s="101"/>
      <c r="N13" s="102"/>
      <c r="O13" s="102"/>
      <c r="P13" s="102">
        <f>Calc!J61</f>
        <v>300.108093</v>
      </c>
      <c r="Q13" s="102">
        <f>Calc!K61</f>
        <v>-498.23413099999999</v>
      </c>
      <c r="R13" s="102">
        <f>Calc!L61</f>
        <v>138.89312699999999</v>
      </c>
      <c r="S13" s="100">
        <v>-1</v>
      </c>
      <c r="T13" s="103"/>
      <c r="U13" s="100"/>
      <c r="V13" s="104"/>
      <c r="W13" s="104"/>
      <c r="X13" s="104">
        <f>Calc!N61</f>
        <v>4.8882771751681542E-2</v>
      </c>
      <c r="Y13" s="104">
        <f>Calc!O61</f>
        <v>4.8868387571157301E-2</v>
      </c>
      <c r="Z13" s="104">
        <f>Calc!P61</f>
        <v>-5.4517893364154579E-2</v>
      </c>
      <c r="AA13" s="104">
        <f>Calc!Q61</f>
        <v>-5.454583768859389E-2</v>
      </c>
      <c r="AB13" s="104">
        <f>Calc!R61</f>
        <v>1.5986973772080484</v>
      </c>
      <c r="AC13" s="104">
        <f>Calc!S61</f>
        <v>-1.5995095662490058</v>
      </c>
      <c r="AD13" s="104">
        <f>Calc!T61</f>
        <v>-1.598227425707329</v>
      </c>
      <c r="AE13" s="104">
        <f>Calc!U61</f>
        <v>1.5999823983165609</v>
      </c>
      <c r="AF13" s="105">
        <v>41640</v>
      </c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06"/>
      <c r="BK13" s="106"/>
      <c r="BL13" s="106"/>
      <c r="BM13" s="106"/>
      <c r="BN13" s="106"/>
      <c r="BO13" s="106"/>
      <c r="BP13" s="106"/>
      <c r="BQ13" s="106"/>
      <c r="BR13" s="106"/>
      <c r="BS13" s="106"/>
      <c r="BT13" s="106"/>
      <c r="BU13" s="106"/>
      <c r="BV13" s="106"/>
      <c r="BW13" s="106"/>
      <c r="BX13" s="106"/>
      <c r="BY13" s="106"/>
      <c r="BZ13" s="106"/>
      <c r="CA13" s="106"/>
      <c r="CB13" s="106"/>
      <c r="CC13" s="106"/>
      <c r="CD13" s="106"/>
      <c r="CE13" s="106"/>
      <c r="CF13" s="106"/>
      <c r="CG13" s="106"/>
      <c r="CH13" s="106"/>
      <c r="CI13" s="106"/>
      <c r="CJ13" s="106"/>
      <c r="CK13" s="106"/>
      <c r="CL13" s="106"/>
      <c r="CM13" s="106"/>
      <c r="CN13" s="106"/>
      <c r="CO13" s="106"/>
      <c r="CP13" s="106"/>
      <c r="CQ13" s="106"/>
      <c r="CR13" s="106"/>
      <c r="CS13" s="106"/>
      <c r="CT13" s="106"/>
      <c r="CU13" s="106"/>
      <c r="CV13" s="106"/>
      <c r="CW13" s="106"/>
      <c r="CX13" s="106"/>
      <c r="CY13" s="106"/>
      <c r="CZ13" s="106"/>
      <c r="DA13" s="106"/>
      <c r="DB13" s="106"/>
      <c r="DC13" s="106"/>
      <c r="DD13" s="106"/>
      <c r="DE13" s="106"/>
      <c r="DF13" s="106"/>
      <c r="DG13" s="106"/>
      <c r="DH13" s="106"/>
      <c r="DI13" s="106"/>
      <c r="DJ13" s="106"/>
      <c r="DK13" s="106"/>
      <c r="DL13" s="106"/>
      <c r="DM13" s="106"/>
      <c r="DN13" s="106"/>
    </row>
    <row r="14" spans="1:118" s="84" customFormat="1" x14ac:dyDescent="0.2">
      <c r="A14" s="84" t="s">
        <v>63</v>
      </c>
      <c r="B14" s="84" t="str">
        <f>Calc!A62</f>
        <v>NRS_IFU_SLICE01</v>
      </c>
      <c r="C14" s="84" t="str">
        <f>DDC!B15</f>
        <v>NRS1_CNTR</v>
      </c>
      <c r="D14" s="84" t="s">
        <v>213</v>
      </c>
      <c r="E14" s="84" t="s">
        <v>82</v>
      </c>
      <c r="F14" s="85"/>
      <c r="G14" s="85"/>
      <c r="H14" s="86"/>
      <c r="I14" s="86"/>
      <c r="J14" s="85"/>
      <c r="K14" s="85"/>
      <c r="L14" s="86"/>
      <c r="M14" s="86"/>
      <c r="N14" s="87"/>
      <c r="O14" s="87"/>
      <c r="P14" s="87">
        <f>Calc!J62</f>
        <v>300.185181</v>
      </c>
      <c r="Q14" s="87">
        <f>Calc!K62</f>
        <v>-498.16516100000001</v>
      </c>
      <c r="R14" s="87">
        <f>Calc!L62</f>
        <v>138.89276100000001</v>
      </c>
      <c r="S14" s="85">
        <v>-1</v>
      </c>
      <c r="T14" s="88"/>
      <c r="U14" s="85"/>
      <c r="V14" s="89"/>
      <c r="W14" s="89"/>
      <c r="X14" s="89">
        <f>Calc!N62</f>
        <v>4.8806873009976881E-2</v>
      </c>
      <c r="Y14" s="89">
        <f>Calc!O62</f>
        <v>4.8792537087869237E-2</v>
      </c>
      <c r="Z14" s="89">
        <f>Calc!P62</f>
        <v>-5.4551423512119168E-2</v>
      </c>
      <c r="AA14" s="89">
        <f>Calc!Q62</f>
        <v>-5.4557469173918016E-2</v>
      </c>
      <c r="AB14" s="89">
        <f>Calc!R62</f>
        <v>1.598680188146437</v>
      </c>
      <c r="AC14" s="89">
        <f>Calc!S62</f>
        <v>-1.599503397447017</v>
      </c>
      <c r="AD14" s="89">
        <f>Calc!T62</f>
        <v>-1.5982247976235211</v>
      </c>
      <c r="AE14" s="89">
        <f>Calc!U62</f>
        <v>1.5999821458601655</v>
      </c>
      <c r="AF14" s="90">
        <v>41640</v>
      </c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</row>
    <row r="15" spans="1:118" s="84" customFormat="1" x14ac:dyDescent="0.2">
      <c r="A15" s="84" t="s">
        <v>63</v>
      </c>
      <c r="B15" s="84" t="str">
        <f>Calc!A63</f>
        <v>NRS_IFU_SLICE02</v>
      </c>
      <c r="C15" s="84" t="str">
        <f>DDC!B16</f>
        <v>NRS1_CNTR</v>
      </c>
      <c r="D15" s="84" t="s">
        <v>213</v>
      </c>
      <c r="E15" s="84" t="s">
        <v>82</v>
      </c>
      <c r="F15" s="85"/>
      <c r="G15" s="85"/>
      <c r="H15" s="86"/>
      <c r="I15" s="86"/>
      <c r="J15" s="85"/>
      <c r="K15" s="85"/>
      <c r="L15" s="86"/>
      <c r="M15" s="86"/>
      <c r="N15" s="87"/>
      <c r="O15" s="87"/>
      <c r="P15" s="87">
        <f>Calc!J63</f>
        <v>300.03097500000001</v>
      </c>
      <c r="Q15" s="87">
        <f>Calc!K63</f>
        <v>-498.30313100000001</v>
      </c>
      <c r="R15" s="87">
        <f>Calc!L63</f>
        <v>138.893494</v>
      </c>
      <c r="S15" s="85">
        <v>-1</v>
      </c>
      <c r="T15" s="88"/>
      <c r="U15" s="85"/>
      <c r="V15" s="89"/>
      <c r="W15" s="89"/>
      <c r="X15" s="89">
        <f>Calc!N63</f>
        <v>4.8936751416377766E-2</v>
      </c>
      <c r="Y15" s="89">
        <f>Calc!O63</f>
        <v>4.8944210060798521E-2</v>
      </c>
      <c r="Z15" s="89">
        <f>Calc!P63</f>
        <v>-5.4525153716534103E-2</v>
      </c>
      <c r="AA15" s="89">
        <f>Calc!Q63</f>
        <v>-5.4536246687659662E-2</v>
      </c>
      <c r="AB15" s="89">
        <f>Calc!R63</f>
        <v>1.5986940871976421</v>
      </c>
      <c r="AC15" s="89">
        <f>Calc!S63</f>
        <v>-1.5995157369396322</v>
      </c>
      <c r="AD15" s="89">
        <f>Calc!T63</f>
        <v>-1.5981833370318395</v>
      </c>
      <c r="AE15" s="89">
        <f>Calc!U63</f>
        <v>1.5999835011581154</v>
      </c>
      <c r="AF15" s="90">
        <v>41640</v>
      </c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</row>
    <row r="16" spans="1:118" s="84" customFormat="1" x14ac:dyDescent="0.2">
      <c r="A16" s="84" t="s">
        <v>63</v>
      </c>
      <c r="B16" s="84" t="str">
        <f>Calc!A64</f>
        <v>NRS_IFU_SLICE03</v>
      </c>
      <c r="C16" s="84" t="str">
        <f>DDC!B17</f>
        <v>NRS1_CNTR</v>
      </c>
      <c r="D16" s="84" t="s">
        <v>213</v>
      </c>
      <c r="E16" s="84" t="s">
        <v>82</v>
      </c>
      <c r="F16" s="85"/>
      <c r="G16" s="85"/>
      <c r="H16" s="86"/>
      <c r="I16" s="86"/>
      <c r="J16" s="85"/>
      <c r="K16" s="85"/>
      <c r="L16" s="86"/>
      <c r="M16" s="86"/>
      <c r="N16" s="87"/>
      <c r="O16" s="87"/>
      <c r="P16" s="87">
        <f>Calc!J64</f>
        <v>300.26220699999999</v>
      </c>
      <c r="Q16" s="87">
        <f>Calc!K64</f>
        <v>-498.09625199999999</v>
      </c>
      <c r="R16" s="87">
        <f>Calc!L64</f>
        <v>138.89239499999999</v>
      </c>
      <c r="S16" s="85">
        <v>-1</v>
      </c>
      <c r="T16" s="88"/>
      <c r="U16" s="85"/>
      <c r="V16" s="89"/>
      <c r="W16" s="89"/>
      <c r="X16" s="89">
        <f>Calc!N64</f>
        <v>4.8707712730709396E-2</v>
      </c>
      <c r="Y16" s="89">
        <f>Calc!O64</f>
        <v>4.8696304794617395E-2</v>
      </c>
      <c r="Z16" s="89">
        <f>Calc!P64</f>
        <v>-5.4540460726601458E-2</v>
      </c>
      <c r="AA16" s="89">
        <f>Calc!Q64</f>
        <v>-5.4546554497611699E-2</v>
      </c>
      <c r="AB16" s="89">
        <f>Calc!R64</f>
        <v>1.5986440273987497</v>
      </c>
      <c r="AC16" s="89">
        <f>Calc!S64</f>
        <v>-1.5994738719192685</v>
      </c>
      <c r="AD16" s="89">
        <f>Calc!T64</f>
        <v>-1.5982244885849672</v>
      </c>
      <c r="AE16" s="89">
        <f>Calc!U64</f>
        <v>1.5999590970348119</v>
      </c>
      <c r="AF16" s="90">
        <v>41640</v>
      </c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</row>
    <row r="17" spans="1:118" s="84" customFormat="1" x14ac:dyDescent="0.2">
      <c r="A17" s="84" t="s">
        <v>63</v>
      </c>
      <c r="B17" s="84" t="str">
        <f>Calc!A65</f>
        <v>NRS_IFU_SLICE04</v>
      </c>
      <c r="C17" s="84" t="str">
        <f>DDC!B18</f>
        <v>NRS1_CNTR</v>
      </c>
      <c r="D17" s="84" t="s">
        <v>213</v>
      </c>
      <c r="E17" s="84" t="s">
        <v>82</v>
      </c>
      <c r="F17" s="85"/>
      <c r="G17" s="85"/>
      <c r="H17" s="86"/>
      <c r="I17" s="86"/>
      <c r="J17" s="85"/>
      <c r="K17" s="85"/>
      <c r="L17" s="86"/>
      <c r="M17" s="86"/>
      <c r="N17" s="87"/>
      <c r="O17" s="87"/>
      <c r="P17" s="87">
        <f>Calc!J65</f>
        <v>299.95379600000001</v>
      </c>
      <c r="Q17" s="87">
        <f>Calc!K65</f>
        <v>-498.37219199999998</v>
      </c>
      <c r="R17" s="87">
        <f>Calc!L65</f>
        <v>138.89385999999999</v>
      </c>
      <c r="S17" s="85">
        <v>-1</v>
      </c>
      <c r="T17" s="88"/>
      <c r="U17" s="85"/>
      <c r="V17" s="89"/>
      <c r="W17" s="89"/>
      <c r="X17" s="89">
        <f>Calc!N65</f>
        <v>4.9032374150629887E-2</v>
      </c>
      <c r="Y17" s="89">
        <f>Calc!O65</f>
        <v>4.9023037535620873E-2</v>
      </c>
      <c r="Z17" s="89">
        <f>Calc!P65</f>
        <v>-5.4509123369318124E-2</v>
      </c>
      <c r="AA17" s="89">
        <f>Calc!Q65</f>
        <v>-5.4508526116325173E-2</v>
      </c>
      <c r="AB17" s="89">
        <f>Calc!R65</f>
        <v>1.5986886698010241</v>
      </c>
      <c r="AC17" s="89">
        <f>Calc!S65</f>
        <v>-1.5994781683945405</v>
      </c>
      <c r="AD17" s="89">
        <f>Calc!T65</f>
        <v>-1.5981202790936675</v>
      </c>
      <c r="AE17" s="89">
        <f>Calc!U65</f>
        <v>1.5999181627485584</v>
      </c>
      <c r="AF17" s="90">
        <v>41640</v>
      </c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</row>
    <row r="18" spans="1:118" s="84" customFormat="1" x14ac:dyDescent="0.2">
      <c r="A18" s="84" t="s">
        <v>63</v>
      </c>
      <c r="B18" s="84" t="str">
        <f>Calc!A66</f>
        <v>NRS_IFU_SLICE05</v>
      </c>
      <c r="C18" s="84" t="str">
        <f>DDC!B19</f>
        <v>NRS1_CNTR</v>
      </c>
      <c r="D18" s="84" t="s">
        <v>213</v>
      </c>
      <c r="E18" s="84" t="s">
        <v>82</v>
      </c>
      <c r="F18" s="85"/>
      <c r="G18" s="85"/>
      <c r="H18" s="86"/>
      <c r="I18" s="86"/>
      <c r="J18" s="85"/>
      <c r="K18" s="85"/>
      <c r="L18" s="86"/>
      <c r="M18" s="86"/>
      <c r="N18" s="87"/>
      <c r="O18" s="87"/>
      <c r="P18" s="87">
        <f>Calc!J66</f>
        <v>300.33917200000002</v>
      </c>
      <c r="Q18" s="87">
        <f>Calc!K66</f>
        <v>-498.02737400000001</v>
      </c>
      <c r="R18" s="87">
        <f>Calc!L66</f>
        <v>138.89202900000001</v>
      </c>
      <c r="S18" s="85">
        <v>-1</v>
      </c>
      <c r="T18" s="88"/>
      <c r="U18" s="85"/>
      <c r="V18" s="89"/>
      <c r="W18" s="89"/>
      <c r="X18" s="89">
        <f>Calc!N66</f>
        <v>4.8605577167891378E-2</v>
      </c>
      <c r="Y18" s="89">
        <f>Calc!O66</f>
        <v>4.8583980951497852E-2</v>
      </c>
      <c r="Z18" s="89">
        <f>Calc!P66</f>
        <v>-5.4570357703798922E-2</v>
      </c>
      <c r="AA18" s="89">
        <f>Calc!Q66</f>
        <v>-5.457937904122423E-2</v>
      </c>
      <c r="AB18" s="89">
        <f>Calc!R66</f>
        <v>1.5985641259371244</v>
      </c>
      <c r="AC18" s="89">
        <f>Calc!S66</f>
        <v>-1.5993787574880121</v>
      </c>
      <c r="AD18" s="89">
        <f>Calc!T66</f>
        <v>-1.598178875163931</v>
      </c>
      <c r="AE18" s="89">
        <f>Calc!U66</f>
        <v>1.5999390241617095</v>
      </c>
      <c r="AF18" s="90">
        <v>41640</v>
      </c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</row>
    <row r="19" spans="1:118" s="84" customFormat="1" x14ac:dyDescent="0.2">
      <c r="A19" s="84" t="s">
        <v>63</v>
      </c>
      <c r="B19" s="84" t="str">
        <f>Calc!A67</f>
        <v>NRS_IFU_SLICE06</v>
      </c>
      <c r="C19" s="84" t="str">
        <f>DDC!B20</f>
        <v>NRS1_CNTR</v>
      </c>
      <c r="D19" s="84" t="s">
        <v>213</v>
      </c>
      <c r="E19" s="84" t="s">
        <v>82</v>
      </c>
      <c r="F19" s="85"/>
      <c r="G19" s="85"/>
      <c r="H19" s="86"/>
      <c r="I19" s="86"/>
      <c r="J19" s="85"/>
      <c r="K19" s="85"/>
      <c r="L19" s="86"/>
      <c r="M19" s="86"/>
      <c r="N19" s="87"/>
      <c r="O19" s="87"/>
      <c r="P19" s="87">
        <f>Calc!J67</f>
        <v>299.87655599999999</v>
      </c>
      <c r="Q19" s="87">
        <f>Calc!K67</f>
        <v>-498.44131499999997</v>
      </c>
      <c r="R19" s="87">
        <f>Calc!L67</f>
        <v>138.89424099999999</v>
      </c>
      <c r="S19" s="85">
        <v>-1</v>
      </c>
      <c r="T19" s="88"/>
      <c r="U19" s="85"/>
      <c r="V19" s="89"/>
      <c r="W19" s="89"/>
      <c r="X19" s="89">
        <f>Calc!N67</f>
        <v>4.9147229844682894E-2</v>
      </c>
      <c r="Y19" s="89">
        <f>Calc!O67</f>
        <v>4.9125366581231678E-2</v>
      </c>
      <c r="Z19" s="89">
        <f>Calc!P67</f>
        <v>-5.4450428642815352E-2</v>
      </c>
      <c r="AA19" s="89">
        <f>Calc!Q67</f>
        <v>-5.448048358776536E-2</v>
      </c>
      <c r="AB19" s="89">
        <f>Calc!R67</f>
        <v>1.5986160445259352</v>
      </c>
      <c r="AC19" s="89">
        <f>Calc!S67</f>
        <v>-1.5994223972416126</v>
      </c>
      <c r="AD19" s="89">
        <f>Calc!T67</f>
        <v>-1.5980594310980858</v>
      </c>
      <c r="AE19" s="89">
        <f>Calc!U67</f>
        <v>1.5998514273647877</v>
      </c>
      <c r="AF19" s="90">
        <v>41640</v>
      </c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</row>
    <row r="20" spans="1:118" s="84" customFormat="1" x14ac:dyDescent="0.2">
      <c r="A20" s="84" t="s">
        <v>63</v>
      </c>
      <c r="B20" s="84" t="str">
        <f>Calc!A68</f>
        <v>NRS_IFU_SLICE07</v>
      </c>
      <c r="C20" s="84" t="str">
        <f>DDC!B21</f>
        <v>NRS1_CNTR</v>
      </c>
      <c r="D20" s="84" t="s">
        <v>213</v>
      </c>
      <c r="E20" s="84" t="s">
        <v>82</v>
      </c>
      <c r="F20" s="85"/>
      <c r="G20" s="85"/>
      <c r="H20" s="86"/>
      <c r="I20" s="86"/>
      <c r="J20" s="85"/>
      <c r="K20" s="85"/>
      <c r="L20" s="86"/>
      <c r="M20" s="86"/>
      <c r="N20" s="87"/>
      <c r="O20" s="87"/>
      <c r="P20" s="87">
        <f>Calc!J68</f>
        <v>300.41607699999997</v>
      </c>
      <c r="Q20" s="87">
        <f>Calc!K68</f>
        <v>-497.95855699999998</v>
      </c>
      <c r="R20" s="87">
        <f>Calc!L68</f>
        <v>138.89166299999999</v>
      </c>
      <c r="S20" s="85">
        <v>-1</v>
      </c>
      <c r="T20" s="88"/>
      <c r="U20" s="85"/>
      <c r="V20" s="89"/>
      <c r="W20" s="89"/>
      <c r="X20" s="89">
        <f>Calc!N68</f>
        <v>4.8502689160108137E-2</v>
      </c>
      <c r="Y20" s="89">
        <f>Calc!O68</f>
        <v>4.8513231006031776E-2</v>
      </c>
      <c r="Z20" s="89">
        <f>Calc!P68</f>
        <v>-5.4597375780640722E-2</v>
      </c>
      <c r="AA20" s="89">
        <f>Calc!Q68</f>
        <v>-5.4596207719782686E-2</v>
      </c>
      <c r="AB20" s="89">
        <f>Calc!R68</f>
        <v>1.5984835657511072</v>
      </c>
      <c r="AC20" s="89">
        <f>Calc!S68</f>
        <v>-1.5992871815272145</v>
      </c>
      <c r="AD20" s="89">
        <f>Calc!T68</f>
        <v>-1.5980909336113203</v>
      </c>
      <c r="AE20" s="89">
        <f>Calc!U68</f>
        <v>1.599851949886524</v>
      </c>
      <c r="AF20" s="90">
        <v>41640</v>
      </c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J20" s="91"/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</row>
    <row r="21" spans="1:118" s="84" customFormat="1" x14ac:dyDescent="0.2">
      <c r="A21" s="84" t="s">
        <v>63</v>
      </c>
      <c r="B21" s="84" t="str">
        <f>Calc!A69</f>
        <v>NRS_IFU_SLICE08</v>
      </c>
      <c r="C21" s="84" t="str">
        <f>DDC!B22</f>
        <v>NRS1_CNTR</v>
      </c>
      <c r="D21" s="84" t="s">
        <v>213</v>
      </c>
      <c r="E21" s="84" t="s">
        <v>82</v>
      </c>
      <c r="F21" s="85"/>
      <c r="G21" s="85"/>
      <c r="H21" s="86"/>
      <c r="I21" s="86"/>
      <c r="J21" s="85"/>
      <c r="K21" s="85"/>
      <c r="L21" s="86"/>
      <c r="M21" s="86"/>
      <c r="N21" s="87"/>
      <c r="O21" s="87"/>
      <c r="P21" s="87">
        <f>Calc!J69</f>
        <v>299.79931599999998</v>
      </c>
      <c r="Q21" s="87">
        <f>Calc!K69</f>
        <v>-498.51043700000002</v>
      </c>
      <c r="R21" s="87">
        <f>Calc!L69</f>
        <v>138.89460800000001</v>
      </c>
      <c r="S21" s="85">
        <v>-1</v>
      </c>
      <c r="T21" s="88"/>
      <c r="U21" s="85"/>
      <c r="V21" s="89"/>
      <c r="W21" s="89"/>
      <c r="X21" s="89">
        <f>Calc!N69</f>
        <v>4.9174215220834205E-2</v>
      </c>
      <c r="Y21" s="89">
        <f>Calc!O69</f>
        <v>4.9183786400746943E-2</v>
      </c>
      <c r="Z21" s="89">
        <f>Calc!P69</f>
        <v>-5.4454805407708196E-2</v>
      </c>
      <c r="AA21" s="89">
        <f>Calc!Q69</f>
        <v>-5.4498700387945909E-2</v>
      </c>
      <c r="AB21" s="89">
        <f>Calc!R69</f>
        <v>1.5985493852635404</v>
      </c>
      <c r="AC21" s="89">
        <f>Calc!S69</f>
        <v>-1.5993614733262427</v>
      </c>
      <c r="AD21" s="89">
        <f>Calc!T69</f>
        <v>-1.5979730144820941</v>
      </c>
      <c r="AE21" s="89">
        <f>Calc!U69</f>
        <v>1.5997459851054772</v>
      </c>
      <c r="AF21" s="90">
        <v>41640</v>
      </c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</row>
    <row r="22" spans="1:118" s="84" customFormat="1" x14ac:dyDescent="0.2">
      <c r="A22" s="84" t="s">
        <v>63</v>
      </c>
      <c r="B22" s="84" t="str">
        <f>Calc!A70</f>
        <v>NRS_IFU_SLICE09</v>
      </c>
      <c r="C22" s="84" t="str">
        <f>DDC!B23</f>
        <v>NRS1_CNTR</v>
      </c>
      <c r="D22" s="84" t="s">
        <v>213</v>
      </c>
      <c r="E22" s="84" t="s">
        <v>82</v>
      </c>
      <c r="F22" s="85"/>
      <c r="G22" s="85"/>
      <c r="H22" s="86"/>
      <c r="I22" s="86"/>
      <c r="J22" s="85"/>
      <c r="K22" s="85"/>
      <c r="L22" s="86"/>
      <c r="M22" s="86"/>
      <c r="N22" s="87"/>
      <c r="O22" s="87"/>
      <c r="P22" s="87">
        <f>Calc!J70</f>
        <v>300.49288899999999</v>
      </c>
      <c r="Q22" s="87">
        <f>Calc!K70</f>
        <v>-497.88980099999998</v>
      </c>
      <c r="R22" s="87">
        <f>Calc!L70</f>
        <v>138.89128099999999</v>
      </c>
      <c r="S22" s="85">
        <v>-1</v>
      </c>
      <c r="T22" s="88"/>
      <c r="U22" s="85"/>
      <c r="V22" s="89"/>
      <c r="W22" s="89"/>
      <c r="X22" s="89">
        <f>Calc!N70</f>
        <v>4.8443848839634707E-2</v>
      </c>
      <c r="Y22" s="89">
        <f>Calc!O70</f>
        <v>4.8446655112093784E-2</v>
      </c>
      <c r="Z22" s="89">
        <f>Calc!P70</f>
        <v>-5.4557509311813579E-2</v>
      </c>
      <c r="AA22" s="89">
        <f>Calc!Q70</f>
        <v>-5.4589371199734171E-2</v>
      </c>
      <c r="AB22" s="89">
        <f>Calc!R70</f>
        <v>1.5984007001448859</v>
      </c>
      <c r="AC22" s="89">
        <f>Calc!S70</f>
        <v>-1.5991511959669014</v>
      </c>
      <c r="AD22" s="89">
        <f>Calc!T70</f>
        <v>-1.5979848472490663</v>
      </c>
      <c r="AE22" s="89">
        <f>Calc!U70</f>
        <v>1.5997858998878995</v>
      </c>
      <c r="AF22" s="90">
        <v>41640</v>
      </c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</row>
    <row r="23" spans="1:118" s="84" customFormat="1" x14ac:dyDescent="0.2">
      <c r="A23" s="84" t="s">
        <v>63</v>
      </c>
      <c r="B23" s="84" t="str">
        <f>Calc!A71</f>
        <v>NRS_IFU_SLICE10</v>
      </c>
      <c r="C23" s="84" t="str">
        <f>DDC!B24</f>
        <v>NRS1_CNTR</v>
      </c>
      <c r="D23" s="84" t="s">
        <v>213</v>
      </c>
      <c r="E23" s="84" t="s">
        <v>82</v>
      </c>
      <c r="F23" s="85"/>
      <c r="G23" s="85"/>
      <c r="H23" s="86"/>
      <c r="I23" s="86"/>
      <c r="J23" s="85"/>
      <c r="K23" s="85"/>
      <c r="L23" s="86"/>
      <c r="M23" s="86"/>
      <c r="N23" s="87"/>
      <c r="O23" s="87"/>
      <c r="P23" s="87">
        <f>Calc!J71</f>
        <v>299.72198500000002</v>
      </c>
      <c r="Q23" s="87">
        <f>Calc!K71</f>
        <v>-498.57961999999998</v>
      </c>
      <c r="R23" s="87">
        <f>Calc!L71</f>
        <v>138.89497399999999</v>
      </c>
      <c r="S23" s="85">
        <v>-1</v>
      </c>
      <c r="T23" s="88"/>
      <c r="U23" s="85"/>
      <c r="V23" s="89"/>
      <c r="W23" s="89"/>
      <c r="X23" s="89">
        <f>Calc!N71</f>
        <v>4.9264634445660649E-2</v>
      </c>
      <c r="Y23" s="89">
        <f>Calc!O71</f>
        <v>4.9288102700513869E-2</v>
      </c>
      <c r="Z23" s="89">
        <f>Calc!P71</f>
        <v>-5.441394283600165E-2</v>
      </c>
      <c r="AA23" s="89">
        <f>Calc!Q71</f>
        <v>-5.4433043141704052E-2</v>
      </c>
      <c r="AB23" s="89">
        <f>Calc!R71</f>
        <v>1.5984571434123684</v>
      </c>
      <c r="AC23" s="89">
        <f>Calc!S71</f>
        <v>-1.599261856390358</v>
      </c>
      <c r="AD23" s="89">
        <f>Calc!T71</f>
        <v>-1.5978471523453144</v>
      </c>
      <c r="AE23" s="89">
        <f>Calc!U71</f>
        <v>1.5996341208896454</v>
      </c>
      <c r="AF23" s="90">
        <v>41640</v>
      </c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</row>
    <row r="24" spans="1:118" s="84" customFormat="1" x14ac:dyDescent="0.2">
      <c r="A24" s="84" t="s">
        <v>63</v>
      </c>
      <c r="B24" s="84" t="str">
        <f>Calc!A72</f>
        <v>NRS_IFU_SLICE11</v>
      </c>
      <c r="C24" s="84" t="str">
        <f>DDC!B25</f>
        <v>NRS1_CNTR</v>
      </c>
      <c r="D24" s="84" t="s">
        <v>213</v>
      </c>
      <c r="E24" s="84" t="s">
        <v>82</v>
      </c>
      <c r="F24" s="85"/>
      <c r="G24" s="85"/>
      <c r="H24" s="86"/>
      <c r="I24" s="86"/>
      <c r="J24" s="85"/>
      <c r="K24" s="85"/>
      <c r="L24" s="86"/>
      <c r="M24" s="86"/>
      <c r="N24" s="87"/>
      <c r="O24" s="87"/>
      <c r="P24" s="87">
        <f>Calc!J72</f>
        <v>300.56967200000003</v>
      </c>
      <c r="Q24" s="87">
        <f>Calc!K72</f>
        <v>-497.82110599999999</v>
      </c>
      <c r="R24" s="87">
        <f>Calc!L72</f>
        <v>138.89091500000001</v>
      </c>
      <c r="S24" s="85">
        <v>-1</v>
      </c>
      <c r="T24" s="88"/>
      <c r="U24" s="85"/>
      <c r="V24" s="89"/>
      <c r="W24" s="89"/>
      <c r="X24" s="89">
        <f>Calc!N72</f>
        <v>4.8335109101772744E-2</v>
      </c>
      <c r="Y24" s="89">
        <f>Calc!O72</f>
        <v>4.8336548802468071E-2</v>
      </c>
      <c r="Z24" s="89">
        <f>Calc!P72</f>
        <v>-5.4562583501084672E-2</v>
      </c>
      <c r="AA24" s="89">
        <f>Calc!Q72</f>
        <v>-5.4585815431485885E-2</v>
      </c>
      <c r="AB24" s="89">
        <f>Calc!R72</f>
        <v>1.5982340695296076</v>
      </c>
      <c r="AC24" s="89">
        <f>Calc!S72</f>
        <v>-1.5990130034376848</v>
      </c>
      <c r="AD24" s="89">
        <f>Calc!T72</f>
        <v>-1.5978764277996316</v>
      </c>
      <c r="AE24" s="89">
        <f>Calc!U72</f>
        <v>1.5996754682289906</v>
      </c>
      <c r="AF24" s="90">
        <v>41640</v>
      </c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91"/>
      <c r="CE24" s="91"/>
      <c r="CF24" s="91"/>
      <c r="CG24" s="91"/>
      <c r="CH24" s="91"/>
      <c r="CI24" s="91"/>
      <c r="CJ24" s="91"/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</row>
    <row r="25" spans="1:118" s="84" customFormat="1" x14ac:dyDescent="0.2">
      <c r="A25" s="84" t="s">
        <v>63</v>
      </c>
      <c r="B25" s="84" t="str">
        <f>Calc!A73</f>
        <v>NRS_IFU_SLICE12</v>
      </c>
      <c r="C25" s="84" t="str">
        <f>DDC!B26</f>
        <v>NRS1_CNTR</v>
      </c>
      <c r="D25" s="84" t="s">
        <v>213</v>
      </c>
      <c r="E25" s="84" t="s">
        <v>82</v>
      </c>
      <c r="F25" s="85"/>
      <c r="G25" s="85"/>
      <c r="H25" s="86"/>
      <c r="I25" s="86"/>
      <c r="J25" s="85"/>
      <c r="K25" s="85"/>
      <c r="L25" s="86"/>
      <c r="M25" s="86"/>
      <c r="N25" s="87"/>
      <c r="O25" s="87"/>
      <c r="P25" s="87">
        <f>Calc!J73</f>
        <v>299.64465300000001</v>
      </c>
      <c r="Q25" s="87">
        <f>Calc!K73</f>
        <v>-498.64883400000002</v>
      </c>
      <c r="R25" s="87">
        <f>Calc!L73</f>
        <v>138.89534</v>
      </c>
      <c r="S25" s="85">
        <v>-1</v>
      </c>
      <c r="T25" s="88"/>
      <c r="U25" s="85"/>
      <c r="V25" s="89"/>
      <c r="W25" s="89"/>
      <c r="X25" s="89">
        <f>Calc!N73</f>
        <v>4.935141678252486E-2</v>
      </c>
      <c r="Y25" s="89">
        <f>Calc!O73</f>
        <v>4.9350091881413705E-2</v>
      </c>
      <c r="Z25" s="89">
        <f>Calc!P73</f>
        <v>-5.4391952171105151E-2</v>
      </c>
      <c r="AA25" s="89">
        <f>Calc!Q73</f>
        <v>-5.4411186975760306E-2</v>
      </c>
      <c r="AB25" s="89">
        <f>Calc!R73</f>
        <v>1.5983219146409557</v>
      </c>
      <c r="AC25" s="89">
        <f>Calc!S73</f>
        <v>-1.5991593586507775</v>
      </c>
      <c r="AD25" s="89">
        <f>Calc!T73</f>
        <v>-1.5976966171151155</v>
      </c>
      <c r="AE25" s="89">
        <f>Calc!U73</f>
        <v>1.599482713634901</v>
      </c>
      <c r="AF25" s="90">
        <v>41640</v>
      </c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  <c r="BW25" s="91"/>
      <c r="BX25" s="91"/>
      <c r="BY25" s="91"/>
      <c r="BZ25" s="91"/>
      <c r="CA25" s="91"/>
      <c r="CB25" s="91"/>
      <c r="CC25" s="91"/>
      <c r="CD25" s="91"/>
      <c r="CE25" s="91"/>
      <c r="CF25" s="91"/>
      <c r="CG25" s="91"/>
      <c r="CH25" s="91"/>
      <c r="CI25" s="91"/>
      <c r="CJ25" s="91"/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</row>
    <row r="26" spans="1:118" s="84" customFormat="1" x14ac:dyDescent="0.2">
      <c r="A26" s="84" t="s">
        <v>63</v>
      </c>
      <c r="B26" s="84" t="str">
        <f>Calc!A74</f>
        <v>NRS_IFU_SLICE13</v>
      </c>
      <c r="C26" s="84" t="str">
        <f>DDC!B27</f>
        <v>NRS1_CNTR</v>
      </c>
      <c r="D26" s="84" t="s">
        <v>213</v>
      </c>
      <c r="E26" s="84" t="s">
        <v>82</v>
      </c>
      <c r="F26" s="85"/>
      <c r="G26" s="85"/>
      <c r="H26" s="86"/>
      <c r="I26" s="86"/>
      <c r="J26" s="85"/>
      <c r="K26" s="85"/>
      <c r="L26" s="86"/>
      <c r="M26" s="86"/>
      <c r="N26" s="87"/>
      <c r="O26" s="87"/>
      <c r="P26" s="87">
        <f>Calc!J74</f>
        <v>300.64639299999999</v>
      </c>
      <c r="Q26" s="87">
        <f>Calc!K74</f>
        <v>-497.75250199999999</v>
      </c>
      <c r="R26" s="87">
        <f>Calc!L74</f>
        <v>138.89054899999999</v>
      </c>
      <c r="S26" s="85">
        <v>-1</v>
      </c>
      <c r="T26" s="88"/>
      <c r="U26" s="85"/>
      <c r="V26" s="89"/>
      <c r="W26" s="89"/>
      <c r="X26" s="89">
        <f>Calc!N74</f>
        <v>4.8246849935919767E-2</v>
      </c>
      <c r="Y26" s="89">
        <f>Calc!O74</f>
        <v>4.8226440729304265E-2</v>
      </c>
      <c r="Z26" s="89">
        <f>Calc!P74</f>
        <v>-5.4566152167749626E-2</v>
      </c>
      <c r="AA26" s="89">
        <f>Calc!Q74</f>
        <v>-5.4588015579208893E-2</v>
      </c>
      <c r="AB26" s="89">
        <f>Calc!R74</f>
        <v>1.5980454914414044</v>
      </c>
      <c r="AC26" s="89">
        <f>Calc!S74</f>
        <v>-1.5988748123804251</v>
      </c>
      <c r="AD26" s="89">
        <f>Calc!T74</f>
        <v>-1.5977666934810872</v>
      </c>
      <c r="AE26" s="89">
        <f>Calc!U74</f>
        <v>1.599480379411776</v>
      </c>
      <c r="AF26" s="90">
        <v>41640</v>
      </c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</row>
    <row r="27" spans="1:118" s="84" customFormat="1" x14ac:dyDescent="0.2">
      <c r="A27" s="84" t="s">
        <v>63</v>
      </c>
      <c r="B27" s="84" t="str">
        <f>Calc!A75</f>
        <v>NRS_IFU_SLICE14</v>
      </c>
      <c r="C27" s="84" t="str">
        <f>DDC!B28</f>
        <v>NRS1_CNTR</v>
      </c>
      <c r="D27" s="84" t="s">
        <v>213</v>
      </c>
      <c r="E27" s="84" t="s">
        <v>82</v>
      </c>
      <c r="F27" s="85"/>
      <c r="G27" s="85"/>
      <c r="H27" s="86"/>
      <c r="I27" s="86"/>
      <c r="J27" s="85"/>
      <c r="K27" s="85"/>
      <c r="L27" s="86"/>
      <c r="M27" s="86"/>
      <c r="N27" s="87"/>
      <c r="O27" s="87"/>
      <c r="P27" s="87">
        <f>Calc!J75</f>
        <v>299.56729100000001</v>
      </c>
      <c r="Q27" s="87">
        <f>Calc!K75</f>
        <v>-498.71807899999999</v>
      </c>
      <c r="R27" s="87">
        <f>Calc!L75</f>
        <v>138.89570599999999</v>
      </c>
      <c r="S27" s="85">
        <v>-1</v>
      </c>
      <c r="T27" s="88"/>
      <c r="U27" s="85"/>
      <c r="V27" s="89"/>
      <c r="W27" s="89"/>
      <c r="X27" s="89">
        <f>Calc!N75</f>
        <v>4.9416249401645573E-2</v>
      </c>
      <c r="Y27" s="89">
        <f>Calc!O75</f>
        <v>4.9415060928268861E-2</v>
      </c>
      <c r="Z27" s="89">
        <f>Calc!P75</f>
        <v>-5.4370055667741446E-2</v>
      </c>
      <c r="AA27" s="89">
        <f>Calc!Q75</f>
        <v>-5.4391653869281131E-2</v>
      </c>
      <c r="AB27" s="89">
        <f>Calc!R75</f>
        <v>1.5981662083604191</v>
      </c>
      <c r="AC27" s="89">
        <f>Calc!S75</f>
        <v>-1.5990131224472366</v>
      </c>
      <c r="AD27" s="89">
        <f>Calc!T75</f>
        <v>-1.597547493176863</v>
      </c>
      <c r="AE27" s="89">
        <f>Calc!U75</f>
        <v>1.5992868133309903</v>
      </c>
      <c r="AF27" s="90">
        <v>41640</v>
      </c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1"/>
      <c r="CB27" s="91"/>
      <c r="CC27" s="91"/>
      <c r="CD27" s="91"/>
      <c r="CE27" s="91"/>
      <c r="CF27" s="91"/>
      <c r="CG27" s="91"/>
      <c r="CH27" s="91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</row>
    <row r="28" spans="1:118" s="84" customFormat="1" x14ac:dyDescent="0.2">
      <c r="A28" s="84" t="s">
        <v>63</v>
      </c>
      <c r="B28" s="84" t="str">
        <f>Calc!A76</f>
        <v>NRS_IFU_SLICE15</v>
      </c>
      <c r="C28" s="84" t="str">
        <f>DDC!B29</f>
        <v>NRS1_CNTR</v>
      </c>
      <c r="D28" s="84" t="s">
        <v>213</v>
      </c>
      <c r="E28" s="84" t="s">
        <v>82</v>
      </c>
      <c r="F28" s="85"/>
      <c r="G28" s="85"/>
      <c r="H28" s="86"/>
      <c r="I28" s="86"/>
      <c r="J28" s="85"/>
      <c r="K28" s="85"/>
      <c r="L28" s="86"/>
      <c r="M28" s="86"/>
      <c r="N28" s="87"/>
      <c r="O28" s="87"/>
      <c r="P28" s="87">
        <f>Calc!J76</f>
        <v>300.72302200000001</v>
      </c>
      <c r="Q28" s="87">
        <f>Calc!K76</f>
        <v>-497.68392899999998</v>
      </c>
      <c r="R28" s="87">
        <f>Calc!L76</f>
        <v>138.89018200000001</v>
      </c>
      <c r="S28" s="85">
        <v>-1</v>
      </c>
      <c r="T28" s="88"/>
      <c r="U28" s="85"/>
      <c r="V28" s="89"/>
      <c r="W28" s="89"/>
      <c r="X28" s="89">
        <f>Calc!N76</f>
        <v>4.8139593613166887E-2</v>
      </c>
      <c r="Y28" s="89">
        <f>Calc!O76</f>
        <v>4.8141936655453632E-2</v>
      </c>
      <c r="Z28" s="89">
        <f>Calc!P76</f>
        <v>-5.4586541094096108E-2</v>
      </c>
      <c r="AA28" s="89">
        <f>Calc!Q76</f>
        <v>-5.4586609307657241E-2</v>
      </c>
      <c r="AB28" s="89">
        <f>Calc!R76</f>
        <v>1.5978801741578756</v>
      </c>
      <c r="AC28" s="89">
        <f>Calc!S76</f>
        <v>-1.5986731572163388</v>
      </c>
      <c r="AD28" s="89">
        <f>Calc!T76</f>
        <v>-1.5975920280507676</v>
      </c>
      <c r="AE28" s="89">
        <f>Calc!U76</f>
        <v>1.5993282758362075</v>
      </c>
      <c r="AF28" s="90">
        <v>41640</v>
      </c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</row>
    <row r="29" spans="1:118" s="84" customFormat="1" x14ac:dyDescent="0.2">
      <c r="A29" s="84" t="s">
        <v>63</v>
      </c>
      <c r="B29" s="84" t="str">
        <f>Calc!A77</f>
        <v>NRS_IFU_SLICE16</v>
      </c>
      <c r="C29" s="84" t="str">
        <f>DDC!B30</f>
        <v>NRS1_CNTR</v>
      </c>
      <c r="D29" s="84" t="s">
        <v>213</v>
      </c>
      <c r="E29" s="84" t="s">
        <v>82</v>
      </c>
      <c r="F29" s="85"/>
      <c r="G29" s="85"/>
      <c r="H29" s="86"/>
      <c r="I29" s="86"/>
      <c r="J29" s="85"/>
      <c r="K29" s="85"/>
      <c r="L29" s="86"/>
      <c r="M29" s="86"/>
      <c r="N29" s="87"/>
      <c r="O29" s="87"/>
      <c r="P29" s="87">
        <f>Calc!J77</f>
        <v>299.489868</v>
      </c>
      <c r="Q29" s="87">
        <f>Calc!K77</f>
        <v>-498.78735399999999</v>
      </c>
      <c r="R29" s="87">
        <f>Calc!L77</f>
        <v>138.89608799999999</v>
      </c>
      <c r="S29" s="85">
        <v>-1</v>
      </c>
      <c r="T29" s="88"/>
      <c r="U29" s="85"/>
      <c r="V29" s="89"/>
      <c r="W29" s="89"/>
      <c r="X29" s="89">
        <f>Calc!N77</f>
        <v>4.9501906509802018E-2</v>
      </c>
      <c r="Y29" s="89">
        <f>Calc!O77</f>
        <v>4.9502190912743549E-2</v>
      </c>
      <c r="Z29" s="89">
        <f>Calc!P77</f>
        <v>-5.4346378011472019E-2</v>
      </c>
      <c r="AA29" s="89">
        <f>Calc!Q77</f>
        <v>-5.4349632496953793E-2</v>
      </c>
      <c r="AB29" s="89">
        <f>Calc!R77</f>
        <v>1.5979871284252964</v>
      </c>
      <c r="AC29" s="89">
        <f>Calc!S77</f>
        <v>-1.598847178155504</v>
      </c>
      <c r="AD29" s="89">
        <f>Calc!T77</f>
        <v>-1.5973552725320848</v>
      </c>
      <c r="AE29" s="89">
        <f>Calc!U77</f>
        <v>1.5991128152908911</v>
      </c>
      <c r="AF29" s="90">
        <v>41640</v>
      </c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  <c r="CD29" s="91"/>
      <c r="CE29" s="91"/>
      <c r="CF29" s="91"/>
      <c r="CG29" s="91"/>
      <c r="CH29" s="91"/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</row>
    <row r="30" spans="1:118" s="84" customFormat="1" x14ac:dyDescent="0.2">
      <c r="A30" s="84" t="s">
        <v>63</v>
      </c>
      <c r="B30" s="84" t="str">
        <f>Calc!A78</f>
        <v>NRS_IFU_SLICE17</v>
      </c>
      <c r="C30" s="84" t="str">
        <f>DDC!B31</f>
        <v>NRS1_CNTR</v>
      </c>
      <c r="D30" s="84" t="s">
        <v>213</v>
      </c>
      <c r="E30" s="84" t="s">
        <v>82</v>
      </c>
      <c r="F30" s="85"/>
      <c r="G30" s="85"/>
      <c r="H30" s="86"/>
      <c r="I30" s="86"/>
      <c r="J30" s="85"/>
      <c r="K30" s="85"/>
      <c r="L30" s="86"/>
      <c r="M30" s="86"/>
      <c r="N30" s="87"/>
      <c r="O30" s="87"/>
      <c r="P30" s="87">
        <f>Calc!J78</f>
        <v>300.79956099999998</v>
      </c>
      <c r="Q30" s="87">
        <f>Calc!K78</f>
        <v>-497.61541699999998</v>
      </c>
      <c r="R30" s="87">
        <f>Calc!L78</f>
        <v>138.889816</v>
      </c>
      <c r="S30" s="85">
        <v>-1</v>
      </c>
      <c r="T30" s="88"/>
      <c r="U30" s="85"/>
      <c r="V30" s="89"/>
      <c r="W30" s="89"/>
      <c r="X30" s="89">
        <f>Calc!N78</f>
        <v>4.8050585677882007E-2</v>
      </c>
      <c r="Y30" s="89">
        <f>Calc!O78</f>
        <v>4.8037676826313103E-2</v>
      </c>
      <c r="Z30" s="89">
        <f>Calc!P78</f>
        <v>-5.4563164303891853E-2</v>
      </c>
      <c r="AA30" s="89">
        <f>Calc!Q78</f>
        <v>-5.4585926625387193E-2</v>
      </c>
      <c r="AB30" s="89">
        <f>Calc!R78</f>
        <v>1.5976909363131164</v>
      </c>
      <c r="AC30" s="89">
        <f>Calc!S78</f>
        <v>-1.5984489006430791</v>
      </c>
      <c r="AD30" s="89">
        <f>Calc!T78</f>
        <v>-1.5973778155061109</v>
      </c>
      <c r="AE30" s="89">
        <f>Calc!U78</f>
        <v>1.5991755157879184</v>
      </c>
      <c r="AF30" s="90">
        <v>41640</v>
      </c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  <c r="DJ30" s="91"/>
      <c r="DK30" s="91"/>
      <c r="DL30" s="91"/>
      <c r="DM30" s="91"/>
      <c r="DN30" s="91"/>
    </row>
    <row r="31" spans="1:118" s="84" customFormat="1" x14ac:dyDescent="0.2">
      <c r="A31" s="84" t="s">
        <v>63</v>
      </c>
      <c r="B31" s="84" t="str">
        <f>Calc!A79</f>
        <v>NRS_IFU_SLICE18</v>
      </c>
      <c r="C31" s="84" t="str">
        <f>DDC!B32</f>
        <v>NRS1_CNTR</v>
      </c>
      <c r="D31" s="84" t="s">
        <v>213</v>
      </c>
      <c r="E31" s="84" t="s">
        <v>82</v>
      </c>
      <c r="F31" s="85"/>
      <c r="G31" s="85"/>
      <c r="H31" s="86"/>
      <c r="I31" s="86"/>
      <c r="J31" s="85"/>
      <c r="K31" s="85"/>
      <c r="L31" s="86"/>
      <c r="M31" s="86"/>
      <c r="N31" s="87"/>
      <c r="O31" s="87"/>
      <c r="P31" s="87">
        <f>Calc!J79</f>
        <v>299.41244499999999</v>
      </c>
      <c r="Q31" s="87">
        <f>Calc!K79</f>
        <v>-498.856628</v>
      </c>
      <c r="R31" s="87">
        <f>Calc!L79</f>
        <v>138.89645400000001</v>
      </c>
      <c r="S31" s="85">
        <v>-1</v>
      </c>
      <c r="T31" s="88"/>
      <c r="U31" s="85"/>
      <c r="V31" s="89"/>
      <c r="W31" s="89"/>
      <c r="X31" s="89">
        <f>Calc!N79</f>
        <v>4.9542814436838056E-2</v>
      </c>
      <c r="Y31" s="89">
        <f>Calc!O79</f>
        <v>4.9525650187639103E-2</v>
      </c>
      <c r="Z31" s="89">
        <f>Calc!P79</f>
        <v>-5.4319272656914497E-2</v>
      </c>
      <c r="AA31" s="89">
        <f>Calc!Q79</f>
        <v>-5.4332172681807234E-2</v>
      </c>
      <c r="AB31" s="89">
        <f>Calc!R79</f>
        <v>1.5978132048593157</v>
      </c>
      <c r="AC31" s="89">
        <f>Calc!S79</f>
        <v>-1.5986548829192335</v>
      </c>
      <c r="AD31" s="89">
        <f>Calc!T79</f>
        <v>-1.5971193281614964</v>
      </c>
      <c r="AE31" s="89">
        <f>Calc!U79</f>
        <v>1.5989177640956684</v>
      </c>
      <c r="AF31" s="90">
        <v>41640</v>
      </c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</row>
    <row r="32" spans="1:118" s="84" customFormat="1" x14ac:dyDescent="0.2">
      <c r="A32" s="84" t="s">
        <v>63</v>
      </c>
      <c r="B32" s="84" t="str">
        <f>Calc!A80</f>
        <v>NRS_IFU_SLICE19</v>
      </c>
      <c r="C32" s="84" t="str">
        <f>DDC!B33</f>
        <v>NRS1_CNTR</v>
      </c>
      <c r="D32" s="84" t="s">
        <v>213</v>
      </c>
      <c r="E32" s="84" t="s">
        <v>82</v>
      </c>
      <c r="F32" s="85"/>
      <c r="G32" s="85"/>
      <c r="H32" s="86"/>
      <c r="I32" s="86"/>
      <c r="J32" s="85"/>
      <c r="K32" s="85"/>
      <c r="L32" s="86"/>
      <c r="M32" s="86"/>
      <c r="N32" s="87"/>
      <c r="O32" s="87"/>
      <c r="P32" s="87">
        <f>Calc!J80</f>
        <v>300.87606799999998</v>
      </c>
      <c r="Q32" s="87">
        <f>Calc!K80</f>
        <v>-497.54699699999998</v>
      </c>
      <c r="R32" s="87">
        <f>Calc!L80</f>
        <v>138.88945000000001</v>
      </c>
      <c r="S32" s="85">
        <v>-1</v>
      </c>
      <c r="T32" s="88"/>
      <c r="U32" s="85"/>
      <c r="V32" s="89"/>
      <c r="W32" s="89"/>
      <c r="X32" s="89">
        <f>Calc!N80</f>
        <v>4.7937414069748274E-2</v>
      </c>
      <c r="Y32" s="89">
        <f>Calc!O80</f>
        <v>4.7933414134080921E-2</v>
      </c>
      <c r="Z32" s="89">
        <f>Calc!P80</f>
        <v>-5.4582832394228009E-2</v>
      </c>
      <c r="AA32" s="89">
        <f>Calc!Q80</f>
        <v>-5.4590340180502017E-2</v>
      </c>
      <c r="AB32" s="89">
        <f>Calc!R80</f>
        <v>1.5974381364022889</v>
      </c>
      <c r="AC32" s="89">
        <f>Calc!S80</f>
        <v>-1.598224645467067</v>
      </c>
      <c r="AD32" s="89">
        <f>Calc!T80</f>
        <v>-1.5972024919817571</v>
      </c>
      <c r="AE32" s="89">
        <f>Calc!U80</f>
        <v>1.5989373449916897</v>
      </c>
      <c r="AF32" s="90">
        <v>41640</v>
      </c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</row>
    <row r="33" spans="1:118" s="84" customFormat="1" x14ac:dyDescent="0.2">
      <c r="A33" s="84" t="s">
        <v>63</v>
      </c>
      <c r="B33" s="84" t="str">
        <f>Calc!A81</f>
        <v>NRS_IFU_SLICE20</v>
      </c>
      <c r="C33" s="84" t="str">
        <f>DDC!B34</f>
        <v>NRS1_CNTR</v>
      </c>
      <c r="D33" s="84" t="s">
        <v>213</v>
      </c>
      <c r="E33" s="84" t="s">
        <v>82</v>
      </c>
      <c r="F33" s="85"/>
      <c r="G33" s="85"/>
      <c r="H33" s="86"/>
      <c r="I33" s="86"/>
      <c r="J33" s="85"/>
      <c r="K33" s="85"/>
      <c r="L33" s="86"/>
      <c r="M33" s="86"/>
      <c r="N33" s="87"/>
      <c r="O33" s="87"/>
      <c r="P33" s="87">
        <f>Calc!J81</f>
        <v>299.334991</v>
      </c>
      <c r="Q33" s="87">
        <f>Calc!K81</f>
        <v>-498.92596400000002</v>
      </c>
      <c r="R33" s="87">
        <f>Calc!L81</f>
        <v>138.89681999999999</v>
      </c>
      <c r="S33" s="85">
        <v>-1</v>
      </c>
      <c r="T33" s="88"/>
      <c r="U33" s="85"/>
      <c r="V33" s="89"/>
      <c r="W33" s="89"/>
      <c r="X33" s="89">
        <f>Calc!N81</f>
        <v>4.9624383892220458E-2</v>
      </c>
      <c r="Y33" s="89">
        <f>Calc!O81</f>
        <v>4.9616867935593723E-2</v>
      </c>
      <c r="Z33" s="89">
        <f>Calc!P81</f>
        <v>-5.4291410763253056E-2</v>
      </c>
      <c r="AA33" s="89">
        <f>Calc!Q81</f>
        <v>-5.4295807782808514E-2</v>
      </c>
      <c r="AB33" s="89">
        <f>Calc!R81</f>
        <v>1.5975911512236975</v>
      </c>
      <c r="AC33" s="89">
        <f>Calc!S81</f>
        <v>-1.5984459410506637</v>
      </c>
      <c r="AD33" s="89">
        <f>Calc!T81</f>
        <v>-1.5968827267853667</v>
      </c>
      <c r="AE33" s="89">
        <f>Calc!U81</f>
        <v>1.598656928979489</v>
      </c>
      <c r="AF33" s="90">
        <v>41640</v>
      </c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</row>
    <row r="34" spans="1:118" s="84" customFormat="1" x14ac:dyDescent="0.2">
      <c r="A34" s="84" t="s">
        <v>63</v>
      </c>
      <c r="B34" s="84" t="str">
        <f>Calc!A82</f>
        <v>NRS_IFU_SLICE21</v>
      </c>
      <c r="C34" s="84" t="str">
        <f>DDC!B35</f>
        <v>NRS1_CNTR</v>
      </c>
      <c r="D34" s="84" t="s">
        <v>213</v>
      </c>
      <c r="E34" s="84" t="s">
        <v>82</v>
      </c>
      <c r="F34" s="85"/>
      <c r="G34" s="85"/>
      <c r="H34" s="86"/>
      <c r="I34" s="86"/>
      <c r="J34" s="85"/>
      <c r="K34" s="85"/>
      <c r="L34" s="86"/>
      <c r="M34" s="86"/>
      <c r="N34" s="87"/>
      <c r="O34" s="87"/>
      <c r="P34" s="87">
        <f>Calc!J82</f>
        <v>300.95245399999999</v>
      </c>
      <c r="Q34" s="87">
        <f>Calc!K82</f>
        <v>-497.47863799999999</v>
      </c>
      <c r="R34" s="87">
        <f>Calc!L82</f>
        <v>138.889084</v>
      </c>
      <c r="S34" s="85">
        <v>-1</v>
      </c>
      <c r="T34" s="88"/>
      <c r="U34" s="85"/>
      <c r="V34" s="89"/>
      <c r="W34" s="89"/>
      <c r="X34" s="89">
        <f>Calc!N82</f>
        <v>4.7846191318628661E-2</v>
      </c>
      <c r="Y34" s="89">
        <f>Calc!O82</f>
        <v>4.7832026158747709E-2</v>
      </c>
      <c r="Z34" s="89">
        <f>Calc!P82</f>
        <v>-5.4555829815510104E-2</v>
      </c>
      <c r="AA34" s="89">
        <f>Calc!Q82</f>
        <v>-5.4572243470305537E-2</v>
      </c>
      <c r="AB34" s="89">
        <f>Calc!R82</f>
        <v>1.5972058141130088</v>
      </c>
      <c r="AC34" s="89">
        <f>Calc!S82</f>
        <v>-1.5979580629802084</v>
      </c>
      <c r="AD34" s="89">
        <f>Calc!T82</f>
        <v>-1.59694529301823</v>
      </c>
      <c r="AE34" s="89">
        <f>Calc!U82</f>
        <v>1.5987174888114777</v>
      </c>
      <c r="AF34" s="90">
        <v>41640</v>
      </c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  <c r="DJ34" s="91"/>
      <c r="DK34" s="91"/>
      <c r="DL34" s="91"/>
      <c r="DM34" s="91"/>
      <c r="DN34" s="91"/>
    </row>
    <row r="35" spans="1:118" s="84" customFormat="1" x14ac:dyDescent="0.2">
      <c r="A35" s="84" t="s">
        <v>63</v>
      </c>
      <c r="B35" s="84" t="str">
        <f>Calc!A83</f>
        <v>NRS_IFU_SLICE22</v>
      </c>
      <c r="C35" s="84" t="str">
        <f>DDC!B36</f>
        <v>NRS1_CNTR</v>
      </c>
      <c r="D35" s="84" t="s">
        <v>213</v>
      </c>
      <c r="E35" s="84" t="s">
        <v>82</v>
      </c>
      <c r="F35" s="85"/>
      <c r="G35" s="85"/>
      <c r="H35" s="86"/>
      <c r="I35" s="86"/>
      <c r="J35" s="85"/>
      <c r="K35" s="85"/>
      <c r="L35" s="86"/>
      <c r="M35" s="86"/>
      <c r="N35" s="87"/>
      <c r="O35" s="87"/>
      <c r="P35" s="87">
        <f>Calc!J83</f>
        <v>299.25750699999998</v>
      </c>
      <c r="Q35" s="87">
        <f>Calc!K83</f>
        <v>-498.99529999999999</v>
      </c>
      <c r="R35" s="87">
        <f>Calc!L83</f>
        <v>138.89720199999999</v>
      </c>
      <c r="S35" s="85">
        <v>-1</v>
      </c>
      <c r="T35" s="88"/>
      <c r="U35" s="85"/>
      <c r="V35" s="89"/>
      <c r="W35" s="89"/>
      <c r="X35" s="89">
        <f>Calc!N83</f>
        <v>4.9683790643658909E-2</v>
      </c>
      <c r="Y35" s="89">
        <f>Calc!O83</f>
        <v>4.9666882496255949E-2</v>
      </c>
      <c r="Z35" s="89">
        <f>Calc!P83</f>
        <v>-5.4241481897366661E-2</v>
      </c>
      <c r="AA35" s="89">
        <f>Calc!Q83</f>
        <v>-5.4259657274048911E-2</v>
      </c>
      <c r="AB35" s="89">
        <f>Calc!R83</f>
        <v>1.5973493603693394</v>
      </c>
      <c r="AC35" s="89">
        <f>Calc!S83</f>
        <v>-1.5981902953538096</v>
      </c>
      <c r="AD35" s="89">
        <f>Calc!T83</f>
        <v>-1.5966277992589499</v>
      </c>
      <c r="AE35" s="89">
        <f>Calc!U83</f>
        <v>1.5983968621473745</v>
      </c>
      <c r="AF35" s="90">
        <v>41640</v>
      </c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91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91"/>
      <c r="CD35" s="91"/>
      <c r="CE35" s="91"/>
      <c r="CF35" s="91"/>
      <c r="CG35" s="91"/>
      <c r="CH35" s="91"/>
      <c r="CI35" s="91"/>
      <c r="CJ35" s="91"/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</row>
    <row r="36" spans="1:118" s="84" customFormat="1" x14ac:dyDescent="0.2">
      <c r="A36" s="84" t="s">
        <v>63</v>
      </c>
      <c r="B36" s="84" t="str">
        <f>Calc!A84</f>
        <v>NRS_IFU_SLICE23</v>
      </c>
      <c r="C36" s="84" t="str">
        <f>DDC!B37</f>
        <v>NRS1_CNTR</v>
      </c>
      <c r="D36" s="84" t="s">
        <v>213</v>
      </c>
      <c r="E36" s="84" t="s">
        <v>82</v>
      </c>
      <c r="F36" s="85"/>
      <c r="G36" s="85"/>
      <c r="H36" s="86"/>
      <c r="I36" s="86"/>
      <c r="J36" s="85"/>
      <c r="K36" s="85"/>
      <c r="L36" s="86"/>
      <c r="M36" s="86"/>
      <c r="N36" s="87"/>
      <c r="O36" s="87"/>
      <c r="P36" s="87">
        <f>Calc!J84</f>
        <v>301.02877799999999</v>
      </c>
      <c r="Q36" s="87">
        <f>Calc!K84</f>
        <v>-497.41037</v>
      </c>
      <c r="R36" s="87">
        <f>Calc!L84</f>
        <v>138.888733</v>
      </c>
      <c r="S36" s="85">
        <v>-1</v>
      </c>
      <c r="T36" s="88"/>
      <c r="U36" s="85"/>
      <c r="V36" s="89"/>
      <c r="W36" s="89"/>
      <c r="X36" s="89">
        <f>Calc!N84</f>
        <v>4.7730566803758867E-2</v>
      </c>
      <c r="Y36" s="89">
        <f>Calc!O84</f>
        <v>4.7730312415601661E-2</v>
      </c>
      <c r="Z36" s="89">
        <f>Calc!P84</f>
        <v>-5.4551098126010777E-2</v>
      </c>
      <c r="AA36" s="89">
        <f>Calc!Q84</f>
        <v>-5.4556506877687538E-2</v>
      </c>
      <c r="AB36" s="89">
        <f>Calc!R84</f>
        <v>1.5969106703587659</v>
      </c>
      <c r="AC36" s="89">
        <f>Calc!S84</f>
        <v>-1.5976900833921639</v>
      </c>
      <c r="AD36" s="89">
        <f>Calc!T84</f>
        <v>-1.5967071476783639</v>
      </c>
      <c r="AE36" s="89">
        <f>Calc!U84</f>
        <v>1.5984567294416743</v>
      </c>
      <c r="AF36" s="90">
        <v>41640</v>
      </c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91"/>
      <c r="CD36" s="91"/>
      <c r="CE36" s="91"/>
      <c r="CF36" s="91"/>
      <c r="CG36" s="91"/>
      <c r="CH36" s="91"/>
      <c r="CI36" s="91"/>
      <c r="CJ36" s="91"/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</row>
    <row r="37" spans="1:118" s="84" customFormat="1" x14ac:dyDescent="0.2">
      <c r="A37" s="84" t="s">
        <v>63</v>
      </c>
      <c r="B37" s="84" t="str">
        <f>Calc!A85</f>
        <v>NRS_IFU_SLICE24</v>
      </c>
      <c r="C37" s="84" t="str">
        <f>DDC!B38</f>
        <v>NRS1_CNTR</v>
      </c>
      <c r="D37" s="84" t="s">
        <v>213</v>
      </c>
      <c r="E37" s="84" t="s">
        <v>82</v>
      </c>
      <c r="F37" s="85"/>
      <c r="G37" s="85"/>
      <c r="H37" s="86"/>
      <c r="I37" s="86"/>
      <c r="J37" s="85"/>
      <c r="K37" s="85"/>
      <c r="L37" s="86"/>
      <c r="M37" s="86"/>
      <c r="N37" s="87"/>
      <c r="O37" s="87"/>
      <c r="P37" s="87">
        <f>Calc!J85</f>
        <v>299.17999300000002</v>
      </c>
      <c r="Q37" s="87">
        <f>Calc!K85</f>
        <v>-499.06466699999999</v>
      </c>
      <c r="R37" s="87">
        <f>Calc!L85</f>
        <v>138.89756800000001</v>
      </c>
      <c r="S37" s="85">
        <v>-1</v>
      </c>
      <c r="T37" s="88"/>
      <c r="U37" s="85"/>
      <c r="V37" s="89"/>
      <c r="W37" s="89"/>
      <c r="X37" s="89">
        <f>Calc!N85</f>
        <v>4.9762470393534319E-2</v>
      </c>
      <c r="Y37" s="89">
        <f>Calc!O85</f>
        <v>4.9760236256006452E-2</v>
      </c>
      <c r="Z37" s="89">
        <f>Calc!P85</f>
        <v>-5.418812386724281E-2</v>
      </c>
      <c r="AA37" s="89">
        <f>Calc!Q85</f>
        <v>-5.4204426559134822E-2</v>
      </c>
      <c r="AB37" s="89">
        <f>Calc!R85</f>
        <v>1.5970849766199979</v>
      </c>
      <c r="AC37" s="89">
        <f>Calc!S85</f>
        <v>-1.597939684837242</v>
      </c>
      <c r="AD37" s="89">
        <f>Calc!T85</f>
        <v>-1.5963291483781687</v>
      </c>
      <c r="AE37" s="89">
        <f>Calc!U85</f>
        <v>1.5981113518119805</v>
      </c>
      <c r="AF37" s="90">
        <v>41640</v>
      </c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91"/>
      <c r="CD37" s="91"/>
      <c r="CE37" s="91"/>
      <c r="CF37" s="91"/>
      <c r="CG37" s="91"/>
      <c r="CH37" s="91"/>
      <c r="CI37" s="91"/>
      <c r="CJ37" s="91"/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</row>
    <row r="38" spans="1:118" s="84" customFormat="1" x14ac:dyDescent="0.2">
      <c r="A38" s="84" t="s">
        <v>63</v>
      </c>
      <c r="B38" s="84" t="str">
        <f>Calc!A86</f>
        <v>NRS_IFU_SLICE25</v>
      </c>
      <c r="C38" s="84" t="str">
        <f>DDC!B39</f>
        <v>NRS1_CNTR</v>
      </c>
      <c r="D38" s="84" t="s">
        <v>213</v>
      </c>
      <c r="E38" s="84" t="s">
        <v>82</v>
      </c>
      <c r="F38" s="85"/>
      <c r="G38" s="85"/>
      <c r="H38" s="86"/>
      <c r="I38" s="86"/>
      <c r="J38" s="85"/>
      <c r="K38" s="85"/>
      <c r="L38" s="86"/>
      <c r="M38" s="86"/>
      <c r="N38" s="87"/>
      <c r="O38" s="87"/>
      <c r="P38" s="87">
        <f>Calc!J86</f>
        <v>301.10501099999999</v>
      </c>
      <c r="Q38" s="87">
        <f>Calc!K86</f>
        <v>-497.34216300000003</v>
      </c>
      <c r="R38" s="87">
        <f>Calc!L86</f>
        <v>138.88836699999999</v>
      </c>
      <c r="S38" s="85">
        <v>-1</v>
      </c>
      <c r="T38" s="88"/>
      <c r="U38" s="85"/>
      <c r="V38" s="89"/>
      <c r="W38" s="89"/>
      <c r="X38" s="89">
        <f>Calc!N86</f>
        <v>4.7613116955704915E-2</v>
      </c>
      <c r="Y38" s="89">
        <f>Calc!O86</f>
        <v>4.7609287748113238E-2</v>
      </c>
      <c r="Z38" s="89">
        <f>Calc!P86</f>
        <v>-5.4543731879713175E-2</v>
      </c>
      <c r="AA38" s="89">
        <f>Calc!Q86</f>
        <v>-5.4563884297884169E-2</v>
      </c>
      <c r="AB38" s="89">
        <f>Calc!R86</f>
        <v>1.5966156336149673</v>
      </c>
      <c r="AC38" s="89">
        <f>Calc!S86</f>
        <v>-1.5973994897439259</v>
      </c>
      <c r="AD38" s="89">
        <f>Calc!T86</f>
        <v>-1.5964259344465836</v>
      </c>
      <c r="AE38" s="89">
        <f>Calc!U86</f>
        <v>1.5981748192407932</v>
      </c>
      <c r="AF38" s="90">
        <v>41640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</row>
    <row r="39" spans="1:118" s="84" customFormat="1" x14ac:dyDescent="0.2">
      <c r="A39" s="84" t="s">
        <v>63</v>
      </c>
      <c r="B39" s="84" t="str">
        <f>Calc!A87</f>
        <v>NRS_IFU_SLICE26</v>
      </c>
      <c r="C39" s="84" t="str">
        <f>DDC!B40</f>
        <v>NRS1_CNTR</v>
      </c>
      <c r="D39" s="84" t="s">
        <v>213</v>
      </c>
      <c r="E39" s="84" t="s">
        <v>82</v>
      </c>
      <c r="F39" s="85"/>
      <c r="G39" s="85"/>
      <c r="H39" s="86"/>
      <c r="I39" s="86"/>
      <c r="J39" s="85"/>
      <c r="K39" s="85"/>
      <c r="L39" s="86"/>
      <c r="M39" s="86"/>
      <c r="N39" s="87"/>
      <c r="O39" s="87"/>
      <c r="P39" s="87">
        <f>Calc!J87</f>
        <v>299.10247800000002</v>
      </c>
      <c r="Q39" s="87">
        <f>Calc!K87</f>
        <v>-499.13403299999999</v>
      </c>
      <c r="R39" s="87">
        <f>Calc!L87</f>
        <v>138.89794900000001</v>
      </c>
      <c r="S39" s="85">
        <v>-1</v>
      </c>
      <c r="T39" s="88"/>
      <c r="U39" s="85"/>
      <c r="V39" s="89"/>
      <c r="W39" s="89"/>
      <c r="X39" s="89">
        <f>Calc!N87</f>
        <v>4.9818205078726696E-2</v>
      </c>
      <c r="Y39" s="89">
        <f>Calc!O87</f>
        <v>4.981326568540867E-2</v>
      </c>
      <c r="Z39" s="89">
        <f>Calc!P87</f>
        <v>-5.4157786059374602E-2</v>
      </c>
      <c r="AA39" s="89">
        <f>Calc!Q87</f>
        <v>-5.4170537702478483E-2</v>
      </c>
      <c r="AB39" s="89">
        <f>Calc!R87</f>
        <v>1.5968001994133936</v>
      </c>
      <c r="AC39" s="89">
        <f>Calc!S87</f>
        <v>-1.5976403008145366</v>
      </c>
      <c r="AD39" s="89">
        <f>Calc!T87</f>
        <v>-1.5960502061383042</v>
      </c>
      <c r="AE39" s="89">
        <f>Calc!U87</f>
        <v>1.5978082012901083</v>
      </c>
      <c r="AF39" s="90">
        <v>41640</v>
      </c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</row>
    <row r="40" spans="1:118" s="84" customFormat="1" x14ac:dyDescent="0.2">
      <c r="A40" s="84" t="s">
        <v>63</v>
      </c>
      <c r="B40" s="84" t="str">
        <f>Calc!A88</f>
        <v>NRS_IFU_SLICE27</v>
      </c>
      <c r="C40" s="84" t="str">
        <f>DDC!B41</f>
        <v>NRS1_CNTR</v>
      </c>
      <c r="D40" s="84" t="s">
        <v>213</v>
      </c>
      <c r="E40" s="84" t="s">
        <v>82</v>
      </c>
      <c r="F40" s="85"/>
      <c r="G40" s="85"/>
      <c r="H40" s="86"/>
      <c r="I40" s="86"/>
      <c r="J40" s="85"/>
      <c r="K40" s="85"/>
      <c r="L40" s="86"/>
      <c r="M40" s="86"/>
      <c r="N40" s="87"/>
      <c r="O40" s="87"/>
      <c r="P40" s="87">
        <f>Calc!J88</f>
        <v>301.18112200000002</v>
      </c>
      <c r="Q40" s="87">
        <f>Calc!K88</f>
        <v>-497.27404799999999</v>
      </c>
      <c r="R40" s="87">
        <f>Calc!L88</f>
        <v>138.88800000000001</v>
      </c>
      <c r="S40" s="85">
        <v>-1</v>
      </c>
      <c r="T40" s="88"/>
      <c r="U40" s="85"/>
      <c r="V40" s="89"/>
      <c r="W40" s="89"/>
      <c r="X40" s="89">
        <f>Calc!N88</f>
        <v>4.7539382739235081E-2</v>
      </c>
      <c r="Y40" s="89">
        <f>Calc!O88</f>
        <v>4.7513109261675179E-2</v>
      </c>
      <c r="Z40" s="89">
        <f>Calc!P88</f>
        <v>-5.4512327640828362E-2</v>
      </c>
      <c r="AA40" s="89">
        <f>Calc!Q88</f>
        <v>-5.452895724469109E-2</v>
      </c>
      <c r="AB40" s="89">
        <f>Calc!R88</f>
        <v>1.5963176235930399</v>
      </c>
      <c r="AC40" s="89">
        <f>Calc!S88</f>
        <v>-1.597046088698213</v>
      </c>
      <c r="AD40" s="89">
        <f>Calc!T88</f>
        <v>-1.5961250920385854</v>
      </c>
      <c r="AE40" s="89">
        <f>Calc!U88</f>
        <v>1.5978900312793121</v>
      </c>
      <c r="AF40" s="90">
        <v>41640</v>
      </c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</row>
    <row r="41" spans="1:118" s="84" customFormat="1" x14ac:dyDescent="0.2">
      <c r="A41" s="84" t="s">
        <v>63</v>
      </c>
      <c r="B41" s="84" t="str">
        <f>Calc!A89</f>
        <v>NRS_IFU_SLICE28</v>
      </c>
      <c r="C41" s="84" t="str">
        <f>DDC!B42</f>
        <v>NRS1_CNTR</v>
      </c>
      <c r="D41" s="84" t="s">
        <v>213</v>
      </c>
      <c r="E41" s="84" t="s">
        <v>82</v>
      </c>
      <c r="F41" s="85"/>
      <c r="G41" s="85"/>
      <c r="H41" s="86"/>
      <c r="I41" s="86"/>
      <c r="J41" s="85"/>
      <c r="K41" s="85"/>
      <c r="L41" s="86"/>
      <c r="M41" s="86"/>
      <c r="N41" s="87"/>
      <c r="O41" s="87"/>
      <c r="P41" s="87">
        <f>Calc!J89</f>
        <v>299.02496300000001</v>
      </c>
      <c r="Q41" s="87">
        <f>Calc!K89</f>
        <v>-499.20339999999999</v>
      </c>
      <c r="R41" s="87">
        <f>Calc!L89</f>
        <v>138.898315</v>
      </c>
      <c r="S41" s="85">
        <v>-1</v>
      </c>
      <c r="T41" s="88"/>
      <c r="U41" s="85"/>
      <c r="V41" s="89"/>
      <c r="W41" s="89"/>
      <c r="X41" s="89">
        <f>Calc!N89</f>
        <v>4.98523226316826E-2</v>
      </c>
      <c r="Y41" s="89">
        <f>Calc!O89</f>
        <v>4.9844672210498819E-2</v>
      </c>
      <c r="Z41" s="89">
        <f>Calc!P89</f>
        <v>-5.4144521692259917E-2</v>
      </c>
      <c r="AA41" s="89">
        <f>Calc!Q89</f>
        <v>-5.4161184515704841E-2</v>
      </c>
      <c r="AB41" s="89">
        <f>Calc!R89</f>
        <v>1.596495616524249</v>
      </c>
      <c r="AC41" s="89">
        <f>Calc!S89</f>
        <v>-1.5973627909204571</v>
      </c>
      <c r="AD41" s="89">
        <f>Calc!T89</f>
        <v>-1.5957055904331638</v>
      </c>
      <c r="AE41" s="89">
        <f>Calc!U89</f>
        <v>1.5974839994982544</v>
      </c>
      <c r="AF41" s="90">
        <v>41640</v>
      </c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91"/>
      <c r="BG41" s="91"/>
      <c r="BH41" s="91"/>
      <c r="BI41" s="91"/>
      <c r="BJ41" s="91"/>
      <c r="BK41" s="91"/>
      <c r="BL41" s="91"/>
      <c r="BM41" s="91"/>
      <c r="BN41" s="91"/>
      <c r="BO41" s="91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1"/>
      <c r="CA41" s="91"/>
      <c r="CB41" s="91"/>
      <c r="CC41" s="91"/>
      <c r="CD41" s="91"/>
      <c r="CE41" s="91"/>
      <c r="CF41" s="91"/>
      <c r="CG41" s="91"/>
      <c r="CH41" s="91"/>
      <c r="CI41" s="91"/>
      <c r="CJ41" s="91"/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91"/>
      <c r="DC41" s="91"/>
      <c r="DD41" s="91"/>
      <c r="DE41" s="91"/>
      <c r="DF41" s="91"/>
      <c r="DG41" s="91"/>
      <c r="DH41" s="91"/>
      <c r="DI41" s="91"/>
      <c r="DJ41" s="91"/>
      <c r="DK41" s="91"/>
      <c r="DL41" s="91"/>
      <c r="DM41" s="91"/>
      <c r="DN41" s="91"/>
    </row>
    <row r="42" spans="1:118" s="84" customFormat="1" x14ac:dyDescent="0.2">
      <c r="A42" s="84" t="s">
        <v>63</v>
      </c>
      <c r="B42" s="84" t="str">
        <f>Calc!A90</f>
        <v>NRS_IFU_SLICE29</v>
      </c>
      <c r="C42" s="84" t="str">
        <f>DDC!B43</f>
        <v>NRS1_CNTR</v>
      </c>
      <c r="D42" s="84" t="s">
        <v>213</v>
      </c>
      <c r="E42" s="84" t="s">
        <v>82</v>
      </c>
      <c r="F42" s="85"/>
      <c r="G42" s="85"/>
      <c r="H42" s="86"/>
      <c r="I42" s="86"/>
      <c r="J42" s="85"/>
      <c r="K42" s="85"/>
      <c r="L42" s="86"/>
      <c r="M42" s="86"/>
      <c r="N42" s="87"/>
      <c r="O42" s="87"/>
      <c r="P42" s="87">
        <f>Calc!J90</f>
        <v>301.25717200000003</v>
      </c>
      <c r="Q42" s="87">
        <f>Calc!K90</f>
        <v>-497.20602400000001</v>
      </c>
      <c r="R42" s="87">
        <f>Calc!L90</f>
        <v>138.88763399999999</v>
      </c>
      <c r="S42" s="85">
        <v>-1</v>
      </c>
      <c r="T42" s="88"/>
      <c r="U42" s="85"/>
      <c r="V42" s="89"/>
      <c r="W42" s="89"/>
      <c r="X42" s="89">
        <f>Calc!N90</f>
        <v>4.7440105161019708E-2</v>
      </c>
      <c r="Y42" s="89">
        <f>Calc!O90</f>
        <v>4.7437282056408181E-2</v>
      </c>
      <c r="Z42" s="89">
        <f>Calc!P90</f>
        <v>-5.4502749743896683E-2</v>
      </c>
      <c r="AA42" s="89">
        <f>Calc!Q90</f>
        <v>-5.4496875170561898E-2</v>
      </c>
      <c r="AB42" s="89">
        <f>Calc!R90</f>
        <v>1.595956145987147</v>
      </c>
      <c r="AC42" s="89">
        <f>Calc!S90</f>
        <v>-1.5967160458441323</v>
      </c>
      <c r="AD42" s="89">
        <f>Calc!T90</f>
        <v>-1.5958007963929581</v>
      </c>
      <c r="AE42" s="89">
        <f>Calc!U90</f>
        <v>1.5975629160009741</v>
      </c>
      <c r="AF42" s="90">
        <v>41640</v>
      </c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91"/>
      <c r="BG42" s="91"/>
      <c r="BH42" s="91"/>
      <c r="BI42" s="91"/>
      <c r="BJ42" s="91"/>
      <c r="BK42" s="91"/>
      <c r="BL42" s="91"/>
      <c r="BM42" s="91"/>
      <c r="BN42" s="91"/>
      <c r="BO42" s="91"/>
      <c r="BP42" s="91"/>
      <c r="BQ42" s="91"/>
      <c r="BR42" s="91"/>
      <c r="BS42" s="91"/>
      <c r="BT42" s="91"/>
      <c r="BU42" s="91"/>
      <c r="BV42" s="91"/>
      <c r="BW42" s="91"/>
      <c r="BX42" s="91"/>
      <c r="BY42" s="91"/>
      <c r="BZ42" s="91"/>
      <c r="CA42" s="91"/>
      <c r="CB42" s="91"/>
      <c r="CC42" s="91"/>
      <c r="CD42" s="91"/>
      <c r="CE42" s="91"/>
      <c r="CF42" s="91"/>
      <c r="CG42" s="91"/>
      <c r="CH42" s="91"/>
      <c r="CI42" s="91"/>
      <c r="CJ42" s="91"/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91"/>
      <c r="DC42" s="91"/>
      <c r="DD42" s="91"/>
      <c r="DE42" s="91"/>
      <c r="DF42" s="91"/>
      <c r="DG42" s="91"/>
      <c r="DH42" s="91"/>
      <c r="DI42" s="91"/>
      <c r="DJ42" s="91"/>
      <c r="DK42" s="91"/>
      <c r="DL42" s="91"/>
      <c r="DM42" s="91"/>
      <c r="DN42" s="91"/>
    </row>
    <row r="43" spans="1:118" s="84" customFormat="1" x14ac:dyDescent="0.2">
      <c r="A43" s="84" t="s">
        <v>63</v>
      </c>
      <c r="B43" s="84" t="str">
        <f>Calc!A91</f>
        <v>NRS_FULL_MSA</v>
      </c>
      <c r="C43" s="84" t="str">
        <f>DDC!B44</f>
        <v>NRS_CNTR</v>
      </c>
      <c r="D43" s="84" t="s">
        <v>213</v>
      </c>
      <c r="E43" s="84" t="s">
        <v>82</v>
      </c>
      <c r="F43" s="85"/>
      <c r="G43" s="85"/>
      <c r="H43" s="86"/>
      <c r="I43" s="86"/>
      <c r="J43" s="85"/>
      <c r="K43" s="85"/>
      <c r="L43" s="86"/>
      <c r="M43" s="86"/>
      <c r="N43" s="87"/>
      <c r="O43" s="87"/>
      <c r="P43" s="87">
        <f>Calc!J91</f>
        <v>378.77123999999998</v>
      </c>
      <c r="Q43" s="87">
        <f>Calc!K91</f>
        <v>-428.15621900000002</v>
      </c>
      <c r="R43" s="87">
        <f>Calc!L91</f>
        <v>138.49234000000001</v>
      </c>
      <c r="S43" s="85">
        <v>-1</v>
      </c>
      <c r="T43" s="88"/>
      <c r="U43" s="85"/>
      <c r="V43" s="89"/>
      <c r="W43" s="89"/>
      <c r="X43" s="89">
        <f>Calc!N91</f>
        <v>110.17170175554141</v>
      </c>
      <c r="Y43" s="89">
        <f>Calc!O91</f>
        <v>108.62793947468398</v>
      </c>
      <c r="Z43" s="89">
        <f>Calc!P91</f>
        <v>-108.61840747713694</v>
      </c>
      <c r="AA43" s="89">
        <f>Calc!Q91</f>
        <v>-110.16221938986561</v>
      </c>
      <c r="AB43" s="89">
        <f>Calc!R91</f>
        <v>110.27889347534568</v>
      </c>
      <c r="AC43" s="89">
        <f>Calc!S91</f>
        <v>-107.71768232427907</v>
      </c>
      <c r="AD43" s="89">
        <f>Calc!T91</f>
        <v>-107.73927411876015</v>
      </c>
      <c r="AE43" s="89">
        <f>Calc!U91</f>
        <v>110.25307035590662</v>
      </c>
      <c r="AF43" s="90">
        <v>41640</v>
      </c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1"/>
      <c r="BR43" s="91"/>
      <c r="BS43" s="91"/>
      <c r="BT43" s="91"/>
      <c r="BU43" s="91"/>
      <c r="BV43" s="91"/>
      <c r="BW43" s="91"/>
      <c r="BX43" s="91"/>
      <c r="BY43" s="91"/>
      <c r="BZ43" s="91"/>
      <c r="CA43" s="91"/>
      <c r="CB43" s="91"/>
      <c r="CC43" s="91"/>
      <c r="CD43" s="91"/>
      <c r="CE43" s="91"/>
      <c r="CF43" s="91"/>
      <c r="CG43" s="91"/>
      <c r="CH43" s="91"/>
      <c r="CI43" s="91"/>
      <c r="CJ43" s="91"/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91"/>
      <c r="DC43" s="91"/>
      <c r="DD43" s="91"/>
      <c r="DE43" s="91"/>
      <c r="DF43" s="91"/>
      <c r="DG43" s="91"/>
      <c r="DH43" s="91"/>
      <c r="DI43" s="91"/>
      <c r="DJ43" s="91"/>
      <c r="DK43" s="91"/>
      <c r="DL43" s="91"/>
      <c r="DM43" s="91"/>
      <c r="DN43" s="91"/>
    </row>
    <row r="44" spans="1:118" s="84" customFormat="1" x14ac:dyDescent="0.2">
      <c r="A44" s="84" t="s">
        <v>63</v>
      </c>
      <c r="B44" s="84" t="str">
        <f>Calc!A92</f>
        <v>NRS_FULL_MSA1</v>
      </c>
      <c r="C44" s="84" t="str">
        <f>DDC!B45</f>
        <v>NRS2_CNTR</v>
      </c>
      <c r="D44" s="84" t="s">
        <v>213</v>
      </c>
      <c r="E44" s="84" t="s">
        <v>82</v>
      </c>
      <c r="F44" s="85"/>
      <c r="G44" s="85"/>
      <c r="H44" s="86"/>
      <c r="I44" s="86"/>
      <c r="J44" s="85"/>
      <c r="K44" s="85"/>
      <c r="L44" s="86"/>
      <c r="M44" s="86"/>
      <c r="N44" s="87"/>
      <c r="O44" s="87"/>
      <c r="P44" s="87">
        <f>Calc!J92</f>
        <v>466.48266599999999</v>
      </c>
      <c r="Q44" s="87">
        <f>Calc!K92</f>
        <v>-436.16449</v>
      </c>
      <c r="R44" s="87">
        <f>Calc!L92</f>
        <v>138.24217200000001</v>
      </c>
      <c r="S44" s="85">
        <v>-1</v>
      </c>
      <c r="T44" s="88"/>
      <c r="U44" s="85"/>
      <c r="V44" s="89"/>
      <c r="W44" s="89"/>
      <c r="X44" s="89">
        <f>Calc!N92</f>
        <v>49.283408415726797</v>
      </c>
      <c r="Y44" s="89">
        <f>Calc!O92</f>
        <v>48.962379465772642</v>
      </c>
      <c r="Z44" s="89">
        <f>Calc!P92</f>
        <v>-48.869347257751109</v>
      </c>
      <c r="AA44" s="89">
        <f>Calc!Q92</f>
        <v>-49.190381208107418</v>
      </c>
      <c r="AB44" s="89">
        <f>Calc!R92</f>
        <v>46.367099893223418</v>
      </c>
      <c r="AC44" s="89">
        <f>Calc!S92</f>
        <v>-45.082443550513233</v>
      </c>
      <c r="AD44" s="89">
        <f>Calc!T92</f>
        <v>-45.851918592670017</v>
      </c>
      <c r="AE44" s="89">
        <f>Calc!U92</f>
        <v>45.549118168538783</v>
      </c>
      <c r="AF44" s="90">
        <v>41640</v>
      </c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1"/>
      <c r="BR44" s="91"/>
      <c r="BS44" s="91"/>
      <c r="BT44" s="91"/>
      <c r="BU44" s="91"/>
      <c r="BV44" s="91"/>
      <c r="BW44" s="91"/>
      <c r="BX44" s="91"/>
      <c r="BY44" s="91"/>
      <c r="BZ44" s="91"/>
      <c r="CA44" s="91"/>
      <c r="CB44" s="91"/>
      <c r="CC44" s="91"/>
      <c r="CD44" s="91"/>
      <c r="CE44" s="91"/>
      <c r="CF44" s="91"/>
      <c r="CG44" s="91"/>
      <c r="CH44" s="91"/>
      <c r="CI44" s="91"/>
      <c r="CJ44" s="91"/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91"/>
      <c r="DC44" s="91"/>
      <c r="DD44" s="91"/>
      <c r="DE44" s="91"/>
      <c r="DF44" s="91"/>
      <c r="DG44" s="91"/>
      <c r="DH44" s="91"/>
      <c r="DI44" s="91"/>
      <c r="DJ44" s="91"/>
      <c r="DK44" s="91"/>
      <c r="DL44" s="91"/>
      <c r="DM44" s="91"/>
      <c r="DN44" s="91"/>
    </row>
    <row r="45" spans="1:118" s="84" customFormat="1" x14ac:dyDescent="0.2">
      <c r="A45" s="84" t="s">
        <v>63</v>
      </c>
      <c r="B45" s="84" t="str">
        <f>Calc!A93</f>
        <v>NRS_FULL_MSA2</v>
      </c>
      <c r="C45" s="84" t="str">
        <f>DDC!B46</f>
        <v>NRS2_CNTR</v>
      </c>
      <c r="D45" s="84" t="s">
        <v>213</v>
      </c>
      <c r="E45" s="84" t="s">
        <v>82</v>
      </c>
      <c r="F45" s="85"/>
      <c r="G45" s="85"/>
      <c r="H45" s="86"/>
      <c r="I45" s="86"/>
      <c r="J45" s="85"/>
      <c r="K45" s="85"/>
      <c r="L45" s="86"/>
      <c r="M45" s="86"/>
      <c r="N45" s="87"/>
      <c r="O45" s="87"/>
      <c r="P45" s="87">
        <f>Calc!J93</f>
        <v>381.88983200000001</v>
      </c>
      <c r="Q45" s="87">
        <f>Calc!K93</f>
        <v>-340.88668799999999</v>
      </c>
      <c r="R45" s="87">
        <f>Calc!L93</f>
        <v>138.29615799999999</v>
      </c>
      <c r="S45" s="85">
        <v>-1</v>
      </c>
      <c r="T45" s="88"/>
      <c r="U45" s="85"/>
      <c r="V45" s="89"/>
      <c r="W45" s="89"/>
      <c r="X45" s="89">
        <f>Calc!N93</f>
        <v>48.855967424810473</v>
      </c>
      <c r="Y45" s="89">
        <f>Calc!O93</f>
        <v>48.609098749211249</v>
      </c>
      <c r="Z45" s="89">
        <f>Calc!P93</f>
        <v>-48.488451393379748</v>
      </c>
      <c r="AA45" s="89">
        <f>Calc!Q93</f>
        <v>-48.735319404704001</v>
      </c>
      <c r="AB45" s="89">
        <f>Calc!R93</f>
        <v>45.262120798178209</v>
      </c>
      <c r="AC45" s="89">
        <f>Calc!S93</f>
        <v>-44.264974389362926</v>
      </c>
      <c r="AD45" s="89">
        <f>Calc!T93</f>
        <v>-44.812902868163818</v>
      </c>
      <c r="AE45" s="89">
        <f>Calc!U93</f>
        <v>44.614602190540118</v>
      </c>
      <c r="AF45" s="90">
        <v>41640</v>
      </c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1"/>
      <c r="BR45" s="91"/>
      <c r="BS45" s="91"/>
      <c r="BT45" s="91"/>
      <c r="BU45" s="91"/>
      <c r="BV45" s="91"/>
      <c r="BW45" s="91"/>
      <c r="BX45" s="91"/>
      <c r="BY45" s="91"/>
      <c r="BZ45" s="91"/>
      <c r="CA45" s="91"/>
      <c r="CB45" s="91"/>
      <c r="CC45" s="91"/>
      <c r="CD45" s="91"/>
      <c r="CE45" s="91"/>
      <c r="CF45" s="91"/>
      <c r="CG45" s="91"/>
      <c r="CH45" s="91"/>
      <c r="CI45" s="91"/>
      <c r="CJ45" s="91"/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91"/>
      <c r="DC45" s="91"/>
      <c r="DD45" s="91"/>
      <c r="DE45" s="91"/>
      <c r="DF45" s="91"/>
      <c r="DG45" s="91"/>
      <c r="DH45" s="91"/>
      <c r="DI45" s="91"/>
      <c r="DJ45" s="91"/>
      <c r="DK45" s="91"/>
      <c r="DL45" s="91"/>
      <c r="DM45" s="91"/>
      <c r="DN45" s="91"/>
    </row>
    <row r="46" spans="1:118" s="84" customFormat="1" x14ac:dyDescent="0.2">
      <c r="A46" s="84" t="s">
        <v>63</v>
      </c>
      <c r="B46" s="84" t="str">
        <f>Calc!A94</f>
        <v>NRS_FULL_MSA3</v>
      </c>
      <c r="C46" s="84" t="str">
        <f>DDC!B47</f>
        <v>NRS1_CNTR</v>
      </c>
      <c r="D46" s="84" t="s">
        <v>213</v>
      </c>
      <c r="E46" s="84" t="s">
        <v>82</v>
      </c>
      <c r="F46" s="85"/>
      <c r="G46" s="85"/>
      <c r="H46" s="86"/>
      <c r="I46" s="86"/>
      <c r="J46" s="85"/>
      <c r="K46" s="85"/>
      <c r="L46" s="86"/>
      <c r="M46" s="86"/>
      <c r="N46" s="87"/>
      <c r="O46" s="87"/>
      <c r="P46" s="87">
        <f>Calc!J94</f>
        <v>375.82324199999999</v>
      </c>
      <c r="Q46" s="87">
        <f>Calc!K94</f>
        <v>-516.36651600000005</v>
      </c>
      <c r="R46" s="87">
        <f>Calc!L94</f>
        <v>138.742065</v>
      </c>
      <c r="S46" s="85">
        <v>-1</v>
      </c>
      <c r="T46" s="88"/>
      <c r="U46" s="85"/>
      <c r="V46" s="89"/>
      <c r="W46" s="89"/>
      <c r="X46" s="89">
        <f>Calc!N94</f>
        <v>49.192116413983648</v>
      </c>
      <c r="Y46" s="89">
        <f>Calc!O94</f>
        <v>48.870742148315571</v>
      </c>
      <c r="Z46" s="89">
        <f>Calc!P94</f>
        <v>-48.960944812665097</v>
      </c>
      <c r="AA46" s="89">
        <f>Calc!Q94</f>
        <v>-49.28231863487251</v>
      </c>
      <c r="AB46" s="89">
        <f>Calc!R94</f>
        <v>45.551655207948322</v>
      </c>
      <c r="AC46" s="89">
        <f>Calc!S94</f>
        <v>-45.832570362361608</v>
      </c>
      <c r="AD46" s="89">
        <f>Calc!T94</f>
        <v>-45.084508145714359</v>
      </c>
      <c r="AE46" s="89">
        <f>Calc!U94</f>
        <v>46.347658747401873</v>
      </c>
      <c r="AF46" s="90">
        <v>41640</v>
      </c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1"/>
      <c r="BG46" s="91"/>
      <c r="BH46" s="91"/>
      <c r="BI46" s="91"/>
      <c r="BJ46" s="91"/>
      <c r="BK46" s="91"/>
      <c r="BL46" s="91"/>
      <c r="BM46" s="91"/>
      <c r="BN46" s="91"/>
      <c r="BO46" s="91"/>
      <c r="BP46" s="91"/>
      <c r="BQ46" s="91"/>
      <c r="BR46" s="91"/>
      <c r="BS46" s="91"/>
      <c r="BT46" s="91"/>
      <c r="BU46" s="91"/>
      <c r="BV46" s="91"/>
      <c r="BW46" s="91"/>
      <c r="BX46" s="91"/>
      <c r="BY46" s="91"/>
      <c r="BZ46" s="91"/>
      <c r="CA46" s="91"/>
      <c r="CB46" s="91"/>
      <c r="CC46" s="91"/>
      <c r="CD46" s="91"/>
      <c r="CE46" s="91"/>
      <c r="CF46" s="91"/>
      <c r="CG46" s="91"/>
      <c r="CH46" s="91"/>
      <c r="CI46" s="91"/>
      <c r="CJ46" s="91"/>
      <c r="CK46" s="91"/>
      <c r="CL46" s="91"/>
      <c r="CM46" s="91"/>
      <c r="CN46" s="91"/>
      <c r="CO46" s="91"/>
      <c r="CP46" s="91"/>
      <c r="CQ46" s="91"/>
      <c r="CR46" s="91"/>
      <c r="CS46" s="91"/>
      <c r="CT46" s="91"/>
      <c r="CU46" s="91"/>
      <c r="CV46" s="91"/>
      <c r="CW46" s="91"/>
      <c r="CX46" s="91"/>
      <c r="CY46" s="91"/>
      <c r="CZ46" s="91"/>
      <c r="DA46" s="91"/>
      <c r="DB46" s="91"/>
      <c r="DC46" s="91"/>
      <c r="DD46" s="91"/>
      <c r="DE46" s="91"/>
      <c r="DF46" s="91"/>
      <c r="DG46" s="91"/>
      <c r="DH46" s="91"/>
      <c r="DI46" s="91"/>
      <c r="DJ46" s="91"/>
      <c r="DK46" s="91"/>
      <c r="DL46" s="91"/>
      <c r="DM46" s="91"/>
      <c r="DN46" s="91"/>
    </row>
    <row r="47" spans="1:118" s="84" customFormat="1" x14ac:dyDescent="0.2">
      <c r="A47" s="84" t="s">
        <v>63</v>
      </c>
      <c r="B47" s="84" t="str">
        <f>Calc!A95</f>
        <v>NRS_FULL_MSA4</v>
      </c>
      <c r="C47" s="84" t="str">
        <f>DDC!B48</f>
        <v>NRS1_CNTR</v>
      </c>
      <c r="D47" s="84" t="s">
        <v>213</v>
      </c>
      <c r="E47" s="84" t="s">
        <v>82</v>
      </c>
      <c r="F47" s="85"/>
      <c r="G47" s="85"/>
      <c r="H47" s="86"/>
      <c r="I47" s="86"/>
      <c r="J47" s="85"/>
      <c r="K47" s="85"/>
      <c r="L47" s="86"/>
      <c r="M47" s="86"/>
      <c r="N47" s="87"/>
      <c r="O47" s="87"/>
      <c r="P47" s="87">
        <f>Calc!J95</f>
        <v>291.77462800000001</v>
      </c>
      <c r="Q47" s="87">
        <f>Calc!K95</f>
        <v>-420.64465300000001</v>
      </c>
      <c r="R47" s="87">
        <f>Calc!L95</f>
        <v>138.68983499999999</v>
      </c>
      <c r="S47" s="85">
        <v>-1</v>
      </c>
      <c r="T47" s="88"/>
      <c r="U47" s="85"/>
      <c r="V47" s="89"/>
      <c r="W47" s="89"/>
      <c r="X47" s="89">
        <f>Calc!N95</f>
        <v>48.731006898562335</v>
      </c>
      <c r="Y47" s="89">
        <f>Calc!O95</f>
        <v>48.48390242544238</v>
      </c>
      <c r="Z47" s="89">
        <f>Calc!P95</f>
        <v>-48.600576274010479</v>
      </c>
      <c r="AA47" s="89">
        <f>Calc!Q95</f>
        <v>-48.847708887441819</v>
      </c>
      <c r="AB47" s="89">
        <f>Calc!R95</f>
        <v>44.619143908041629</v>
      </c>
      <c r="AC47" s="89">
        <f>Calc!S95</f>
        <v>-44.799001547597236</v>
      </c>
      <c r="AD47" s="89">
        <f>Calc!T95</f>
        <v>-44.268142303139307</v>
      </c>
      <c r="AE47" s="89">
        <f>Calc!U95</f>
        <v>45.247266174277087</v>
      </c>
      <c r="AF47" s="90">
        <v>41640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1"/>
      <c r="BQ47" s="91"/>
      <c r="BR47" s="91"/>
      <c r="BS47" s="91"/>
      <c r="BT47" s="91"/>
      <c r="BU47" s="91"/>
      <c r="BV47" s="91"/>
      <c r="BW47" s="91"/>
      <c r="BX47" s="91"/>
      <c r="BY47" s="91"/>
      <c r="BZ47" s="91"/>
      <c r="CA47" s="91"/>
      <c r="CB47" s="91"/>
      <c r="CC47" s="91"/>
      <c r="CD47" s="91"/>
      <c r="CE47" s="91"/>
      <c r="CF47" s="91"/>
      <c r="CG47" s="91"/>
      <c r="CH47" s="91"/>
      <c r="CI47" s="91"/>
      <c r="CJ47" s="91"/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91"/>
      <c r="DC47" s="91"/>
      <c r="DD47" s="91"/>
      <c r="DE47" s="91"/>
      <c r="DF47" s="91"/>
      <c r="DG47" s="91"/>
      <c r="DH47" s="91"/>
      <c r="DI47" s="91"/>
      <c r="DJ47" s="91"/>
      <c r="DK47" s="91"/>
      <c r="DL47" s="91"/>
      <c r="DM47" s="91"/>
      <c r="DN47" s="91"/>
    </row>
    <row r="48" spans="1:118" s="84" customFormat="1" x14ac:dyDescent="0.2">
      <c r="A48" s="84" t="s">
        <v>63</v>
      </c>
      <c r="B48" s="84" t="str">
        <f>Calc!A96</f>
        <v>NRS_VIGNETTED_MSA</v>
      </c>
      <c r="C48" s="84" t="str">
        <f>DDC!B49</f>
        <v>NRS_CNTR</v>
      </c>
      <c r="D48" s="84" t="s">
        <v>213</v>
      </c>
      <c r="E48" s="84" t="s">
        <v>82</v>
      </c>
      <c r="F48" s="85"/>
      <c r="G48" s="85"/>
      <c r="H48" s="86"/>
      <c r="I48" s="86"/>
      <c r="J48" s="85"/>
      <c r="K48" s="85"/>
      <c r="L48" s="86"/>
      <c r="M48" s="86"/>
      <c r="N48" s="87"/>
      <c r="O48" s="87"/>
      <c r="P48" s="87">
        <f>Calc!J96</f>
        <v>378.56683299999997</v>
      </c>
      <c r="Q48" s="87">
        <f>Calc!K96</f>
        <v>-428.334045</v>
      </c>
      <c r="R48" s="87">
        <f>Calc!L96</f>
        <v>138.493301</v>
      </c>
      <c r="S48" s="85">
        <v>-1</v>
      </c>
      <c r="T48" s="88"/>
      <c r="U48" s="85"/>
      <c r="V48" s="89"/>
      <c r="W48" s="89"/>
      <c r="X48" s="89">
        <f>Calc!N96</f>
        <v>108.22093625108546</v>
      </c>
      <c r="Y48" s="89">
        <f>Calc!O96</f>
        <v>106.78722630819307</v>
      </c>
      <c r="Z48" s="89">
        <f>Calc!P96</f>
        <v>-106.78050938180432</v>
      </c>
      <c r="AA48" s="89">
        <f>Calc!Q96</f>
        <v>-108.21418675788298</v>
      </c>
      <c r="AB48" s="89">
        <f>Calc!R96</f>
        <v>103.8006751357434</v>
      </c>
      <c r="AC48" s="89">
        <f>Calc!S96</f>
        <v>-101.47627883207372</v>
      </c>
      <c r="AD48" s="89">
        <f>Calc!T96</f>
        <v>-101.49205572084668</v>
      </c>
      <c r="AE48" s="89">
        <f>Calc!U96</f>
        <v>103.78257290125541</v>
      </c>
      <c r="AF48" s="90">
        <v>41640</v>
      </c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/>
      <c r="BF48" s="91"/>
      <c r="BG48" s="91"/>
      <c r="BH48" s="91"/>
      <c r="BI48" s="91"/>
      <c r="BJ48" s="91"/>
      <c r="BK48" s="91"/>
      <c r="BL48" s="91"/>
      <c r="BM48" s="91"/>
      <c r="BN48" s="91"/>
      <c r="BO48" s="91"/>
      <c r="BP48" s="91"/>
      <c r="BQ48" s="91"/>
      <c r="BR48" s="91"/>
      <c r="BS48" s="91"/>
      <c r="BT48" s="91"/>
      <c r="BU48" s="91"/>
      <c r="BV48" s="91"/>
      <c r="BW48" s="91"/>
      <c r="BX48" s="91"/>
      <c r="BY48" s="91"/>
      <c r="BZ48" s="91"/>
      <c r="CA48" s="91"/>
      <c r="CB48" s="91"/>
      <c r="CC48" s="91"/>
      <c r="CD48" s="91"/>
      <c r="CE48" s="91"/>
      <c r="CF48" s="91"/>
      <c r="CG48" s="91"/>
      <c r="CH48" s="91"/>
      <c r="CI48" s="91"/>
      <c r="CJ48" s="91"/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91"/>
      <c r="DB48" s="91"/>
      <c r="DC48" s="91"/>
      <c r="DD48" s="91"/>
      <c r="DE48" s="91"/>
      <c r="DF48" s="91"/>
      <c r="DG48" s="91"/>
      <c r="DH48" s="91"/>
      <c r="DI48" s="91"/>
      <c r="DJ48" s="91"/>
      <c r="DK48" s="91"/>
      <c r="DL48" s="91"/>
      <c r="DM48" s="91"/>
      <c r="DN48" s="91"/>
    </row>
    <row r="49" spans="1:118" s="84" customFormat="1" x14ac:dyDescent="0.2">
      <c r="A49" s="84" t="s">
        <v>63</v>
      </c>
      <c r="B49" s="84" t="str">
        <f>Calc!A97</f>
        <v>NRS_VIGNETTED_MSA1</v>
      </c>
      <c r="C49" s="84" t="str">
        <f>DDC!B50</f>
        <v>NRS2_CNTR</v>
      </c>
      <c r="D49" s="84" t="s">
        <v>213</v>
      </c>
      <c r="E49" s="84" t="s">
        <v>82</v>
      </c>
      <c r="F49" s="85"/>
      <c r="G49" s="85"/>
      <c r="H49" s="86"/>
      <c r="I49" s="86"/>
      <c r="J49" s="85"/>
      <c r="K49" s="85"/>
      <c r="L49" s="86"/>
      <c r="M49" s="86"/>
      <c r="N49" s="87"/>
      <c r="O49" s="87"/>
      <c r="P49" s="87">
        <f>Calc!J97</f>
        <v>463.52795400000002</v>
      </c>
      <c r="Q49" s="87">
        <f>Calc!K97</f>
        <v>-434.49075299999998</v>
      </c>
      <c r="R49" s="87">
        <f>Calc!L97</f>
        <v>138.24707000000001</v>
      </c>
      <c r="S49" s="85">
        <v>-1</v>
      </c>
      <c r="T49" s="88"/>
      <c r="U49" s="85"/>
      <c r="V49" s="89"/>
      <c r="W49" s="89"/>
      <c r="X49" s="89">
        <f>Calc!N97</f>
        <v>48.162246063058809</v>
      </c>
      <c r="Y49" s="89">
        <f>Calc!O97</f>
        <v>47.870914606231466</v>
      </c>
      <c r="Z49" s="89">
        <f>Calc!P97</f>
        <v>-47.783534028148765</v>
      </c>
      <c r="AA49" s="89">
        <f>Calc!Q97</f>
        <v>-48.074837092429682</v>
      </c>
      <c r="AB49" s="89">
        <f>Calc!R97</f>
        <v>43.090809813612104</v>
      </c>
      <c r="AC49" s="89">
        <f>Calc!S97</f>
        <v>-41.892143814835265</v>
      </c>
      <c r="AD49" s="89">
        <f>Calc!T97</f>
        <v>-42.630694373724182</v>
      </c>
      <c r="AE49" s="89">
        <f>Calc!U97</f>
        <v>42.307482003457238</v>
      </c>
      <c r="AF49" s="90">
        <v>41640</v>
      </c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/>
      <c r="BF49" s="91"/>
      <c r="BG49" s="91"/>
      <c r="BH49" s="91"/>
      <c r="BI49" s="91"/>
      <c r="BJ49" s="91"/>
      <c r="BK49" s="91"/>
      <c r="BL49" s="91"/>
      <c r="BM49" s="91"/>
      <c r="BN49" s="91"/>
      <c r="BO49" s="91"/>
      <c r="BP49" s="91"/>
      <c r="BQ49" s="91"/>
      <c r="BR49" s="91"/>
      <c r="BS49" s="91"/>
      <c r="BT49" s="91"/>
      <c r="BU49" s="91"/>
      <c r="BV49" s="91"/>
      <c r="BW49" s="91"/>
      <c r="BX49" s="91"/>
      <c r="BY49" s="91"/>
      <c r="BZ49" s="91"/>
      <c r="CA49" s="91"/>
      <c r="CB49" s="91"/>
      <c r="CC49" s="91"/>
      <c r="CD49" s="91"/>
      <c r="CE49" s="91"/>
      <c r="CF49" s="91"/>
      <c r="CG49" s="91"/>
      <c r="CH49" s="91"/>
      <c r="CI49" s="91"/>
      <c r="CJ49" s="91"/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91"/>
      <c r="DB49" s="91"/>
      <c r="DC49" s="91"/>
      <c r="DD49" s="91"/>
      <c r="DE49" s="91"/>
      <c r="DF49" s="91"/>
      <c r="DG49" s="91"/>
      <c r="DH49" s="91"/>
      <c r="DI49" s="91"/>
      <c r="DJ49" s="91"/>
      <c r="DK49" s="91"/>
      <c r="DL49" s="91"/>
      <c r="DM49" s="91"/>
      <c r="DN49" s="91"/>
    </row>
    <row r="50" spans="1:118" s="84" customFormat="1" x14ac:dyDescent="0.2">
      <c r="A50" s="84" t="s">
        <v>63</v>
      </c>
      <c r="B50" s="84" t="str">
        <f>Calc!A98</f>
        <v>NRS_VIGNETTED_MSA2</v>
      </c>
      <c r="C50" s="84" t="str">
        <f>DDC!B51</f>
        <v>NRS2_CNTR</v>
      </c>
      <c r="D50" s="84" t="s">
        <v>213</v>
      </c>
      <c r="E50" s="84" t="s">
        <v>82</v>
      </c>
      <c r="F50" s="85"/>
      <c r="G50" s="85"/>
      <c r="H50" s="86"/>
      <c r="I50" s="86"/>
      <c r="J50" s="85"/>
      <c r="K50" s="85"/>
      <c r="L50" s="86"/>
      <c r="M50" s="86"/>
      <c r="N50" s="87"/>
      <c r="O50" s="87"/>
      <c r="P50" s="87">
        <f>Calc!J98</f>
        <v>383.17626999999999</v>
      </c>
      <c r="Q50" s="87">
        <f>Calc!K98</f>
        <v>-343.93856799999998</v>
      </c>
      <c r="R50" s="87">
        <f>Calc!L98</f>
        <v>138.29753099999999</v>
      </c>
      <c r="S50" s="85">
        <v>-1</v>
      </c>
      <c r="T50" s="88"/>
      <c r="U50" s="85"/>
      <c r="V50" s="89"/>
      <c r="W50" s="89"/>
      <c r="X50" s="89">
        <f>Calc!N98</f>
        <v>47.77376561569784</v>
      </c>
      <c r="Y50" s="89">
        <f>Calc!O98</f>
        <v>47.546731649885906</v>
      </c>
      <c r="Z50" s="89">
        <f>Calc!P98</f>
        <v>-47.435697699569012</v>
      </c>
      <c r="AA50" s="89">
        <f>Calc!Q98</f>
        <v>-47.662729884807113</v>
      </c>
      <c r="AB50" s="89">
        <f>Calc!R98</f>
        <v>42.107252121781016</v>
      </c>
      <c r="AC50" s="89">
        <f>Calc!S98</f>
        <v>-41.166832805447648</v>
      </c>
      <c r="AD50" s="89">
        <f>Calc!T98</f>
        <v>-41.704524979367768</v>
      </c>
      <c r="AE50" s="89">
        <f>Calc!U98</f>
        <v>41.481378382652593</v>
      </c>
      <c r="AF50" s="90">
        <v>41640</v>
      </c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1"/>
      <c r="BG50" s="91"/>
      <c r="BH50" s="91"/>
      <c r="BI50" s="91"/>
      <c r="BJ50" s="91"/>
      <c r="BK50" s="91"/>
      <c r="BL50" s="91"/>
      <c r="BM50" s="91"/>
      <c r="BN50" s="91"/>
      <c r="BO50" s="91"/>
      <c r="BP50" s="91"/>
      <c r="BQ50" s="91"/>
      <c r="BR50" s="91"/>
      <c r="BS50" s="91"/>
      <c r="BT50" s="91"/>
      <c r="BU50" s="91"/>
      <c r="BV50" s="91"/>
      <c r="BW50" s="91"/>
      <c r="BX50" s="91"/>
      <c r="BY50" s="91"/>
      <c r="BZ50" s="91"/>
      <c r="CA50" s="91"/>
      <c r="CB50" s="91"/>
      <c r="CC50" s="91"/>
      <c r="CD50" s="91"/>
      <c r="CE50" s="91"/>
      <c r="CF50" s="91"/>
      <c r="CG50" s="91"/>
      <c r="CH50" s="91"/>
      <c r="CI50" s="91"/>
      <c r="CJ50" s="91"/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91"/>
      <c r="DC50" s="91"/>
      <c r="DD50" s="91"/>
      <c r="DE50" s="91"/>
      <c r="DF50" s="91"/>
      <c r="DG50" s="91"/>
      <c r="DH50" s="91"/>
      <c r="DI50" s="91"/>
      <c r="DJ50" s="91"/>
      <c r="DK50" s="91"/>
      <c r="DL50" s="91"/>
      <c r="DM50" s="91"/>
      <c r="DN50" s="91"/>
    </row>
    <row r="51" spans="1:118" s="84" customFormat="1" x14ac:dyDescent="0.2">
      <c r="A51" s="84" t="s">
        <v>63</v>
      </c>
      <c r="B51" s="84" t="str">
        <f>Calc!A99</f>
        <v>NRS_VIGNETTED_MSA3</v>
      </c>
      <c r="C51" s="84" t="str">
        <f>DDC!B52</f>
        <v>NRS1_CNTR</v>
      </c>
      <c r="D51" s="84" t="s">
        <v>213</v>
      </c>
      <c r="E51" s="84" t="s">
        <v>82</v>
      </c>
      <c r="F51" s="85"/>
      <c r="G51" s="85"/>
      <c r="H51" s="86"/>
      <c r="I51" s="86"/>
      <c r="J51" s="85"/>
      <c r="K51" s="85"/>
      <c r="L51" s="86"/>
      <c r="M51" s="86"/>
      <c r="N51" s="87"/>
      <c r="O51" s="87"/>
      <c r="P51" s="87">
        <f>Calc!J99</f>
        <v>374.610657</v>
      </c>
      <c r="Q51" s="87">
        <f>Calc!K99</f>
        <v>-513.14965800000004</v>
      </c>
      <c r="R51" s="87">
        <f>Calc!L99</f>
        <v>138.73674</v>
      </c>
      <c r="S51" s="85">
        <v>-1</v>
      </c>
      <c r="T51" s="88"/>
      <c r="U51" s="85"/>
      <c r="V51" s="89"/>
      <c r="W51" s="89"/>
      <c r="X51" s="89">
        <f>Calc!N99</f>
        <v>47.954711314046179</v>
      </c>
      <c r="Y51" s="89">
        <f>Calc!O99</f>
        <v>47.663825788221693</v>
      </c>
      <c r="Z51" s="89">
        <f>Calc!P99</f>
        <v>-47.747990706155143</v>
      </c>
      <c r="AA51" s="89">
        <f>Calc!Q99</f>
        <v>-48.038868199929567</v>
      </c>
      <c r="AB51" s="89">
        <f>Calc!R99</f>
        <v>42.311076556954731</v>
      </c>
      <c r="AC51" s="89">
        <f>Calc!S99</f>
        <v>-42.610206164055583</v>
      </c>
      <c r="AD51" s="89">
        <f>Calc!T99</f>
        <v>-41.895771712770248</v>
      </c>
      <c r="AE51" s="89">
        <f>Calc!U99</f>
        <v>43.069495756291502</v>
      </c>
      <c r="AF51" s="90">
        <v>41640</v>
      </c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91"/>
      <c r="BL51" s="91"/>
      <c r="BM51" s="91"/>
      <c r="BN51" s="91"/>
      <c r="BO51" s="91"/>
      <c r="BP51" s="91"/>
      <c r="BQ51" s="91"/>
      <c r="BR51" s="91"/>
      <c r="BS51" s="91"/>
      <c r="BT51" s="91"/>
      <c r="BU51" s="91"/>
      <c r="BV51" s="91"/>
      <c r="BW51" s="91"/>
      <c r="BX51" s="91"/>
      <c r="BY51" s="91"/>
      <c r="BZ51" s="91"/>
      <c r="CA51" s="91"/>
      <c r="CB51" s="91"/>
      <c r="CC51" s="91"/>
      <c r="CD51" s="91"/>
      <c r="CE51" s="91"/>
      <c r="CF51" s="91"/>
      <c r="CG51" s="91"/>
      <c r="CH51" s="91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91"/>
      <c r="DC51" s="91"/>
      <c r="DD51" s="91"/>
      <c r="DE51" s="91"/>
      <c r="DF51" s="91"/>
      <c r="DG51" s="91"/>
      <c r="DH51" s="91"/>
      <c r="DI51" s="91"/>
      <c r="DJ51" s="91"/>
      <c r="DK51" s="91"/>
      <c r="DL51" s="91"/>
      <c r="DM51" s="91"/>
      <c r="DN51" s="91"/>
    </row>
    <row r="52" spans="1:118" s="84" customFormat="1" x14ac:dyDescent="0.2">
      <c r="A52" s="84" t="s">
        <v>63</v>
      </c>
      <c r="B52" s="84" t="str">
        <f>Calc!A100</f>
        <v>NRS_VIGNETTED_MSA4</v>
      </c>
      <c r="C52" s="84" t="str">
        <f>DDC!B53</f>
        <v>NRS1_CNTR</v>
      </c>
      <c r="D52" s="84" t="s">
        <v>213</v>
      </c>
      <c r="E52" s="84" t="s">
        <v>82</v>
      </c>
      <c r="F52" s="85"/>
      <c r="G52" s="85"/>
      <c r="H52" s="86"/>
      <c r="I52" s="86"/>
      <c r="J52" s="85"/>
      <c r="K52" s="85"/>
      <c r="L52" s="86"/>
      <c r="M52" s="86"/>
      <c r="N52" s="87"/>
      <c r="O52" s="87"/>
      <c r="P52" s="87">
        <f>Calc!J100</f>
        <v>294.618652</v>
      </c>
      <c r="Q52" s="87">
        <f>Calc!K100</f>
        <v>-422.668182</v>
      </c>
      <c r="R52" s="87">
        <f>Calc!L100</f>
        <v>138.68937700000001</v>
      </c>
      <c r="S52" s="85">
        <v>-1</v>
      </c>
      <c r="T52" s="88"/>
      <c r="U52" s="85"/>
      <c r="V52" s="89"/>
      <c r="W52" s="89"/>
      <c r="X52" s="89">
        <f>Calc!N100</f>
        <v>47.930199736513487</v>
      </c>
      <c r="Y52" s="89">
        <f>Calc!O100</f>
        <v>47.702954238460009</v>
      </c>
      <c r="Z52" s="89">
        <f>Calc!P100</f>
        <v>-47.811564904608993</v>
      </c>
      <c r="AA52" s="89">
        <f>Calc!Q100</f>
        <v>-48.038813776437856</v>
      </c>
      <c r="AB52" s="89">
        <f>Calc!R100</f>
        <v>41.221795082866748</v>
      </c>
      <c r="AC52" s="89">
        <f>Calc!S100</f>
        <v>-41.434831158245579</v>
      </c>
      <c r="AD52" s="89">
        <f>Calc!T100</f>
        <v>-40.907970549122204</v>
      </c>
      <c r="AE52" s="89">
        <f>Calc!U100</f>
        <v>41.83497316356037</v>
      </c>
      <c r="AF52" s="90">
        <v>41640</v>
      </c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1"/>
      <c r="BV52" s="91"/>
      <c r="BW52" s="91"/>
      <c r="BX52" s="91"/>
      <c r="BY52" s="91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91"/>
      <c r="DC52" s="91"/>
      <c r="DD52" s="91"/>
      <c r="DE52" s="91"/>
      <c r="DF52" s="91"/>
      <c r="DG52" s="91"/>
      <c r="DH52" s="91"/>
      <c r="DI52" s="91"/>
      <c r="DJ52" s="91"/>
      <c r="DK52" s="91"/>
      <c r="DL52" s="91"/>
      <c r="DM52" s="91"/>
      <c r="DN52" s="91"/>
    </row>
    <row r="53" spans="1:118" s="84" customFormat="1" x14ac:dyDescent="0.2">
      <c r="A53" s="84" t="s">
        <v>63</v>
      </c>
      <c r="B53" s="84" t="str">
        <f>Calc!A101</f>
        <v>NRS_FIELD1_MSA4</v>
      </c>
      <c r="C53" s="84" t="str">
        <f>DDC!B54</f>
        <v>NRS1_CNTR</v>
      </c>
      <c r="D53" s="84" t="s">
        <v>213</v>
      </c>
      <c r="E53" s="84" t="s">
        <v>82</v>
      </c>
      <c r="F53" s="85"/>
      <c r="G53" s="85"/>
      <c r="H53" s="86"/>
      <c r="I53" s="86"/>
      <c r="J53" s="85"/>
      <c r="K53" s="85"/>
      <c r="L53" s="86"/>
      <c r="M53" s="86"/>
      <c r="N53" s="87"/>
      <c r="O53" s="87"/>
      <c r="P53" s="87">
        <f>Calc!J101</f>
        <v>299.52664199999998</v>
      </c>
      <c r="Q53" s="87">
        <f>Calc!K101</f>
        <v>-456.59893799999998</v>
      </c>
      <c r="R53" s="87">
        <f>Calc!L101</f>
        <v>138.493301</v>
      </c>
      <c r="S53" s="85">
        <v>-1</v>
      </c>
      <c r="T53" s="88"/>
      <c r="U53" s="85"/>
      <c r="V53" s="89"/>
      <c r="W53" s="89"/>
      <c r="X53" s="89">
        <f>Calc!N101</f>
        <v>186.14377528923197</v>
      </c>
      <c r="Y53" s="89">
        <f>Calc!O101</f>
        <v>184.71006534633955</v>
      </c>
      <c r="Z53" s="89">
        <f>Calc!P101</f>
        <v>-28.857670343657837</v>
      </c>
      <c r="AA53" s="89">
        <f>Calc!Q101</f>
        <v>-30.291347719736486</v>
      </c>
      <c r="AB53" s="89">
        <f>Calc!R101</f>
        <v>135.01424791831732</v>
      </c>
      <c r="AC53" s="89">
        <f>Calc!S101</f>
        <v>-70.262706049499769</v>
      </c>
      <c r="AD53" s="89">
        <f>Calc!T101</f>
        <v>-70.278482938272759</v>
      </c>
      <c r="AE53" s="89">
        <f>Calc!U101</f>
        <v>134.99614568382935</v>
      </c>
      <c r="AF53" s="90">
        <v>41640</v>
      </c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1"/>
      <c r="BR53" s="91"/>
      <c r="BS53" s="91"/>
      <c r="BT53" s="91"/>
      <c r="BU53" s="91"/>
      <c r="BV53" s="91"/>
      <c r="BW53" s="91"/>
      <c r="BX53" s="91"/>
      <c r="BY53" s="91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</row>
    <row r="54" spans="1:118" s="84" customFormat="1" x14ac:dyDescent="0.2">
      <c r="A54" s="84" t="s">
        <v>63</v>
      </c>
      <c r="B54" s="84" t="str">
        <f>Calc!A102</f>
        <v>NRS_FIELD2_MSA4</v>
      </c>
      <c r="C54" s="84" t="str">
        <f>DDC!B55</f>
        <v>NRS_CNTR</v>
      </c>
      <c r="D54" s="84" t="s">
        <v>213</v>
      </c>
      <c r="E54" s="84" t="s">
        <v>82</v>
      </c>
      <c r="F54" s="85"/>
      <c r="G54" s="85"/>
      <c r="H54" s="86"/>
      <c r="I54" s="86"/>
      <c r="J54" s="85"/>
      <c r="K54" s="85"/>
      <c r="L54" s="86"/>
      <c r="M54" s="86"/>
      <c r="N54" s="87"/>
      <c r="O54" s="87"/>
      <c r="P54" s="87">
        <f>Calc!J102</f>
        <v>299.25775099999998</v>
      </c>
      <c r="Q54" s="87">
        <f>Calc!K102</f>
        <v>-423.09698500000002</v>
      </c>
      <c r="R54" s="87">
        <f>Calc!L102</f>
        <v>138.493301</v>
      </c>
      <c r="S54" s="85">
        <v>-1</v>
      </c>
      <c r="T54" s="88"/>
      <c r="U54" s="85"/>
      <c r="V54" s="89"/>
      <c r="W54" s="89"/>
      <c r="X54" s="89">
        <f>Calc!N102</f>
        <v>164.14314266237059</v>
      </c>
      <c r="Y54" s="89">
        <f>Calc!O102</f>
        <v>162.7094327194782</v>
      </c>
      <c r="Z54" s="89">
        <f>Calc!P102</f>
        <v>-50.85830297051919</v>
      </c>
      <c r="AA54" s="89">
        <f>Calc!Q102</f>
        <v>-52.291980346597832</v>
      </c>
      <c r="AB54" s="89">
        <f>Calc!R102</f>
        <v>160.28132771005369</v>
      </c>
      <c r="AC54" s="89">
        <f>Calc!S102</f>
        <v>-44.995626257763448</v>
      </c>
      <c r="AD54" s="89">
        <f>Calc!T102</f>
        <v>-45.011403146536409</v>
      </c>
      <c r="AE54" s="89">
        <f>Calc!U102</f>
        <v>160.26322547556566</v>
      </c>
      <c r="AF54" s="90">
        <v>41640</v>
      </c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1"/>
      <c r="BR54" s="91"/>
      <c r="BS54" s="91"/>
      <c r="BT54" s="91"/>
      <c r="BU54" s="91"/>
      <c r="BV54" s="91"/>
      <c r="BW54" s="91"/>
      <c r="BX54" s="91"/>
      <c r="BY54" s="91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91"/>
      <c r="DC54" s="91"/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</row>
    <row r="55" spans="1:118" x14ac:dyDescent="0.2">
      <c r="A55" t="s">
        <v>63</v>
      </c>
      <c r="B55" t="s">
        <v>216</v>
      </c>
      <c r="C55" s="84" t="str">
        <f>DDC!B56</f>
        <v>NRS1_CNTR</v>
      </c>
      <c r="D55" t="s">
        <v>213</v>
      </c>
      <c r="E55" t="s">
        <v>82</v>
      </c>
      <c r="F55" s="31"/>
      <c r="G55" s="31"/>
      <c r="H55" s="30"/>
      <c r="I55" s="30"/>
      <c r="J55" s="31"/>
      <c r="K55" s="31"/>
      <c r="L55" s="30"/>
      <c r="M55" s="30"/>
      <c r="N55" s="3"/>
      <c r="O55" s="3"/>
      <c r="P55" s="87">
        <f>P10</f>
        <v>321.53195199999999</v>
      </c>
      <c r="Q55" s="87">
        <f>Q10</f>
        <v>-473.67919899999998</v>
      </c>
      <c r="R55" s="3">
        <f>R10</f>
        <v>138.77143899999999</v>
      </c>
      <c r="S55" s="31">
        <f>S10</f>
        <v>-1</v>
      </c>
      <c r="T55" s="29"/>
      <c r="U55" s="31"/>
      <c r="V55" s="7"/>
      <c r="W55" s="7"/>
      <c r="X55" s="7">
        <f t="shared" ref="X55:AE55" si="3">X10</f>
        <v>0.79960980763367095</v>
      </c>
      <c r="Y55" s="7">
        <f t="shared" si="3"/>
        <v>0.79955125255697712</v>
      </c>
      <c r="Z55" s="7">
        <f t="shared" si="3"/>
        <v>-0.79955900810195768</v>
      </c>
      <c r="AA55" s="7">
        <f t="shared" si="3"/>
        <v>-0.7996499578207541</v>
      </c>
      <c r="AB55" s="7">
        <f t="shared" si="3"/>
        <v>0.79472696023293343</v>
      </c>
      <c r="AC55" s="7">
        <f t="shared" si="3"/>
        <v>-0.80844852595544969</v>
      </c>
      <c r="AD55" s="7">
        <f t="shared" si="3"/>
        <v>-0.79460133616044604</v>
      </c>
      <c r="AE55" s="7">
        <f t="shared" si="3"/>
        <v>0.80860668179922057</v>
      </c>
      <c r="AF55" s="28">
        <v>41640</v>
      </c>
    </row>
    <row r="56" spans="1:118" x14ac:dyDescent="0.2">
      <c r="A56" t="s">
        <v>63</v>
      </c>
      <c r="B56" t="s">
        <v>217</v>
      </c>
      <c r="C56" s="84" t="str">
        <f>DDC!B57</f>
        <v>NRS1_CNTR</v>
      </c>
      <c r="D56" t="s">
        <v>212</v>
      </c>
      <c r="E56" t="s">
        <v>82</v>
      </c>
      <c r="F56" s="31">
        <v>2048</v>
      </c>
      <c r="G56" s="31">
        <v>2048</v>
      </c>
      <c r="H56">
        <v>1134</v>
      </c>
      <c r="I56">
        <v>185</v>
      </c>
      <c r="J56" s="31">
        <v>2048</v>
      </c>
      <c r="K56" s="31">
        <v>2048</v>
      </c>
      <c r="L56" s="30">
        <f>H56</f>
        <v>1134</v>
      </c>
      <c r="M56" s="30">
        <f t="shared" ref="M56" si="4">I56</f>
        <v>185</v>
      </c>
      <c r="N56" s="3">
        <f>Calc!P36</f>
        <v>0.10357357079345995</v>
      </c>
      <c r="O56" s="3">
        <f>Calc!Q36</f>
        <v>0.10650443647607406</v>
      </c>
      <c r="P56" s="3">
        <f>Calc!F36</f>
        <v>245.1088140194498</v>
      </c>
      <c r="Q56" s="3">
        <f>Calc!G36</f>
        <v>-429.2698126308087</v>
      </c>
      <c r="R56" s="3">
        <f t="shared" ref="R56:R59" si="5">W56</f>
        <v>137.41336522061829</v>
      </c>
      <c r="S56" s="31">
        <v>-1</v>
      </c>
      <c r="T56" s="29">
        <v>0</v>
      </c>
      <c r="U56" s="31">
        <v>1</v>
      </c>
      <c r="V56" s="7">
        <f>Calc!R36</f>
        <v>49.336964671181136</v>
      </c>
      <c r="W56" s="7">
        <f>Calc!S36</f>
        <v>137.41336522061829</v>
      </c>
      <c r="X56" s="7">
        <f>$S56*(Calc!R48-$P56)*COS(RADIANS($R56))-$S56*(Calc!W48-$Q56)*SIN(RADIANS($R56))</f>
        <v>-116.07065369685581</v>
      </c>
      <c r="Y56" s="7">
        <f>$S56*(Calc!S48-$P56)*COS(RADIANS($R56))-$S56*(Calc!X48-$Q56)*SIN(RADIANS($R56))</f>
        <v>93.567966873702574</v>
      </c>
      <c r="Z56" s="7">
        <f>$S56*(Calc!T48-$P56)*COS(RADIANS($R56))-$S56*(Calc!Y48-$Q56)*SIN(RADIANS($R56))</f>
        <v>89.547391647625744</v>
      </c>
      <c r="AA56" s="7">
        <f>$S56*(Calc!U48-$P56)*COS(RADIANS($R56))-$S56*(Calc!Z48-$Q56)*SIN(RADIANS($R56))</f>
        <v>-124.62592106436168</v>
      </c>
      <c r="AB56" s="7">
        <f>(Calc!R48-$P56)*SIN(RADIANS($R56))+(Calc!W48-$Q56)*COS(RADIANS($R56))</f>
        <v>-20.815792685859783</v>
      </c>
      <c r="AC56" s="7">
        <f>(Calc!S48-$P56)*SIN(RADIANS($R56))+(Calc!X48-$Q56)*COS(RADIANS($R56))</f>
        <v>-17.464709242367206</v>
      </c>
      <c r="AD56" s="7">
        <f>(Calc!T48-$P56)*SIN(RADIANS($R56))+(Calc!Y48-$Q56)*COS(RADIANS($R56))</f>
        <v>198.13877372391994</v>
      </c>
      <c r="AE56" s="7">
        <f>(Calc!U48-$P56)*SIN(RADIANS($R56))+(Calc!Z48-$Q56)*COS(RADIANS($R56))</f>
        <v>195.46825814765458</v>
      </c>
      <c r="AF56" s="28">
        <v>41640</v>
      </c>
      <c r="AH56">
        <v>5</v>
      </c>
      <c r="AI56" s="69">
        <f>Calc!E25</f>
        <v>-6.0432996197747044E-2</v>
      </c>
      <c r="AJ56" s="69">
        <f>Calc!F25</f>
        <v>6.2919633238118055E-5</v>
      </c>
      <c r="AK56" s="69">
        <f>Calc!G25</f>
        <v>-2.0228935996909074E-7</v>
      </c>
      <c r="AL56" s="69">
        <f>Calc!H25</f>
        <v>-2.7669058239991809E-10</v>
      </c>
      <c r="AM56" s="69">
        <f>Calc!I25</f>
        <v>7.9092470185744135E-10</v>
      </c>
      <c r="AN56" s="69">
        <f>Calc!J25</f>
        <v>-1.3963393900474907E-10</v>
      </c>
      <c r="AO56" s="69">
        <f>Calc!K25</f>
        <v>8.4077713203888076E-14</v>
      </c>
      <c r="AP56" s="69">
        <f>Calc!L25</f>
        <v>8.7365054771670984E-15</v>
      </c>
      <c r="AQ56" s="69">
        <f>Calc!M25</f>
        <v>9.2772793342717289E-14</v>
      </c>
      <c r="AR56" s="69">
        <f>Calc!N25</f>
        <v>3.2622178951095442E-14</v>
      </c>
      <c r="AS56" s="69">
        <f>Calc!O25</f>
        <v>7.188945643738631E-18</v>
      </c>
      <c r="AT56" s="69">
        <f>Calc!P25</f>
        <v>-1.7764077182084272E-18</v>
      </c>
      <c r="AU56" s="69">
        <f>Calc!Q25</f>
        <v>1.2439183996516905E-18</v>
      </c>
      <c r="AV56" s="69">
        <f>Calc!R25</f>
        <v>-4.4201224624386406E-19</v>
      </c>
      <c r="AW56" s="69">
        <f>Calc!S25</f>
        <v>-1.1600204666324752E-17</v>
      </c>
      <c r="AX56" s="69">
        <f>Calc!T25</f>
        <v>-1.42314919585E-21</v>
      </c>
      <c r="AY56" s="69">
        <f>Calc!U25</f>
        <v>2.8922346385499998E-24</v>
      </c>
      <c r="AZ56" s="69">
        <f>Calc!V25</f>
        <v>-2.00596589997E-22</v>
      </c>
      <c r="BA56" s="69">
        <f>Calc!W25</f>
        <v>-5.0974818767300004E-22</v>
      </c>
      <c r="BB56" s="69">
        <f>Calc!X25</f>
        <v>1.86011972425E-22</v>
      </c>
      <c r="BC56" s="69">
        <f>Calc!Y25</f>
        <v>7.7132625107599997E-22</v>
      </c>
      <c r="BD56" s="69">
        <f>Calc!Z25</f>
        <v>0.23963611779825961</v>
      </c>
      <c r="BE56" s="69">
        <f>Calc!AA25</f>
        <v>-9.8502363044506378E-7</v>
      </c>
      <c r="BF56" s="69">
        <f>Calc!AB25</f>
        <v>6.4791600927062014E-5</v>
      </c>
      <c r="BG56" s="69">
        <f>Calc!AC25</f>
        <v>2.5442240456219083E-10</v>
      </c>
      <c r="BH56" s="69">
        <f>Calc!AD25</f>
        <v>-1.8155853766194489E-10</v>
      </c>
      <c r="BI56" s="69">
        <f>Calc!AE25</f>
        <v>1.076255461399437E-9</v>
      </c>
      <c r="BJ56" s="69">
        <f>Calc!AF25</f>
        <v>1.0049546245205312E-15</v>
      </c>
      <c r="BK56" s="69">
        <f>Calc!AG25</f>
        <v>8.4411576974486879E-14</v>
      </c>
      <c r="BL56" s="69">
        <f>Calc!AH25</f>
        <v>6.8981379326677612E-15</v>
      </c>
      <c r="BM56" s="69">
        <f>Calc!AI25</f>
        <v>1.3686198198790177E-13</v>
      </c>
      <c r="BN56" s="69">
        <f>Calc!AJ25</f>
        <v>7.1830109954295977E-19</v>
      </c>
      <c r="BO56" s="69">
        <f>Calc!AK25</f>
        <v>5.1909913301313425E-18</v>
      </c>
      <c r="BP56" s="69">
        <f>Calc!AL25</f>
        <v>-5.2136707589044665E-18</v>
      </c>
      <c r="BQ56" s="69">
        <f>Calc!AM25</f>
        <v>5.4776311609014485E-18</v>
      </c>
      <c r="BR56" s="69">
        <f>Calc!AN25</f>
        <v>-3.9858565351503608E-17</v>
      </c>
      <c r="BS56" s="69">
        <f>Calc!AO25</f>
        <v>-2.8352454995700001E-22</v>
      </c>
      <c r="BT56" s="69">
        <f>Calc!AP25</f>
        <v>-1.4111760654100001E-21</v>
      </c>
      <c r="BU56" s="69">
        <f>Calc!AQ25</f>
        <v>3.77306479219E-23</v>
      </c>
      <c r="BV56" s="69">
        <f>Calc!AR25</f>
        <v>-9.5460421541399995E-22</v>
      </c>
      <c r="BW56" s="69">
        <f>Calc!AS25</f>
        <v>-1.1432672115400001E-21</v>
      </c>
      <c r="BX56" s="69">
        <f>Calc!AT25</f>
        <v>6.1158069806300002E-21</v>
      </c>
      <c r="BY56" s="69">
        <f>Calc!E$13-H56</f>
        <v>1088.0704896500001</v>
      </c>
      <c r="BZ56" s="69">
        <f>Calc!F$13</f>
        <v>16358.183990899999</v>
      </c>
      <c r="CA56" s="69">
        <f>Calc!G$13</f>
        <v>-1497.43046495</v>
      </c>
      <c r="CB56" s="69">
        <f>Calc!H$13</f>
        <v>-163.25955776399999</v>
      </c>
      <c r="CC56" s="69">
        <f>Calc!I$13</f>
        <v>386.10461223800002</v>
      </c>
      <c r="CD56" s="69">
        <f>Calc!J$13</f>
        <v>7933.9478977400004</v>
      </c>
      <c r="CE56" s="69">
        <f>Calc!K$13</f>
        <v>-8780.2665423100007</v>
      </c>
      <c r="CF56" s="69">
        <f>Calc!L$13</f>
        <v>1879.1791221599999</v>
      </c>
      <c r="CG56" s="69">
        <f>Calc!M$13</f>
        <v>-11091.9392936</v>
      </c>
      <c r="CH56" s="69">
        <f>Calc!N$13</f>
        <v>-22879.2874041</v>
      </c>
      <c r="CI56" s="69">
        <f>Calc!O$13</f>
        <v>-5971.5059984500003</v>
      </c>
      <c r="CJ56" s="69">
        <f>Calc!P$13</f>
        <v>9663.7014914800002</v>
      </c>
      <c r="CK56" s="69">
        <f>Calc!Q$13</f>
        <v>-6920.2381920099997</v>
      </c>
      <c r="CL56" s="69">
        <f>Calc!R$13</f>
        <v>11942.6214936</v>
      </c>
      <c r="CM56" s="69">
        <f>Calc!S$13</f>
        <v>32500.833927700001</v>
      </c>
      <c r="CN56" s="69">
        <f>Calc!T$13</f>
        <v>21171.9223207</v>
      </c>
      <c r="CO56" s="69">
        <f>Calc!U$13</f>
        <v>14847.714800399999</v>
      </c>
      <c r="CP56" s="69">
        <f>Calc!V$13</f>
        <v>1438.6852080399999</v>
      </c>
      <c r="CQ56" s="69">
        <f>Calc!W$13</f>
        <v>8178.7701046700004</v>
      </c>
      <c r="CR56" s="69">
        <f>Calc!X$13</f>
        <v>-5274.1260132899997</v>
      </c>
      <c r="CS56" s="69">
        <f>Calc!Y$13</f>
        <v>-17700.472343500001</v>
      </c>
      <c r="CT56" s="69">
        <f>Calc!Z25-I56</f>
        <v>-184.76036388220174</v>
      </c>
      <c r="CU56" s="69">
        <f>Calc!AA$13</f>
        <v>183.41093346700001</v>
      </c>
      <c r="CV56" s="69">
        <f>Calc!AB$13</f>
        <v>12875.6420155</v>
      </c>
      <c r="CW56" s="69">
        <f>Calc!AC$13</f>
        <v>928.64008340500004</v>
      </c>
      <c r="CX56" s="69">
        <f>Calc!AD$13</f>
        <v>-829.96006774700004</v>
      </c>
      <c r="CY56" s="69">
        <f>Calc!AE$13</f>
        <v>25128.6347714</v>
      </c>
      <c r="CZ56" s="69">
        <f>Calc!AF$13</f>
        <v>820.09113469199997</v>
      </c>
      <c r="DA56" s="69">
        <f>Calc!AG$13</f>
        <v>-11624.2526987</v>
      </c>
      <c r="DB56" s="69">
        <f>Calc!AH$13</f>
        <v>4354.0386575800003</v>
      </c>
      <c r="DC56" s="69">
        <f>Calc!AI$13</f>
        <v>-92250.7416486</v>
      </c>
      <c r="DD56" s="69">
        <f>Calc!AJ$13</f>
        <v>-2153.9835561</v>
      </c>
      <c r="DE56" s="69">
        <f>Calc!AK$13</f>
        <v>-6849.7716648200003</v>
      </c>
      <c r="DF56" s="69">
        <f>Calc!AL$13</f>
        <v>14995.563602300001</v>
      </c>
      <c r="DG56" s="69">
        <f>Calc!AM$13</f>
        <v>-10476.2086101</v>
      </c>
      <c r="DH56" s="69">
        <f>Calc!AN$13</f>
        <v>142897.49498399999</v>
      </c>
      <c r="DI56" s="69">
        <f>Calc!AO$13</f>
        <v>6923.6219556300002</v>
      </c>
      <c r="DJ56" s="69">
        <f>Calc!AP$13</f>
        <v>17875.088959299999</v>
      </c>
      <c r="DK56" s="69">
        <f>Calc!AQ$13</f>
        <v>12156.176261799999</v>
      </c>
      <c r="DL56" s="69">
        <f>Calc!AR$13</f>
        <v>-1763.8166260099999</v>
      </c>
      <c r="DM56" s="69">
        <f>Calc!AS$13</f>
        <v>9316.1666996799995</v>
      </c>
      <c r="DN56" s="69">
        <f>Calc!AT$13</f>
        <v>-87509.181240200007</v>
      </c>
    </row>
    <row r="57" spans="1:118" x14ac:dyDescent="0.2">
      <c r="A57" t="s">
        <v>63</v>
      </c>
      <c r="B57" t="s">
        <v>218</v>
      </c>
      <c r="C57" s="84" t="str">
        <f>DDC!B58</f>
        <v>NRS1_CNTR</v>
      </c>
      <c r="D57" t="s">
        <v>212</v>
      </c>
      <c r="E57" t="s">
        <v>82</v>
      </c>
      <c r="F57" s="31">
        <v>2048</v>
      </c>
      <c r="G57" s="31">
        <v>2048</v>
      </c>
      <c r="H57">
        <v>1225</v>
      </c>
      <c r="I57">
        <v>1967</v>
      </c>
      <c r="J57" s="31">
        <v>2048</v>
      </c>
      <c r="K57" s="31">
        <v>2048</v>
      </c>
      <c r="L57" s="30">
        <f>H57</f>
        <v>1225</v>
      </c>
      <c r="M57" s="30">
        <f>I57</f>
        <v>1967</v>
      </c>
      <c r="N57" s="3">
        <f>Calc!P37</f>
        <v>0.10290758739249489</v>
      </c>
      <c r="O57" s="3">
        <f>Calc!Q37</f>
        <v>0.10396563321972571</v>
      </c>
      <c r="P57" s="3">
        <f>Calc!F37</f>
        <v>375.2880413449156</v>
      </c>
      <c r="Q57" s="3">
        <f>Calc!G37</f>
        <v>-564.9770321418448</v>
      </c>
      <c r="R57" s="3">
        <f t="shared" si="5"/>
        <v>137.21245443700323</v>
      </c>
      <c r="S57" s="31">
        <v>-1</v>
      </c>
      <c r="T57" s="29">
        <v>0</v>
      </c>
      <c r="U57" s="31">
        <v>1</v>
      </c>
      <c r="V57" s="7">
        <f>Calc!R37</f>
        <v>49.385367245170549</v>
      </c>
      <c r="W57" s="7">
        <f>Calc!S37</f>
        <v>137.21245443700323</v>
      </c>
      <c r="X57" s="7">
        <f>$S57*(Calc!R49-$P57)*COS(RADIANS($R57))-$S57*(Calc!W49-$Q57)*SIN(RADIANS($R57))</f>
        <v>-119.34927987060041</v>
      </c>
      <c r="Y57" s="7">
        <f>$S57*(Calc!S49-$P57)*COS(RADIANS($R57))-$S57*(Calc!X49-$Q57)*SIN(RADIANS($R57))</f>
        <v>90.276233638900763</v>
      </c>
      <c r="Z57" s="7">
        <f>$S57*(Calc!T49-$P57)*COS(RADIANS($R57))-$S57*(Calc!Y49-$Q57)*SIN(RADIANS($R57))</f>
        <v>85.499839480879572</v>
      </c>
      <c r="AA57" s="7">
        <f>$S57*(Calc!U49-$P57)*COS(RADIANS($R57))-$S57*(Calc!Z49-$Q57)*SIN(RADIANS($R57))</f>
        <v>-128.66277240780266</v>
      </c>
      <c r="AB57" s="7">
        <f>(Calc!R49-$P57)*SIN(RADIANS($R57))+(Calc!W49-$Q57)*COS(RADIANS($R57))</f>
        <v>-209.23599817282172</v>
      </c>
      <c r="AC57" s="7">
        <f>(Calc!S49-$P57)*SIN(RADIANS($R57))+(Calc!X49-$Q57)*COS(RADIANS($R57))</f>
        <v>-205.14983247488203</v>
      </c>
      <c r="AD57" s="7">
        <f>(Calc!T49-$P57)*SIN(RADIANS($R57))+(Calc!Y49-$Q57)*COS(RADIANS($R57))</f>
        <v>10.432516332792353</v>
      </c>
      <c r="AE57" s="7">
        <f>(Calc!U49-$P57)*SIN(RADIANS($R57))+(Calc!Z49-$Q57)*COS(RADIANS($R57))</f>
        <v>7.0110019520913198</v>
      </c>
      <c r="AF57" s="28">
        <v>41640</v>
      </c>
      <c r="AH57">
        <v>5</v>
      </c>
      <c r="AI57" s="69">
        <f>Calc!E26</f>
        <v>-5.5276796506676537E-2</v>
      </c>
      <c r="AJ57" s="69">
        <f>Calc!F26</f>
        <v>6.4577722945934117E-5</v>
      </c>
      <c r="AK57" s="69">
        <f>Calc!G26</f>
        <v>-5.1071977620393471E-7</v>
      </c>
      <c r="AL57" s="69">
        <f>Calc!H26</f>
        <v>-2.3779475266982885E-10</v>
      </c>
      <c r="AM57" s="69">
        <f>Calc!I26</f>
        <v>1.1230176878385417E-9</v>
      </c>
      <c r="AN57" s="69">
        <f>Calc!J26</f>
        <v>-1.3407106681978765E-10</v>
      </c>
      <c r="AO57" s="69">
        <f>Calc!K26</f>
        <v>8.277595663581338E-14</v>
      </c>
      <c r="AP57" s="69">
        <f>Calc!L26</f>
        <v>7.633687372926166E-15</v>
      </c>
      <c r="AQ57" s="69">
        <f>Calc!M26</f>
        <v>9.3679347784629893E-14</v>
      </c>
      <c r="AR57" s="69">
        <f>Calc!N26</f>
        <v>-2.5494217734509536E-14</v>
      </c>
      <c r="AS57" s="69">
        <f>Calc!O26</f>
        <v>6.5465667217527783E-18</v>
      </c>
      <c r="AT57" s="69">
        <f>Calc!P26</f>
        <v>-2.4902811915493031E-18</v>
      </c>
      <c r="AU57" s="69">
        <f>Calc!Q26</f>
        <v>-1.5359582807173486E-18</v>
      </c>
      <c r="AV57" s="69">
        <f>Calc!R26</f>
        <v>7.9110692304504986E-19</v>
      </c>
      <c r="AW57" s="69">
        <f>Calc!S26</f>
        <v>-4.7107606797469181E-18</v>
      </c>
      <c r="AX57" s="69">
        <f>Calc!T26</f>
        <v>-1.42314919585E-21</v>
      </c>
      <c r="AY57" s="69">
        <f>Calc!U26</f>
        <v>2.8922346385499998E-24</v>
      </c>
      <c r="AZ57" s="69">
        <f>Calc!V26</f>
        <v>-2.00596589997E-22</v>
      </c>
      <c r="BA57" s="69">
        <f>Calc!W26</f>
        <v>-5.0974818767300004E-22</v>
      </c>
      <c r="BB57" s="69">
        <f>Calc!X26</f>
        <v>1.86011972425E-22</v>
      </c>
      <c r="BC57" s="69">
        <f>Calc!Y26</f>
        <v>7.7132625107599997E-22</v>
      </c>
      <c r="BD57" s="69">
        <f>Calc!Z26</f>
        <v>0.35888404036969623</v>
      </c>
      <c r="BE57" s="69">
        <f>Calc!AA26</f>
        <v>-1.1972502118031286E-6</v>
      </c>
      <c r="BF57" s="69">
        <f>Calc!AB26</f>
        <v>6.9324206102388454E-5</v>
      </c>
      <c r="BG57" s="69">
        <f>Calc!AC26</f>
        <v>3.85626812652162E-10</v>
      </c>
      <c r="BH57" s="69">
        <f>Calc!AD26</f>
        <v>-1.2021454473672255E-10</v>
      </c>
      <c r="BI57" s="69">
        <f>Calc!AE26</f>
        <v>1.3957938014709903E-9</v>
      </c>
      <c r="BJ57" s="69">
        <f>Calc!AF26</f>
        <v>9.6977421526017596E-15</v>
      </c>
      <c r="BK57" s="69">
        <f>Calc!AG26</f>
        <v>5.8119684403216157E-14</v>
      </c>
      <c r="BL57" s="69">
        <f>Calc!AH26</f>
        <v>1.2521965398582741E-14</v>
      </c>
      <c r="BM57" s="69">
        <f>Calc!AI26</f>
        <v>4.670802799386824E-14</v>
      </c>
      <c r="BN57" s="69">
        <f>Calc!AJ26</f>
        <v>-1.9254183192480955E-18</v>
      </c>
      <c r="BO57" s="69">
        <f>Calc!AK26</f>
        <v>4.8117952715157541E-18</v>
      </c>
      <c r="BP57" s="69">
        <f>Calc!AL26</f>
        <v>-1.0306684427625032E-17</v>
      </c>
      <c r="BQ57" s="69">
        <f>Calc!AM26</f>
        <v>-2.8453154901610201E-18</v>
      </c>
      <c r="BR57" s="69">
        <f>Calc!AN26</f>
        <v>1.452923752965955E-17</v>
      </c>
      <c r="BS57" s="69">
        <f>Calc!AO26</f>
        <v>-2.8352454995700001E-22</v>
      </c>
      <c r="BT57" s="69">
        <f>Calc!AP26</f>
        <v>-1.4111760654100001E-21</v>
      </c>
      <c r="BU57" s="69">
        <f>Calc!AQ26</f>
        <v>3.77306479219E-23</v>
      </c>
      <c r="BV57" s="69">
        <f>Calc!AR26</f>
        <v>-9.5460421541399995E-22</v>
      </c>
      <c r="BW57" s="69">
        <f>Calc!AS26</f>
        <v>-1.1432672115400001E-21</v>
      </c>
      <c r="BX57" s="69">
        <f>Calc!AT26</f>
        <v>6.1158069806300002E-21</v>
      </c>
      <c r="BY57" s="69">
        <f>Calc!E$13-H57</f>
        <v>997.07048965000013</v>
      </c>
      <c r="BZ57" s="69">
        <f>Calc!F$13</f>
        <v>16358.183990899999</v>
      </c>
      <c r="CA57" s="69">
        <f>Calc!G$13</f>
        <v>-1497.43046495</v>
      </c>
      <c r="CB57" s="69">
        <f>Calc!H$13</f>
        <v>-163.25955776399999</v>
      </c>
      <c r="CC57" s="69">
        <f>Calc!I$13</f>
        <v>386.10461223800002</v>
      </c>
      <c r="CD57" s="69">
        <f>Calc!J$13</f>
        <v>7933.9478977400004</v>
      </c>
      <c r="CE57" s="69">
        <f>Calc!K$13</f>
        <v>-8780.2665423100007</v>
      </c>
      <c r="CF57" s="69">
        <f>Calc!L$13</f>
        <v>1879.1791221599999</v>
      </c>
      <c r="CG57" s="69">
        <f>Calc!M$13</f>
        <v>-11091.9392936</v>
      </c>
      <c r="CH57" s="69">
        <f>Calc!N$13</f>
        <v>-22879.2874041</v>
      </c>
      <c r="CI57" s="69">
        <f>Calc!O$13</f>
        <v>-5971.5059984500003</v>
      </c>
      <c r="CJ57" s="69">
        <f>Calc!P$13</f>
        <v>9663.7014914800002</v>
      </c>
      <c r="CK57" s="69">
        <f>Calc!Q$13</f>
        <v>-6920.2381920099997</v>
      </c>
      <c r="CL57" s="69">
        <f>Calc!R$13</f>
        <v>11942.6214936</v>
      </c>
      <c r="CM57" s="69">
        <f>Calc!S$13</f>
        <v>32500.833927700001</v>
      </c>
      <c r="CN57" s="69">
        <f>Calc!T$13</f>
        <v>21171.9223207</v>
      </c>
      <c r="CO57" s="69">
        <f>Calc!U$13</f>
        <v>14847.714800399999</v>
      </c>
      <c r="CP57" s="69">
        <f>Calc!V$13</f>
        <v>1438.6852080399999</v>
      </c>
      <c r="CQ57" s="69">
        <f>Calc!W$13</f>
        <v>8178.7701046700004</v>
      </c>
      <c r="CR57" s="69">
        <f>Calc!X$13</f>
        <v>-5274.1260132899997</v>
      </c>
      <c r="CS57" s="69">
        <f>Calc!Y$13</f>
        <v>-17700.472343500001</v>
      </c>
      <c r="CT57" s="69">
        <f>Calc!Z26-I57</f>
        <v>-1966.6411159596303</v>
      </c>
      <c r="CU57" s="69">
        <f>Calc!AA$13</f>
        <v>183.41093346700001</v>
      </c>
      <c r="CV57" s="69">
        <f>Calc!AB$13</f>
        <v>12875.6420155</v>
      </c>
      <c r="CW57" s="69">
        <f>Calc!AC$13</f>
        <v>928.64008340500004</v>
      </c>
      <c r="CX57" s="69">
        <f>Calc!AD$13</f>
        <v>-829.96006774700004</v>
      </c>
      <c r="CY57" s="69">
        <f>Calc!AE$13</f>
        <v>25128.6347714</v>
      </c>
      <c r="CZ57" s="69">
        <f>Calc!AF$13</f>
        <v>820.09113469199997</v>
      </c>
      <c r="DA57" s="69">
        <f>Calc!AG$13</f>
        <v>-11624.2526987</v>
      </c>
      <c r="DB57" s="69">
        <f>Calc!AH$13</f>
        <v>4354.0386575800003</v>
      </c>
      <c r="DC57" s="69">
        <f>Calc!AI$13</f>
        <v>-92250.7416486</v>
      </c>
      <c r="DD57" s="69">
        <f>Calc!AJ$13</f>
        <v>-2153.9835561</v>
      </c>
      <c r="DE57" s="69">
        <f>Calc!AK$13</f>
        <v>-6849.7716648200003</v>
      </c>
      <c r="DF57" s="69">
        <f>Calc!AL$13</f>
        <v>14995.563602300001</v>
      </c>
      <c r="DG57" s="69">
        <f>Calc!AM$13</f>
        <v>-10476.2086101</v>
      </c>
      <c r="DH57" s="69">
        <f>Calc!AN$13</f>
        <v>142897.49498399999</v>
      </c>
      <c r="DI57" s="69">
        <f>Calc!AO$13</f>
        <v>6923.6219556300002</v>
      </c>
      <c r="DJ57" s="69">
        <f>Calc!AP$13</f>
        <v>17875.088959299999</v>
      </c>
      <c r="DK57" s="69">
        <f>Calc!AQ$13</f>
        <v>12156.176261799999</v>
      </c>
      <c r="DL57" s="69">
        <f>Calc!AR$13</f>
        <v>-1763.8166260099999</v>
      </c>
      <c r="DM57" s="69">
        <f>Calc!AS$13</f>
        <v>9316.1666996799995</v>
      </c>
      <c r="DN57" s="69">
        <f>Calc!AT$13</f>
        <v>-87509.181240200007</v>
      </c>
    </row>
    <row r="58" spans="1:118" x14ac:dyDescent="0.2">
      <c r="A58" t="s">
        <v>63</v>
      </c>
      <c r="B58" t="s">
        <v>219</v>
      </c>
      <c r="C58" s="84" t="str">
        <f>DDC!B59</f>
        <v>NRS2_CNTR</v>
      </c>
      <c r="D58" t="s">
        <v>212</v>
      </c>
      <c r="E58" t="s">
        <v>82</v>
      </c>
      <c r="F58" s="31">
        <v>2048</v>
      </c>
      <c r="G58" s="31">
        <v>2048</v>
      </c>
      <c r="H58" s="34">
        <v>1276</v>
      </c>
      <c r="I58" s="34">
        <v>236</v>
      </c>
      <c r="J58" s="31">
        <v>2048</v>
      </c>
      <c r="K58" s="31">
        <v>2048</v>
      </c>
      <c r="L58" s="30">
        <f>2047-H58</f>
        <v>771</v>
      </c>
      <c r="M58" s="30">
        <f t="shared" ref="M58:M59" si="6">2047-I58</f>
        <v>1811</v>
      </c>
      <c r="N58" s="3">
        <f>Calc!P38</f>
        <v>0.10298822425590265</v>
      </c>
      <c r="O58" s="3">
        <f>Calc!Q38</f>
        <v>0.10422803225690541</v>
      </c>
      <c r="P58" s="3">
        <f>Calc!F38</f>
        <v>499.61920192091122</v>
      </c>
      <c r="Q58" s="3">
        <f>Calc!G38</f>
        <v>-432.47455937211481</v>
      </c>
      <c r="R58" s="3">
        <f t="shared" si="5"/>
        <v>137.65655719821081</v>
      </c>
      <c r="S58" s="31">
        <v>-1</v>
      </c>
      <c r="T58" s="29">
        <v>180</v>
      </c>
      <c r="U58" s="31">
        <v>1</v>
      </c>
      <c r="V58" s="7">
        <f>Calc!R38</f>
        <v>48.876613702666646</v>
      </c>
      <c r="W58" s="7">
        <f>Calc!S38</f>
        <v>137.65655719821081</v>
      </c>
      <c r="X58" s="7">
        <f>$S58*(Calc!R50-$P58)*COS(RADIANS($R58))-$S58*(Calc!W50-$Q58)*SIN(RADIANS($R58))</f>
        <v>-77.608741776019883</v>
      </c>
      <c r="Y58" s="7">
        <f>$S58*(Calc!S50-$P58)*COS(RADIANS($R58))-$S58*(Calc!X50-$Q58)*SIN(RADIANS($R58))</f>
        <v>132.02467320643109</v>
      </c>
      <c r="Z58" s="7">
        <f>$S58*(Calc!T50-$P58)*COS(RADIANS($R58))-$S58*(Calc!Y50-$Q58)*SIN(RADIANS($R58))</f>
        <v>134.05923463126695</v>
      </c>
      <c r="AA58" s="7">
        <f>$S58*(Calc!U50-$P58)*COS(RADIANS($R58))-$S58*(Calc!Z50-$Q58)*SIN(RADIANS($R58))</f>
        <v>-80.351580895353408</v>
      </c>
      <c r="AB58" s="7">
        <f>(Calc!R50-$P58)*SIN(RADIANS($R58))+(Calc!W50-$Q58)*COS(RADIANS($R58))</f>
        <v>-191.4546037401719</v>
      </c>
      <c r="AC58" s="7">
        <f>(Calc!S50-$P58)*SIN(RADIANS($R58))+(Calc!X50-$Q58)*COS(RADIANS($R58))</f>
        <v>-187.60090507569154</v>
      </c>
      <c r="AD58" s="7">
        <f>(Calc!T50-$P58)*SIN(RADIANS($R58))+(Calc!Y50-$Q58)*COS(RADIANS($R58))</f>
        <v>29.135305281734752</v>
      </c>
      <c r="AE58" s="7">
        <f>(Calc!U50-$P58)*SIN(RADIANS($R58))+(Calc!Z50-$Q58)*COS(RADIANS($R58))</f>
        <v>24.173479049269009</v>
      </c>
      <c r="AF58" s="28">
        <v>41640</v>
      </c>
      <c r="AH58">
        <v>5</v>
      </c>
      <c r="AI58" s="69">
        <f>Calc!E27</f>
        <v>5.6629100925870673E-2</v>
      </c>
      <c r="AJ58" s="69">
        <f>Calc!F27</f>
        <v>6.4401112218598707E-5</v>
      </c>
      <c r="AK58" s="69">
        <f>Calc!G27</f>
        <v>1.443562668912287E-6</v>
      </c>
      <c r="AL58" s="69">
        <f>Calc!H27</f>
        <v>2.3908416135621797E-10</v>
      </c>
      <c r="AM58" s="69">
        <f>Calc!I27</f>
        <v>1.0999411020638226E-9</v>
      </c>
      <c r="AN58" s="69">
        <f>Calc!J27</f>
        <v>3.4568882843280298E-11</v>
      </c>
      <c r="AO58" s="69">
        <f>Calc!K27</f>
        <v>8.5628482001983593E-14</v>
      </c>
      <c r="AP58" s="69">
        <f>Calc!L27</f>
        <v>-4.5468169524528192E-15</v>
      </c>
      <c r="AQ58" s="69">
        <f>Calc!M27</f>
        <v>8.6997678658066489E-14</v>
      </c>
      <c r="AR58" s="69">
        <f>Calc!N27</f>
        <v>-2.2736167334786057E-14</v>
      </c>
      <c r="AS58" s="69">
        <f>Calc!O27</f>
        <v>-5.8367944837566845E-18</v>
      </c>
      <c r="AT58" s="69">
        <f>Calc!P27</f>
        <v>-2.4072616847210742E-18</v>
      </c>
      <c r="AU58" s="69">
        <f>Calc!Q27</f>
        <v>-2.3444930751033662E-18</v>
      </c>
      <c r="AV58" s="69">
        <f>Calc!R27</f>
        <v>-1.0993688239130046E-18</v>
      </c>
      <c r="AW58" s="69">
        <f>Calc!S27</f>
        <v>-4.9888937660062613E-18</v>
      </c>
      <c r="AX58" s="69">
        <f>Calc!T27</f>
        <v>-1.42314887815E-21</v>
      </c>
      <c r="AY58" s="69">
        <f>Calc!U27</f>
        <v>2.9926833411100002E-24</v>
      </c>
      <c r="AZ58" s="69">
        <f>Calc!V27</f>
        <v>-2.0061973193000001E-22</v>
      </c>
      <c r="BA58" s="69">
        <f>Calc!W27</f>
        <v>-5.0972826795099996E-22</v>
      </c>
      <c r="BB58" s="69">
        <f>Calc!X27</f>
        <v>1.8608487238E-22</v>
      </c>
      <c r="BC58" s="69">
        <f>Calc!Y27</f>
        <v>7.7132330429800004E-22</v>
      </c>
      <c r="BD58" s="69">
        <f>Calc!Z27</f>
        <v>0.34721536809800146</v>
      </c>
      <c r="BE58" s="69">
        <f>Calc!AA27</f>
        <v>1.6491172292142027E-7</v>
      </c>
      <c r="BF58" s="69">
        <f>Calc!AB27</f>
        <v>6.8875796862160506E-5</v>
      </c>
      <c r="BG58" s="69">
        <f>Calc!AC27</f>
        <v>3.7709911554122035E-10</v>
      </c>
      <c r="BH58" s="69">
        <f>Calc!AD27</f>
        <v>1.0281112527056755E-10</v>
      </c>
      <c r="BI58" s="69">
        <f>Calc!AE27</f>
        <v>1.3699742049732186E-9</v>
      </c>
      <c r="BJ58" s="69">
        <f>Calc!AF27</f>
        <v>-1.1506971068620864E-14</v>
      </c>
      <c r="BK58" s="69">
        <f>Calc!AG27</f>
        <v>6.0684795441180913E-14</v>
      </c>
      <c r="BL58" s="69">
        <f>Calc!AH27</f>
        <v>-2.0286671546152343E-14</v>
      </c>
      <c r="BM58" s="69">
        <f>Calc!AI27</f>
        <v>3.2527880620950421E-14</v>
      </c>
      <c r="BN58" s="69">
        <f>Calc!AJ27</f>
        <v>-4.1722317392869603E-18</v>
      </c>
      <c r="BO58" s="69">
        <f>Calc!AK27</f>
        <v>-5.0229772537966936E-18</v>
      </c>
      <c r="BP58" s="69">
        <f>Calc!AL27</f>
        <v>-9.662810629534211E-18</v>
      </c>
      <c r="BQ58" s="69">
        <f>Calc!AM27</f>
        <v>-5.4533273427905077E-18</v>
      </c>
      <c r="BR58" s="69">
        <f>Calc!AN27</f>
        <v>7.7677717281735799E-18</v>
      </c>
      <c r="BS58" s="69">
        <f>Calc!AO27</f>
        <v>-2.8354566386199998E-22</v>
      </c>
      <c r="BT58" s="69">
        <f>Calc!AP27</f>
        <v>-1.41115330397E-21</v>
      </c>
      <c r="BU58" s="69">
        <f>Calc!AQ27</f>
        <v>3.7772581494399997E-23</v>
      </c>
      <c r="BV58" s="69">
        <f>Calc!AR27</f>
        <v>-9.5467436388700002E-22</v>
      </c>
      <c r="BW58" s="69">
        <f>Calc!AS27</f>
        <v>-1.14278133866E-21</v>
      </c>
      <c r="BX58" s="69">
        <f>Calc!AT27</f>
        <v>6.1158238038100001E-21</v>
      </c>
      <c r="BY58" s="69">
        <f>H58-Calc!E$14</f>
        <v>-749.97525033000011</v>
      </c>
      <c r="BZ58" s="69">
        <f>-Calc!F$14</f>
        <v>16320.8161616</v>
      </c>
      <c r="CA58" s="69">
        <f>-Calc!G$14</f>
        <v>-1414.16428664</v>
      </c>
      <c r="CB58" s="69">
        <f>-Calc!H$14</f>
        <v>118.50973134199999</v>
      </c>
      <c r="CC58" s="69">
        <f>-Calc!I$14</f>
        <v>898.83726239600003</v>
      </c>
      <c r="CD58" s="69">
        <f>-Calc!J$14</f>
        <v>7360.3513493500004</v>
      </c>
      <c r="CE58" s="69">
        <f>-Calc!K$14</f>
        <v>-8851.7602470500005</v>
      </c>
      <c r="CF58" s="69">
        <f>-Calc!L$14</f>
        <v>-564.99900255600005</v>
      </c>
      <c r="CG58" s="69">
        <f>-Calc!M$14</f>
        <v>-13713.6338813</v>
      </c>
      <c r="CH58" s="69">
        <f>-Calc!N$14</f>
        <v>-20917.172032900002</v>
      </c>
      <c r="CI58" s="69">
        <f>-Calc!O$14</f>
        <v>6032.2671464499999</v>
      </c>
      <c r="CJ58" s="69">
        <f>-Calc!P$14</f>
        <v>9725.2500018800001</v>
      </c>
      <c r="CK58" s="69">
        <f>-Calc!Q$14</f>
        <v>759.01608194799996</v>
      </c>
      <c r="CL58" s="69">
        <f>-Calc!R$14</f>
        <v>17851.3632708</v>
      </c>
      <c r="CM58" s="69">
        <f>-Calc!S$14</f>
        <v>29175.886262200002</v>
      </c>
      <c r="CN58" s="69">
        <f>-Calc!T$14</f>
        <v>20389.751649000002</v>
      </c>
      <c r="CO58" s="69">
        <f>-Calc!U$14</f>
        <v>-16546.307259099998</v>
      </c>
      <c r="CP58" s="69">
        <f>-Calc!V$14</f>
        <v>1727.20495678</v>
      </c>
      <c r="CQ58" s="69">
        <f>-Calc!W$14</f>
        <v>-407.401326052</v>
      </c>
      <c r="CR58" s="69">
        <f>-Calc!X$14</f>
        <v>-10222.076407099999</v>
      </c>
      <c r="CS58" s="69">
        <f>-Calc!Y$14</f>
        <v>-15467.1618595</v>
      </c>
      <c r="CT58" s="69">
        <f>Calc!Z27-I58</f>
        <v>-235.65278463190199</v>
      </c>
      <c r="CU58" s="69">
        <f>-Calc!AA$14</f>
        <v>174.69323044800001</v>
      </c>
      <c r="CV58" s="69">
        <f>-Calc!AB$14</f>
        <v>12741.80523</v>
      </c>
      <c r="CW58" s="69">
        <f>-Calc!AC$14</f>
        <v>973.315105797</v>
      </c>
      <c r="CX58" s="69">
        <f>-Calc!AD$14</f>
        <v>-741.65318332899994</v>
      </c>
      <c r="CY58" s="69">
        <f>-Calc!AE$14</f>
        <v>26050.1731015</v>
      </c>
      <c r="CZ58" s="69">
        <f>-Calc!AF$14</f>
        <v>-1778.16757024</v>
      </c>
      <c r="DA58" s="69">
        <f>-Calc!AG$14</f>
        <v>-11974.2001831</v>
      </c>
      <c r="DB58" s="69">
        <f>-Calc!AH$14</f>
        <v>3963.7133501399999</v>
      </c>
      <c r="DC58" s="69">
        <f>-Calc!AI$14</f>
        <v>-95402.661374599993</v>
      </c>
      <c r="DD58" s="69">
        <f>-Calc!AJ$14</f>
        <v>-276.91222523300002</v>
      </c>
      <c r="DE58" s="69">
        <f>-Calc!AK$14</f>
        <v>9887.0795682999997</v>
      </c>
      <c r="DF58" s="69">
        <f>-Calc!AL$14</f>
        <v>15963.1079372</v>
      </c>
      <c r="DG58" s="69">
        <f>-Calc!AM$14</f>
        <v>-9559.0996431099993</v>
      </c>
      <c r="DH58" s="69">
        <f>-Calc!AN$14</f>
        <v>148252.25471400001</v>
      </c>
      <c r="DI58" s="69">
        <f>-Calc!AO$14</f>
        <v>455.60904260500001</v>
      </c>
      <c r="DJ58" s="69">
        <f>-Calc!AP$14</f>
        <v>12927.8539955</v>
      </c>
      <c r="DK58" s="69">
        <f>-Calc!AQ$14</f>
        <v>-14980.8130815</v>
      </c>
      <c r="DL58" s="69">
        <f>-Calc!AR$14</f>
        <v>-2714.1438414999998</v>
      </c>
      <c r="DM58" s="69">
        <f>-Calc!AS$14</f>
        <v>8383.5910754600009</v>
      </c>
      <c r="DN58" s="69">
        <f>-Calc!AT$14</f>
        <v>-91124.117671</v>
      </c>
    </row>
    <row r="59" spans="1:118" s="59" customFormat="1" ht="17" thickBot="1" x14ac:dyDescent="0.25">
      <c r="A59" s="59" t="s">
        <v>63</v>
      </c>
      <c r="B59" s="59" t="s">
        <v>220</v>
      </c>
      <c r="C59" s="92" t="str">
        <f>DDC!B60</f>
        <v>NRS2_CNTR</v>
      </c>
      <c r="D59" s="59" t="s">
        <v>212</v>
      </c>
      <c r="E59" s="59" t="s">
        <v>82</v>
      </c>
      <c r="F59" s="60">
        <v>2048</v>
      </c>
      <c r="G59" s="60">
        <v>2048</v>
      </c>
      <c r="H59" s="61">
        <v>1247</v>
      </c>
      <c r="I59" s="61">
        <v>1839</v>
      </c>
      <c r="J59" s="60">
        <v>2048</v>
      </c>
      <c r="K59" s="60">
        <v>2048</v>
      </c>
      <c r="L59" s="62">
        <f t="shared" ref="L59" si="7">2047-H59</f>
        <v>800</v>
      </c>
      <c r="M59" s="62">
        <f t="shared" si="6"/>
        <v>208</v>
      </c>
      <c r="N59" s="63">
        <f>Calc!P39</f>
        <v>0.10360203444575834</v>
      </c>
      <c r="O59" s="63">
        <f>Calc!Q39</f>
        <v>0.10647770578962312</v>
      </c>
      <c r="P59" s="63">
        <f>Calc!F39</f>
        <v>388.63719643792058</v>
      </c>
      <c r="Q59" s="63">
        <f>Calc!G39</f>
        <v>-305.3106461890805</v>
      </c>
      <c r="R59" s="63">
        <f t="shared" si="5"/>
        <v>137.68496134058788</v>
      </c>
      <c r="S59" s="60">
        <v>-1</v>
      </c>
      <c r="T59" s="65">
        <v>180</v>
      </c>
      <c r="U59" s="60">
        <v>1</v>
      </c>
      <c r="V59" s="64">
        <f>Calc!R39</f>
        <v>48.925155075113658</v>
      </c>
      <c r="W59" s="64">
        <f>Calc!S39</f>
        <v>137.68496134058788</v>
      </c>
      <c r="X59" s="64">
        <f>$S59*(Calc!R51-$P59)*COS(RADIANS($R59))-$S59*(Calc!W51-$Q59)*SIN(RADIANS($R59))</f>
        <v>-81.245099164108609</v>
      </c>
      <c r="Y59" s="64">
        <f>$S59*(Calc!S51-$P59)*COS(RADIANS($R59))-$S59*(Calc!X51-$Q59)*SIN(RADIANS($R59))</f>
        <v>128.39020051305098</v>
      </c>
      <c r="Z59" s="64">
        <f>$S59*(Calc!T51-$P59)*COS(RADIANS($R59))-$S59*(Calc!Y51-$Q59)*SIN(RADIANS($R59))</f>
        <v>130.53220775069951</v>
      </c>
      <c r="AA59" s="64">
        <f>$S59*(Calc!U51-$P59)*COS(RADIANS($R59))-$S59*(Calc!Z51-$Q59)*SIN(RADIANS($R59))</f>
        <v>-83.881041233144487</v>
      </c>
      <c r="AB59" s="64">
        <f>(Calc!R51-$P59)*SIN(RADIANS($R59))+(Calc!W51-$Q59)*COS(RADIANS($R59))</f>
        <v>-22.670366920793075</v>
      </c>
      <c r="AC59" s="64">
        <f>(Calc!S51-$P59)*SIN(RADIANS($R59))+(Calc!X51-$Q59)*COS(RADIANS($R59))</f>
        <v>-18.920593611814525</v>
      </c>
      <c r="AD59" s="64">
        <f>(Calc!T51-$P59)*SIN(RADIANS($R59))+(Calc!Y51-$Q59)*COS(RADIANS($R59))</f>
        <v>197.81458148739216</v>
      </c>
      <c r="AE59" s="64">
        <f>(Calc!U51-$P59)*SIN(RADIANS($R59))+(Calc!Z51-$Q59)*COS(RADIANS($R59))</f>
        <v>192.9590491227824</v>
      </c>
      <c r="AF59" s="66">
        <v>41640</v>
      </c>
      <c r="AH59" s="59">
        <v>5</v>
      </c>
      <c r="AI59" s="70">
        <f>Calc!E28</f>
        <v>5.6279800769585435E-2</v>
      </c>
      <c r="AJ59" s="70">
        <f>Calc!F28</f>
        <v>6.2881499618420796E-5</v>
      </c>
      <c r="AK59" s="70">
        <f>Calc!G28</f>
        <v>1.2886033758941804E-6</v>
      </c>
      <c r="AL59" s="70">
        <f>Calc!H28</f>
        <v>2.5015861513444965E-10</v>
      </c>
      <c r="AM59" s="70">
        <f>Calc!I28</f>
        <v>8.0942558624509764E-10</v>
      </c>
      <c r="AN59" s="70">
        <f>Calc!J28</f>
        <v>3.7978162223326739E-11</v>
      </c>
      <c r="AO59" s="70">
        <f>Calc!K28</f>
        <v>8.8282214888183639E-14</v>
      </c>
      <c r="AP59" s="70">
        <f>Calc!L28</f>
        <v>-1.1132385969365466E-15</v>
      </c>
      <c r="AQ59" s="70">
        <f>Calc!M28</f>
        <v>9.5159223175266897E-14</v>
      </c>
      <c r="AR59" s="70">
        <f>Calc!N28</f>
        <v>2.9005700051968742E-14</v>
      </c>
      <c r="AS59" s="70">
        <f>Calc!O28</f>
        <v>-6.0479483424842336E-18</v>
      </c>
      <c r="AT59" s="70">
        <f>Calc!P28</f>
        <v>-1.7637276728859253E-18</v>
      </c>
      <c r="AU59" s="70">
        <f>Calc!Q28</f>
        <v>8.9336248795082568E-20</v>
      </c>
      <c r="AV59" s="70">
        <f>Calc!R28</f>
        <v>-2.3221092651547224E-18</v>
      </c>
      <c r="AW59" s="70">
        <f>Calc!S28</f>
        <v>-1.116565358865571E-17</v>
      </c>
      <c r="AX59" s="70">
        <f>Calc!T28</f>
        <v>-1.42314887815E-21</v>
      </c>
      <c r="AY59" s="70">
        <f>Calc!U28</f>
        <v>2.9926833411100002E-24</v>
      </c>
      <c r="AZ59" s="70">
        <f>Calc!V28</f>
        <v>-2.0061973193000001E-22</v>
      </c>
      <c r="BA59" s="70">
        <f>Calc!W28</f>
        <v>-5.0972826795099996E-22</v>
      </c>
      <c r="BB59" s="70">
        <f>Calc!X28</f>
        <v>1.8608487238E-22</v>
      </c>
      <c r="BC59" s="70">
        <f>Calc!Y28</f>
        <v>7.7132330429800004E-22</v>
      </c>
      <c r="BD59" s="70">
        <f>Calc!Z28</f>
        <v>0.2401794775334482</v>
      </c>
      <c r="BE59" s="70">
        <f>Calc!AA28</f>
        <v>-2.2097335874108412E-8</v>
      </c>
      <c r="BF59" s="70">
        <f>Calc!AB28</f>
        <v>6.4812602885963092E-5</v>
      </c>
      <c r="BG59" s="70">
        <f>Calc!AC28</f>
        <v>2.5862226589804791E-10</v>
      </c>
      <c r="BH59" s="70">
        <f>Calc!AD28</f>
        <v>1.4951681890860572E-10</v>
      </c>
      <c r="BI59" s="70">
        <f>Calc!AE28</f>
        <v>1.0810495687789959E-9</v>
      </c>
      <c r="BJ59" s="70">
        <f>Calc!AF28</f>
        <v>-3.5820401316472734E-15</v>
      </c>
      <c r="BK59" s="70">
        <f>Calc!AG28</f>
        <v>8.3849691502299926E-14</v>
      </c>
      <c r="BL59" s="70">
        <f>Calc!AH28</f>
        <v>-1.1974695665155274E-14</v>
      </c>
      <c r="BM59" s="70">
        <f>Calc!AI28</f>
        <v>1.3992723571702571E-13</v>
      </c>
      <c r="BN59" s="70">
        <f>Calc!AJ28</f>
        <v>-1.9512671142830398E-18</v>
      </c>
      <c r="BO59" s="70">
        <f>Calc!AK28</f>
        <v>-5.3077699333282608E-18</v>
      </c>
      <c r="BP59" s="70">
        <f>Calc!AL28</f>
        <v>-5.0684953990116157E-18</v>
      </c>
      <c r="BQ59" s="70">
        <f>Calc!AM28</f>
        <v>1.8188154875919656E-18</v>
      </c>
      <c r="BR59" s="70">
        <f>Calc!AN28</f>
        <v>-4.1283696718184709E-17</v>
      </c>
      <c r="BS59" s="70">
        <f>Calc!AO28</f>
        <v>-2.8354566386199998E-22</v>
      </c>
      <c r="BT59" s="70">
        <f>Calc!AP28</f>
        <v>-1.41115330397E-21</v>
      </c>
      <c r="BU59" s="70">
        <f>Calc!AQ28</f>
        <v>3.7772581494399997E-23</v>
      </c>
      <c r="BV59" s="70">
        <f>Calc!AR28</f>
        <v>-9.5467436388700002E-22</v>
      </c>
      <c r="BW59" s="70">
        <f>Calc!AS28</f>
        <v>-1.14278133866E-21</v>
      </c>
      <c r="BX59" s="70">
        <f>Calc!AT28</f>
        <v>6.1158238038100001E-21</v>
      </c>
      <c r="BY59" s="70">
        <f>H59-Calc!E$14</f>
        <v>-778.97525033000011</v>
      </c>
      <c r="BZ59" s="70">
        <f>-Calc!F$14</f>
        <v>16320.8161616</v>
      </c>
      <c r="CA59" s="70">
        <f>-Calc!G$14</f>
        <v>-1414.16428664</v>
      </c>
      <c r="CB59" s="70">
        <f>-Calc!H$14</f>
        <v>118.50973134199999</v>
      </c>
      <c r="CC59" s="70">
        <f>-Calc!I$14</f>
        <v>898.83726239600003</v>
      </c>
      <c r="CD59" s="70">
        <f>-Calc!J$14</f>
        <v>7360.3513493500004</v>
      </c>
      <c r="CE59" s="70">
        <f>-Calc!K$14</f>
        <v>-8851.7602470500005</v>
      </c>
      <c r="CF59" s="70">
        <f>-Calc!L$14</f>
        <v>-564.99900255600005</v>
      </c>
      <c r="CG59" s="70">
        <f>-Calc!M$14</f>
        <v>-13713.6338813</v>
      </c>
      <c r="CH59" s="70">
        <f>-Calc!N$14</f>
        <v>-20917.172032900002</v>
      </c>
      <c r="CI59" s="70">
        <f>-Calc!O$14</f>
        <v>6032.2671464499999</v>
      </c>
      <c r="CJ59" s="70">
        <f>-Calc!P$14</f>
        <v>9725.2500018800001</v>
      </c>
      <c r="CK59" s="70">
        <f>-Calc!Q$14</f>
        <v>759.01608194799996</v>
      </c>
      <c r="CL59" s="70">
        <f>-Calc!R$14</f>
        <v>17851.3632708</v>
      </c>
      <c r="CM59" s="70">
        <f>-Calc!S$14</f>
        <v>29175.886262200002</v>
      </c>
      <c r="CN59" s="70">
        <f>-Calc!T$14</f>
        <v>20389.751649000002</v>
      </c>
      <c r="CO59" s="70">
        <f>-Calc!U$14</f>
        <v>-16546.307259099998</v>
      </c>
      <c r="CP59" s="70">
        <f>-Calc!V$14</f>
        <v>1727.20495678</v>
      </c>
      <c r="CQ59" s="70">
        <f>-Calc!W$14</f>
        <v>-407.401326052</v>
      </c>
      <c r="CR59" s="70">
        <f>-Calc!X$14</f>
        <v>-10222.076407099999</v>
      </c>
      <c r="CS59" s="70">
        <f>-Calc!Y$14</f>
        <v>-15467.1618595</v>
      </c>
      <c r="CT59" s="70">
        <f>Calc!Z28-I59</f>
        <v>-1838.7598205224665</v>
      </c>
      <c r="CU59" s="70">
        <f>-Calc!AA$14</f>
        <v>174.69323044800001</v>
      </c>
      <c r="CV59" s="70">
        <f>-Calc!AB$14</f>
        <v>12741.80523</v>
      </c>
      <c r="CW59" s="70">
        <f>-Calc!AC$14</f>
        <v>973.315105797</v>
      </c>
      <c r="CX59" s="70">
        <f>-Calc!AD$14</f>
        <v>-741.65318332899994</v>
      </c>
      <c r="CY59" s="70">
        <f>-Calc!AE$14</f>
        <v>26050.1731015</v>
      </c>
      <c r="CZ59" s="70">
        <f>-Calc!AF$14</f>
        <v>-1778.16757024</v>
      </c>
      <c r="DA59" s="70">
        <f>-Calc!AG$14</f>
        <v>-11974.2001831</v>
      </c>
      <c r="DB59" s="70">
        <f>-Calc!AH$14</f>
        <v>3963.7133501399999</v>
      </c>
      <c r="DC59" s="70">
        <f>-Calc!AI$14</f>
        <v>-95402.661374599993</v>
      </c>
      <c r="DD59" s="70">
        <f>-Calc!AJ$14</f>
        <v>-276.91222523300002</v>
      </c>
      <c r="DE59" s="70">
        <f>-Calc!AK$14</f>
        <v>9887.0795682999997</v>
      </c>
      <c r="DF59" s="70">
        <f>-Calc!AL$14</f>
        <v>15963.1079372</v>
      </c>
      <c r="DG59" s="70">
        <f>-Calc!AM$14</f>
        <v>-9559.0996431099993</v>
      </c>
      <c r="DH59" s="70">
        <f>-Calc!AN$14</f>
        <v>148252.25471400001</v>
      </c>
      <c r="DI59" s="70">
        <f>-Calc!AO$14</f>
        <v>455.60904260500001</v>
      </c>
      <c r="DJ59" s="70">
        <f>-Calc!AP$14</f>
        <v>12927.8539955</v>
      </c>
      <c r="DK59" s="70">
        <f>-Calc!AQ$14</f>
        <v>-14980.8130815</v>
      </c>
      <c r="DL59" s="70">
        <f>-Calc!AR$14</f>
        <v>-2714.1438414999998</v>
      </c>
      <c r="DM59" s="70">
        <f>-Calc!AS$14</f>
        <v>8383.5910754600009</v>
      </c>
      <c r="DN59" s="70">
        <f>-Calc!AT$14</f>
        <v>-91124.117671</v>
      </c>
    </row>
    <row r="60" spans="1:118" ht="17" thickTop="1" x14ac:dyDescent="0.2">
      <c r="A60" t="s">
        <v>63</v>
      </c>
      <c r="B60" t="s">
        <v>161</v>
      </c>
      <c r="C60" t="s">
        <v>239</v>
      </c>
      <c r="D60" t="s">
        <v>214</v>
      </c>
      <c r="F60" s="31"/>
      <c r="G60" s="31"/>
      <c r="H60" s="30"/>
      <c r="I60" s="30"/>
      <c r="J60" s="31"/>
      <c r="K60" s="31"/>
      <c r="L60" s="79">
        <v>0.196614012122</v>
      </c>
      <c r="M60" s="79">
        <v>0.347495883703</v>
      </c>
      <c r="N60" s="79">
        <v>4260.8299999999899</v>
      </c>
      <c r="O60" s="79">
        <v>-9108.7819999999901</v>
      </c>
      <c r="P60" s="79"/>
      <c r="Q60" s="79"/>
      <c r="R60" s="79"/>
      <c r="V60" s="7"/>
      <c r="W60" s="7"/>
      <c r="AF60" s="28">
        <v>41640</v>
      </c>
      <c r="AH60">
        <v>5</v>
      </c>
      <c r="AI60" s="69">
        <f>Calc!E4</f>
        <v>2.2452089491499998E-2</v>
      </c>
      <c r="AJ60" s="69">
        <f>Calc!F4</f>
        <v>-0.34615826283200002</v>
      </c>
      <c r="AK60" s="69">
        <f>Calc!G4</f>
        <v>-0.22196067389499999</v>
      </c>
      <c r="AL60" s="69">
        <f>Calc!H4</f>
        <v>-3.65346380039E-2</v>
      </c>
      <c r="AM60" s="69">
        <f>Calc!I4</f>
        <v>-6.62554663367E-2</v>
      </c>
      <c r="AN60" s="69">
        <f>Calc!J4</f>
        <v>0.50564650569900005</v>
      </c>
      <c r="AO60" s="69">
        <f>Calc!K4</f>
        <v>-0.262212349259</v>
      </c>
      <c r="AP60" s="69">
        <f>Calc!L4</f>
        <v>-0.33151853145799998</v>
      </c>
      <c r="AQ60" s="69">
        <f>Calc!M4</f>
        <v>-0.324607400075</v>
      </c>
      <c r="AR60" s="69">
        <f>Calc!N4</f>
        <v>1.73425466344</v>
      </c>
      <c r="AS60" s="69">
        <f>Calc!O4</f>
        <v>-0.79306605620600001</v>
      </c>
      <c r="AT60" s="69">
        <f>Calc!P4</f>
        <v>-1.62976278947</v>
      </c>
      <c r="AU60" s="69">
        <f>Calc!Q4</f>
        <v>-1.14982818973</v>
      </c>
      <c r="AV60" s="69">
        <f>Calc!R4</f>
        <v>-0.78470002691399998</v>
      </c>
      <c r="AW60" s="69">
        <f>Calc!S4</f>
        <v>2.8254000440699998</v>
      </c>
      <c r="AX60" s="69">
        <f>Calc!T4</f>
        <v>-0.71313272907000003</v>
      </c>
      <c r="AY60" s="69">
        <f>Calc!U4</f>
        <v>-2.5570900887999999</v>
      </c>
      <c r="AZ60" s="69">
        <f>Calc!V4</f>
        <v>-2.4060143969699999</v>
      </c>
      <c r="BA60" s="69">
        <f>Calc!W4</f>
        <v>-1.1506131429999999</v>
      </c>
      <c r="BB60" s="69">
        <f>Calc!X4</f>
        <v>-0.62130728115599998</v>
      </c>
      <c r="BC60" s="69">
        <f>Calc!Y4</f>
        <v>1.8418684947399999</v>
      </c>
      <c r="BD60" s="69">
        <f>Calc!Z4</f>
        <v>-0.10749995238100001</v>
      </c>
      <c r="BE60" s="69">
        <f>Calc!AA4</f>
        <v>0.29265383959399999</v>
      </c>
      <c r="BF60" s="69">
        <f>Calc!AB4</f>
        <v>-0.29305614642700001</v>
      </c>
      <c r="BG60" s="69">
        <f>Calc!AC4</f>
        <v>3.8421106442600002E-2</v>
      </c>
      <c r="BH60" s="69">
        <f>Calc!AD4</f>
        <v>-7.7237358618099994E-2</v>
      </c>
      <c r="BI60" s="69">
        <f>Calc!AE4</f>
        <v>0.38312591179299998</v>
      </c>
      <c r="BJ60" s="69">
        <f>Calc!AF4</f>
        <v>0.14418243794499999</v>
      </c>
      <c r="BK60" s="69">
        <f>Calc!AG4</f>
        <v>0.497361273065</v>
      </c>
      <c r="BL60" s="69">
        <f>Calc!AH4</f>
        <v>-0.45026681899100002</v>
      </c>
      <c r="BM60" s="69">
        <f>Calc!AI4</f>
        <v>1.51406144149</v>
      </c>
      <c r="BN60" s="69">
        <f>Calc!AJ4</f>
        <v>-0.39862223065000002</v>
      </c>
      <c r="BO60" s="69">
        <f>Calc!AK4</f>
        <v>0.67962178249000005</v>
      </c>
      <c r="BP60" s="69">
        <f>Calc!AL4</f>
        <v>1.7303790268699999</v>
      </c>
      <c r="BQ60" s="69">
        <f>Calc!AM4</f>
        <v>-1.0511460775399999</v>
      </c>
      <c r="BR60" s="69">
        <f>Calc!AN4</f>
        <v>2.7329675688099999</v>
      </c>
      <c r="BS60" s="69">
        <f>Calc!AO4</f>
        <v>-1.3207794239999999</v>
      </c>
      <c r="BT60" s="69">
        <f>Calc!AP4</f>
        <v>-1.21242979966</v>
      </c>
      <c r="BU60" s="69">
        <f>Calc!AQ4</f>
        <v>0.73922194118999995</v>
      </c>
      <c r="BV60" s="69">
        <f>Calc!AR4</f>
        <v>2.0949705669099998</v>
      </c>
      <c r="BW60" s="69">
        <f>Calc!AS4</f>
        <v>-0.97331980040499999</v>
      </c>
      <c r="BX60" s="69">
        <f>Calc!AT4</f>
        <v>1.9627746962099999</v>
      </c>
      <c r="BY60" s="69">
        <f>Calc!E15</f>
        <v>0.18778659975799999</v>
      </c>
      <c r="BZ60" s="69">
        <f>Calc!F15</f>
        <v>-1.58243423774</v>
      </c>
      <c r="CA60" s="69">
        <f>Calc!G15</f>
        <v>1.45495341163</v>
      </c>
      <c r="CB60" s="69">
        <f>Calc!H15</f>
        <v>-1.51403406882</v>
      </c>
      <c r="CC60" s="69">
        <f>Calc!I15</f>
        <v>0.187897269916</v>
      </c>
      <c r="CD60" s="69">
        <f>Calc!J15</f>
        <v>0.62890365261299996</v>
      </c>
      <c r="CE60" s="69">
        <f>Calc!K15</f>
        <v>13.707285520599999</v>
      </c>
      <c r="CF60" s="69">
        <f>Calc!L15</f>
        <v>-1.19625846079</v>
      </c>
      <c r="CG60" s="69">
        <f>Calc!M15</f>
        <v>-12.598131795600001</v>
      </c>
      <c r="CH60" s="69">
        <f>Calc!N15</f>
        <v>0.88838620560100001</v>
      </c>
      <c r="CI60" s="69">
        <f>Calc!O15</f>
        <v>-63.966942496199998</v>
      </c>
      <c r="CJ60" s="69">
        <f>Calc!P15</f>
        <v>-1.39073153166</v>
      </c>
      <c r="CK60" s="69">
        <f>Calc!Q15</f>
        <v>104.22954895300001</v>
      </c>
      <c r="CL60" s="69">
        <f>Calc!R15</f>
        <v>-8.4461060739399993</v>
      </c>
      <c r="CM60" s="69">
        <f>Calc!S15</f>
        <v>10.9893854232</v>
      </c>
      <c r="CN60" s="69">
        <f>Calc!T15</f>
        <v>113.938706721</v>
      </c>
      <c r="CO60" s="69">
        <f>Calc!U15</f>
        <v>22.278223629500001</v>
      </c>
      <c r="CP60" s="69">
        <f>Calc!V15</f>
        <v>-263.206320624</v>
      </c>
      <c r="CQ60" s="69">
        <f>Calc!W15</f>
        <v>70.586504895499999</v>
      </c>
      <c r="CR60" s="69">
        <f>Calc!X15</f>
        <v>4.5235766661700003</v>
      </c>
      <c r="CS60" s="69">
        <f>Calc!Y15</f>
        <v>41.730231770499998</v>
      </c>
      <c r="CT60" s="69">
        <f>Calc!Z15</f>
        <v>-0.16007682894</v>
      </c>
      <c r="CU60" s="69">
        <f>Calc!AA15</f>
        <v>-1.36607251101</v>
      </c>
      <c r="CV60" s="69">
        <f>Calc!AB15</f>
        <v>-1.7564482776499999</v>
      </c>
      <c r="CW60" s="69">
        <f>Calc!AC15</f>
        <v>-1.7375898304299999</v>
      </c>
      <c r="CX60" s="69">
        <f>Calc!AD15</f>
        <v>2.1452578782099998</v>
      </c>
      <c r="CY60" s="69">
        <f>Calc!AE15</f>
        <v>-0.45511127248299998</v>
      </c>
      <c r="CZ60" s="69">
        <f>Calc!AF15</f>
        <v>13.2756347686</v>
      </c>
      <c r="DA60" s="69">
        <f>Calc!AG15</f>
        <v>-36.421310081199998</v>
      </c>
      <c r="DB60" s="69">
        <f>Calc!AH15</f>
        <v>-0.4530802988</v>
      </c>
      <c r="DC60" s="69">
        <f>Calc!AI15</f>
        <v>-6.9461590607100003</v>
      </c>
      <c r="DD60" s="69">
        <f>Calc!AJ15</f>
        <v>-57.934658847599998</v>
      </c>
      <c r="DE60" s="69">
        <f>Calc!AK15</f>
        <v>237.34128326000001</v>
      </c>
      <c r="DF60" s="69">
        <f>Calc!AL15</f>
        <v>31.416874275600001</v>
      </c>
      <c r="DG60" s="69">
        <f>Calc!AM15</f>
        <v>138.712023139</v>
      </c>
      <c r="DH60" s="69">
        <f>Calc!AN15</f>
        <v>38.208136049399997</v>
      </c>
      <c r="DI60" s="69">
        <f>Calc!AO15</f>
        <v>92.848975320700006</v>
      </c>
      <c r="DJ60" s="69">
        <f>Calc!AP15</f>
        <v>-580.41089261499997</v>
      </c>
      <c r="DK60" s="69">
        <f>Calc!AQ15</f>
        <v>-192.78639710799999</v>
      </c>
      <c r="DL60" s="69">
        <f>Calc!AR15</f>
        <v>-763.29265209799996</v>
      </c>
      <c r="DM60" s="69">
        <f>Calc!AS15</f>
        <v>-500.08046459600001</v>
      </c>
      <c r="DN60" s="69">
        <f>Calc!AT15</f>
        <v>-151.31648349100001</v>
      </c>
    </row>
    <row r="61" spans="1:118" x14ac:dyDescent="0.2">
      <c r="A61" t="s">
        <v>63</v>
      </c>
      <c r="B61" t="s">
        <v>191</v>
      </c>
      <c r="C61" t="s">
        <v>239</v>
      </c>
      <c r="D61" t="s">
        <v>214</v>
      </c>
      <c r="F61" s="31"/>
      <c r="G61" s="31"/>
      <c r="H61" s="30"/>
      <c r="I61" s="30"/>
      <c r="J61" s="31"/>
      <c r="K61" s="31"/>
      <c r="L61" s="79">
        <v>0.196614012122</v>
      </c>
      <c r="M61" s="79">
        <v>0.347495883703</v>
      </c>
      <c r="N61" s="79">
        <v>4260.8299999999899</v>
      </c>
      <c r="O61" s="79">
        <v>-9108.7819999999901</v>
      </c>
      <c r="P61" s="79"/>
      <c r="Q61" s="79"/>
      <c r="R61" s="79"/>
      <c r="V61" s="7"/>
      <c r="W61" s="7"/>
      <c r="AF61" s="28">
        <v>41640</v>
      </c>
      <c r="AH61">
        <v>5</v>
      </c>
      <c r="AI61" s="69">
        <f>Calc!E5</f>
        <v>2.2453261502599998E-2</v>
      </c>
      <c r="AJ61" s="69">
        <f>Calc!F5</f>
        <v>-0.34615833266399998</v>
      </c>
      <c r="AK61" s="69">
        <f>Calc!G5</f>
        <v>-0.221974715786</v>
      </c>
      <c r="AL61" s="69">
        <f>Calc!H5</f>
        <v>-3.65571143784E-2</v>
      </c>
      <c r="AM61" s="69">
        <f>Calc!I5</f>
        <v>-6.6352660043200007E-2</v>
      </c>
      <c r="AN61" s="69">
        <f>Calc!J5</f>
        <v>0.50555736293300002</v>
      </c>
      <c r="AO61" s="69">
        <f>Calc!K5</f>
        <v>-0.26229482282200001</v>
      </c>
      <c r="AP61" s="69">
        <f>Calc!L5</f>
        <v>-0.33165468951100002</v>
      </c>
      <c r="AQ61" s="69">
        <f>Calc!M5</f>
        <v>-0.325011692317</v>
      </c>
      <c r="AR61" s="69">
        <f>Calc!N5</f>
        <v>1.73405478063</v>
      </c>
      <c r="AS61" s="69">
        <f>Calc!O5</f>
        <v>-0.793228211505</v>
      </c>
      <c r="AT61" s="69">
        <f>Calc!P5</f>
        <v>-1.6301736953499999</v>
      </c>
      <c r="AU61" s="69">
        <f>Calc!Q5</f>
        <v>-1.1502314141600001</v>
      </c>
      <c r="AV61" s="69">
        <f>Calc!R5</f>
        <v>-0.78554105130899998</v>
      </c>
      <c r="AW61" s="69">
        <f>Calc!S5</f>
        <v>2.8251297625</v>
      </c>
      <c r="AX61" s="69">
        <f>Calc!T5</f>
        <v>-0.712589783506</v>
      </c>
      <c r="AY61" s="69">
        <f>Calc!U5</f>
        <v>-2.5577369613199998</v>
      </c>
      <c r="AZ61" s="69">
        <f>Calc!V5</f>
        <v>-2.4067344635199999</v>
      </c>
      <c r="BA61" s="69">
        <f>Calc!W5</f>
        <v>-1.15107720213</v>
      </c>
      <c r="BB61" s="69">
        <f>Calc!X5</f>
        <v>-0.62199830330500006</v>
      </c>
      <c r="BC61" s="69">
        <f>Calc!Y5</f>
        <v>1.8417046932900001</v>
      </c>
      <c r="BD61" s="69">
        <f>Calc!Z5</f>
        <v>-0.107497778929</v>
      </c>
      <c r="BE61" s="69">
        <f>Calc!AA5</f>
        <v>0.29264904087600002</v>
      </c>
      <c r="BF61" s="69">
        <f>Calc!AB5</f>
        <v>-0.29305824180500001</v>
      </c>
      <c r="BG61" s="69">
        <f>Calc!AC5</f>
        <v>3.8402480670000003E-2</v>
      </c>
      <c r="BH61" s="69">
        <f>Calc!AD5</f>
        <v>-7.7217905996300004E-2</v>
      </c>
      <c r="BI61" s="69">
        <f>Calc!AE5</f>
        <v>0.38311289778000002</v>
      </c>
      <c r="BJ61" s="69">
        <f>Calc!AF5</f>
        <v>0.144172262361</v>
      </c>
      <c r="BK61" s="69">
        <f>Calc!AG5</f>
        <v>0.49727040676299999</v>
      </c>
      <c r="BL61" s="69">
        <f>Calc!AH5</f>
        <v>-0.45024292954599998</v>
      </c>
      <c r="BM61" s="69">
        <f>Calc!AI5</f>
        <v>1.51411370748</v>
      </c>
      <c r="BN61" s="69">
        <f>Calc!AJ5</f>
        <v>-0.39861727992899998</v>
      </c>
      <c r="BO61" s="69">
        <f>Calc!AK5</f>
        <v>0.67942037270300004</v>
      </c>
      <c r="BP61" s="69">
        <f>Calc!AL5</f>
        <v>1.7301180410200001</v>
      </c>
      <c r="BQ61" s="69">
        <f>Calc!AM5</f>
        <v>-1.05113749397</v>
      </c>
      <c r="BR61" s="69">
        <f>Calc!AN5</f>
        <v>2.7330949949100001</v>
      </c>
      <c r="BS61" s="69">
        <f>Calc!AO5</f>
        <v>-1.32001618195</v>
      </c>
      <c r="BT61" s="69">
        <f>Calc!AP5</f>
        <v>-1.2125772344900001</v>
      </c>
      <c r="BU61" s="69">
        <f>Calc!AQ5</f>
        <v>0.73885807180200003</v>
      </c>
      <c r="BV61" s="69">
        <f>Calc!AR5</f>
        <v>2.0946363420399998</v>
      </c>
      <c r="BW61" s="69">
        <f>Calc!AS5</f>
        <v>-0.97330511922100005</v>
      </c>
      <c r="BX61" s="69">
        <f>Calc!AT5</f>
        <v>1.9628533215399999</v>
      </c>
      <c r="BY61" s="69">
        <f>Calc!E16</f>
        <v>0.18779002069699999</v>
      </c>
      <c r="BZ61" s="69">
        <f>Calc!F16</f>
        <v>-1.5824138803500001</v>
      </c>
      <c r="CA61" s="69">
        <f>Calc!G16</f>
        <v>1.45499158053</v>
      </c>
      <c r="CB61" s="69">
        <f>Calc!H16</f>
        <v>-1.51496284575</v>
      </c>
      <c r="CC61" s="69">
        <f>Calc!I16</f>
        <v>0.18795040209</v>
      </c>
      <c r="CD61" s="69">
        <f>Calc!J16</f>
        <v>0.62887292459499999</v>
      </c>
      <c r="CE61" s="69">
        <f>Calc!K16</f>
        <v>13.7142768185</v>
      </c>
      <c r="CF61" s="69">
        <f>Calc!L16</f>
        <v>-1.19559262293</v>
      </c>
      <c r="CG61" s="69">
        <f>Calc!M16</f>
        <v>-12.596636469</v>
      </c>
      <c r="CH61" s="69">
        <f>Calc!N16</f>
        <v>0.888656673565</v>
      </c>
      <c r="CI61" s="69">
        <f>Calc!O16</f>
        <v>-63.996600643599997</v>
      </c>
      <c r="CJ61" s="69">
        <f>Calc!P16</f>
        <v>-1.4005692924099999</v>
      </c>
      <c r="CK61" s="69">
        <f>Calc!Q16</f>
        <v>104.217588756</v>
      </c>
      <c r="CL61" s="69">
        <f>Calc!R16</f>
        <v>-8.4601107780299998</v>
      </c>
      <c r="CM61" s="69">
        <f>Calc!S16</f>
        <v>10.9908767115</v>
      </c>
      <c r="CN61" s="69">
        <f>Calc!T16</f>
        <v>113.992406676</v>
      </c>
      <c r="CO61" s="69">
        <f>Calc!U16</f>
        <v>22.305853747899999</v>
      </c>
      <c r="CP61" s="69">
        <f>Calc!V16</f>
        <v>-263.16178132200002</v>
      </c>
      <c r="CQ61" s="69">
        <f>Calc!W16</f>
        <v>70.649699432899993</v>
      </c>
      <c r="CR61" s="69">
        <f>Calc!X16</f>
        <v>4.5110862153499998</v>
      </c>
      <c r="CS61" s="69">
        <f>Calc!Y16</f>
        <v>41.731478089600003</v>
      </c>
      <c r="CT61" s="69">
        <f>Calc!Z16</f>
        <v>-0.16007200601400001</v>
      </c>
      <c r="CU61" s="69">
        <f>Calc!AA16</f>
        <v>-1.3660526311400001</v>
      </c>
      <c r="CV61" s="69">
        <f>Calc!AB16</f>
        <v>-1.75646339027</v>
      </c>
      <c r="CW61" s="69">
        <f>Calc!AC16</f>
        <v>-1.73821603282</v>
      </c>
      <c r="CX61" s="69">
        <f>Calc!AD16</f>
        <v>2.1445362182799999</v>
      </c>
      <c r="CY61" s="69">
        <f>Calc!AE16</f>
        <v>-0.45496863350599998</v>
      </c>
      <c r="CZ61" s="69">
        <f>Calc!AF16</f>
        <v>13.279777466300001</v>
      </c>
      <c r="DA61" s="69">
        <f>Calc!AG16</f>
        <v>-36.415375486599999</v>
      </c>
      <c r="DB61" s="69">
        <f>Calc!AH16</f>
        <v>-0.46230714554300001</v>
      </c>
      <c r="DC61" s="69">
        <f>Calc!AI16</f>
        <v>-6.9438218600099999</v>
      </c>
      <c r="DD61" s="69">
        <f>Calc!AJ16</f>
        <v>-57.9546447779</v>
      </c>
      <c r="DE61" s="69">
        <f>Calc!AK16</f>
        <v>237.31536321199999</v>
      </c>
      <c r="DF61" s="69">
        <f>Calc!AL16</f>
        <v>31.5028729502</v>
      </c>
      <c r="DG61" s="69">
        <f>Calc!AM16</f>
        <v>138.686034487</v>
      </c>
      <c r="DH61" s="69">
        <f>Calc!AN16</f>
        <v>38.2289248206</v>
      </c>
      <c r="DI61" s="69">
        <f>Calc!AO16</f>
        <v>92.890865280599996</v>
      </c>
      <c r="DJ61" s="69">
        <f>Calc!AP16</f>
        <v>-580.36619799499999</v>
      </c>
      <c r="DK61" s="69">
        <f>Calc!AQ16</f>
        <v>-193.03346069599999</v>
      </c>
      <c r="DL61" s="69">
        <f>Calc!AR16</f>
        <v>-763.19833900900005</v>
      </c>
      <c r="DM61" s="69">
        <f>Calc!AS16</f>
        <v>-500.268721669</v>
      </c>
      <c r="DN61" s="69">
        <f>Calc!AT16</f>
        <v>-151.32983723000001</v>
      </c>
    </row>
    <row r="62" spans="1:118" s="73" customFormat="1" ht="17" thickBot="1" x14ac:dyDescent="0.25">
      <c r="A62" s="73" t="s">
        <v>63</v>
      </c>
      <c r="B62" s="73" t="s">
        <v>192</v>
      </c>
      <c r="C62" s="73" t="s">
        <v>239</v>
      </c>
      <c r="D62" s="73" t="s">
        <v>214</v>
      </c>
      <c r="F62" s="74"/>
      <c r="G62" s="74"/>
      <c r="H62" s="75"/>
      <c r="I62" s="75"/>
      <c r="J62" s="74"/>
      <c r="K62" s="74"/>
      <c r="L62" s="93">
        <v>0.196614012122</v>
      </c>
      <c r="M62" s="93">
        <v>0.347495883703</v>
      </c>
      <c r="N62" s="93">
        <v>4260.8299999999899</v>
      </c>
      <c r="O62" s="93">
        <v>-9108.7819999999901</v>
      </c>
      <c r="P62" s="93"/>
      <c r="Q62" s="93"/>
      <c r="R62" s="93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7">
        <v>41640</v>
      </c>
      <c r="AH62" s="73">
        <v>5</v>
      </c>
      <c r="AI62" s="78">
        <f>Calc!E6</f>
        <v>2.2451332320999998E-2</v>
      </c>
      <c r="AJ62" s="78">
        <f>Calc!F6</f>
        <v>-0.34616135507200002</v>
      </c>
      <c r="AK62" s="78">
        <f>Calc!G6</f>
        <v>-0.22198059449400001</v>
      </c>
      <c r="AL62" s="78">
        <f>Calc!H6</f>
        <v>-3.6552409522E-2</v>
      </c>
      <c r="AM62" s="78">
        <f>Calc!I6</f>
        <v>-6.6320673844599998E-2</v>
      </c>
      <c r="AN62" s="78">
        <f>Calc!J6</f>
        <v>0.50555072732200002</v>
      </c>
      <c r="AO62" s="78">
        <f>Calc!K6</f>
        <v>-0.26227861278999998</v>
      </c>
      <c r="AP62" s="78">
        <f>Calc!L6</f>
        <v>-0.33160353810600002</v>
      </c>
      <c r="AQ62" s="78">
        <f>Calc!M6</f>
        <v>-0.32483210773600002</v>
      </c>
      <c r="AR62" s="78">
        <f>Calc!N6</f>
        <v>1.73404510394</v>
      </c>
      <c r="AS62" s="78">
        <f>Calc!O6</f>
        <v>-0.79326758858900004</v>
      </c>
      <c r="AT62" s="78">
        <f>Calc!P6</f>
        <v>-1.6299959615999999</v>
      </c>
      <c r="AU62" s="78">
        <f>Calc!Q6</f>
        <v>-1.15002925051</v>
      </c>
      <c r="AV62" s="78">
        <f>Calc!R6</f>
        <v>-0.785111420964</v>
      </c>
      <c r="AW62" s="78">
        <f>Calc!S6</f>
        <v>2.8251342657</v>
      </c>
      <c r="AX62" s="78">
        <f>Calc!T6</f>
        <v>-0.712510332498</v>
      </c>
      <c r="AY62" s="78">
        <f>Calc!U6</f>
        <v>-2.5578303045299999</v>
      </c>
      <c r="AZ62" s="78">
        <f>Calc!V6</f>
        <v>-2.40639954831</v>
      </c>
      <c r="BA62" s="78">
        <f>Calc!W6</f>
        <v>-1.15083259209</v>
      </c>
      <c r="BB62" s="78">
        <f>Calc!X6</f>
        <v>-0.62162682739099995</v>
      </c>
      <c r="BC62" s="78">
        <f>Calc!Y6</f>
        <v>1.8417177877199999</v>
      </c>
      <c r="BD62" s="78">
        <f>Calc!Z6</f>
        <v>-0.107499800314</v>
      </c>
      <c r="BE62" s="78">
        <f>Calc!AA6</f>
        <v>0.29265390691600002</v>
      </c>
      <c r="BF62" s="78">
        <f>Calc!AB6</f>
        <v>-0.29306223152100003</v>
      </c>
      <c r="BG62" s="78">
        <f>Calc!AC6</f>
        <v>3.8397563358E-2</v>
      </c>
      <c r="BH62" s="78">
        <f>Calc!AD6</f>
        <v>-7.7214978445299995E-2</v>
      </c>
      <c r="BI62" s="78">
        <f>Calc!AE6</f>
        <v>0.38312353594699999</v>
      </c>
      <c r="BJ62" s="78">
        <f>Calc!AF6</f>
        <v>0.14419591480400001</v>
      </c>
      <c r="BK62" s="78">
        <f>Calc!AG6</f>
        <v>0.49722672215899999</v>
      </c>
      <c r="BL62" s="78">
        <f>Calc!AH6</f>
        <v>-0.45024171281399999</v>
      </c>
      <c r="BM62" s="78">
        <f>Calc!AI6</f>
        <v>1.51416322876</v>
      </c>
      <c r="BN62" s="78">
        <f>Calc!AJ6</f>
        <v>-0.39854400481300001</v>
      </c>
      <c r="BO62" s="78">
        <f>Calc!AK6</f>
        <v>0.67952986989899999</v>
      </c>
      <c r="BP62" s="78">
        <f>Calc!AL6</f>
        <v>1.7300112667900001</v>
      </c>
      <c r="BQ62" s="78">
        <f>Calc!AM6</f>
        <v>-1.05115755107</v>
      </c>
      <c r="BR62" s="78">
        <f>Calc!AN6</f>
        <v>2.73320134042</v>
      </c>
      <c r="BS62" s="78">
        <f>Calc!AO6</f>
        <v>-1.31996096641</v>
      </c>
      <c r="BT62" s="78">
        <f>Calc!AP6</f>
        <v>-1.2123059838900001</v>
      </c>
      <c r="BU62" s="78">
        <f>Calc!AQ6</f>
        <v>0.73901378003700002</v>
      </c>
      <c r="BV62" s="78">
        <f>Calc!AR6</f>
        <v>2.0945425522100001</v>
      </c>
      <c r="BW62" s="78">
        <f>Calc!AS6</f>
        <v>-0.97333389222099997</v>
      </c>
      <c r="BX62" s="78">
        <f>Calc!AT6</f>
        <v>1.96293644555</v>
      </c>
      <c r="BY62" s="78">
        <f>Calc!E17</f>
        <v>0.18778717216099999</v>
      </c>
      <c r="BZ62" s="78">
        <f>Calc!F17</f>
        <v>-1.58239300596</v>
      </c>
      <c r="CA62" s="78">
        <f>Calc!G17</f>
        <v>1.45496420219</v>
      </c>
      <c r="CB62" s="78">
        <f>Calc!H17</f>
        <v>-1.5148301317399999</v>
      </c>
      <c r="CC62" s="78">
        <f>Calc!I17</f>
        <v>0.18813833780200001</v>
      </c>
      <c r="CD62" s="78">
        <f>Calc!J17</f>
        <v>0.62880849553499996</v>
      </c>
      <c r="CE62" s="78">
        <f>Calc!K17</f>
        <v>13.712590175300001</v>
      </c>
      <c r="CF62" s="78">
        <f>Calc!L17</f>
        <v>-1.1981069504799999</v>
      </c>
      <c r="CG62" s="78">
        <f>Calc!M17</f>
        <v>-12.595478764499999</v>
      </c>
      <c r="CH62" s="78">
        <f>Calc!N17</f>
        <v>0.88904914366499999</v>
      </c>
      <c r="CI62" s="78">
        <f>Calc!O17</f>
        <v>-63.987306319200002</v>
      </c>
      <c r="CJ62" s="78">
        <f>Calc!P17</f>
        <v>-1.3847101527800001</v>
      </c>
      <c r="CK62" s="78">
        <f>Calc!Q17</f>
        <v>104.208981013</v>
      </c>
      <c r="CL62" s="78">
        <f>Calc!R17</f>
        <v>-8.46931264971</v>
      </c>
      <c r="CM62" s="78">
        <f>Calc!S17</f>
        <v>10.991189498200001</v>
      </c>
      <c r="CN62" s="78">
        <f>Calc!T17</f>
        <v>113.974012243</v>
      </c>
      <c r="CO62" s="78">
        <f>Calc!U17</f>
        <v>22.2670214495</v>
      </c>
      <c r="CP62" s="78">
        <f>Calc!V17</f>
        <v>-263.13730993000001</v>
      </c>
      <c r="CQ62" s="78">
        <f>Calc!W17</f>
        <v>70.690527814199996</v>
      </c>
      <c r="CR62" s="78">
        <f>Calc!X17</f>
        <v>4.5113983649999998</v>
      </c>
      <c r="CS62" s="78">
        <f>Calc!Y17</f>
        <v>41.739491743999999</v>
      </c>
      <c r="CT62" s="78">
        <f>Calc!Z17</f>
        <v>-0.16007535686800001</v>
      </c>
      <c r="CU62" s="78">
        <f>Calc!AA17</f>
        <v>-1.36604925702</v>
      </c>
      <c r="CV62" s="78">
        <f>Calc!AB17</f>
        <v>-1.7564299524</v>
      </c>
      <c r="CW62" s="78">
        <f>Calc!AC17</f>
        <v>-1.7378828683300001</v>
      </c>
      <c r="CX62" s="78">
        <f>Calc!AD17</f>
        <v>2.14425490631</v>
      </c>
      <c r="CY62" s="78">
        <f>Calc!AE17</f>
        <v>-0.45493200505600001</v>
      </c>
      <c r="CZ62" s="78">
        <f>Calc!AF17</f>
        <v>13.2765522987</v>
      </c>
      <c r="DA62" s="78">
        <f>Calc!AG17</f>
        <v>-36.411450162199998</v>
      </c>
      <c r="DB62" s="78">
        <f>Calc!AH17</f>
        <v>-0.46255857027699998</v>
      </c>
      <c r="DC62" s="78">
        <f>Calc!AI17</f>
        <v>-6.9429835224999996</v>
      </c>
      <c r="DD62" s="78">
        <f>Calc!AJ17</f>
        <v>-57.938420166599997</v>
      </c>
      <c r="DE62" s="78">
        <f>Calc!AK17</f>
        <v>237.29248671900001</v>
      </c>
      <c r="DF62" s="78">
        <f>Calc!AL17</f>
        <v>31.5070226932</v>
      </c>
      <c r="DG62" s="78">
        <f>Calc!AM17</f>
        <v>138.672756037</v>
      </c>
      <c r="DH62" s="78">
        <f>Calc!AN17</f>
        <v>38.224910956000002</v>
      </c>
      <c r="DI62" s="78">
        <f>Calc!AO17</f>
        <v>92.859735813599997</v>
      </c>
      <c r="DJ62" s="78">
        <f>Calc!AP17</f>
        <v>-580.31623422899997</v>
      </c>
      <c r="DK62" s="78">
        <f>Calc!AQ17</f>
        <v>-193.05115649699999</v>
      </c>
      <c r="DL62" s="78">
        <f>Calc!AR17</f>
        <v>-763.13949290000005</v>
      </c>
      <c r="DM62" s="78">
        <f>Calc!AS17</f>
        <v>-500.23018700799997</v>
      </c>
      <c r="DN62" s="78">
        <f>Calc!AT17</f>
        <v>-151.308396114</v>
      </c>
    </row>
    <row r="63" spans="1:118" x14ac:dyDescent="0.2">
      <c r="A63" t="s">
        <v>63</v>
      </c>
      <c r="B63" t="s">
        <v>240</v>
      </c>
      <c r="C63" t="s">
        <v>239</v>
      </c>
      <c r="D63" t="s">
        <v>214</v>
      </c>
      <c r="L63" s="79">
        <v>0.10539</v>
      </c>
      <c r="M63" s="79">
        <v>-0.11913000025000001</v>
      </c>
      <c r="N63" s="79">
        <v>-2.2959999999999998</v>
      </c>
      <c r="O63" s="79">
        <v>2.2953000000000001</v>
      </c>
      <c r="P63" s="79">
        <v>-5.1828980561099996E-7</v>
      </c>
      <c r="Q63" s="79">
        <v>-1.9270453239700001E-9</v>
      </c>
      <c r="R63" s="79">
        <v>0.20749999999999999</v>
      </c>
      <c r="AF63" s="28">
        <v>41640</v>
      </c>
      <c r="AH63">
        <v>5</v>
      </c>
      <c r="AI63" s="80">
        <v>-6.7646952180425101E-12</v>
      </c>
      <c r="AJ63" s="80">
        <v>0.99999134903638298</v>
      </c>
      <c r="AK63" s="80">
        <v>-1.18184543972527E-3</v>
      </c>
      <c r="AL63" s="80">
        <v>1.2992628344128799E-2</v>
      </c>
      <c r="AM63" s="79">
        <v>1.9853217963233999E-2</v>
      </c>
      <c r="AN63" s="79">
        <v>-4.4219422632527303E-3</v>
      </c>
      <c r="AO63" s="79">
        <v>1.82998157135081E-2</v>
      </c>
      <c r="AP63" s="79">
        <v>3.1110902255286301E-4</v>
      </c>
      <c r="AQ63" s="79">
        <v>1.83656866926716E-2</v>
      </c>
      <c r="AR63" s="79">
        <v>-1.5786783293088999E-4</v>
      </c>
      <c r="AS63" s="79">
        <v>7.6705163096244899E-4</v>
      </c>
      <c r="AT63" s="79">
        <v>8.9203926876170697E-4</v>
      </c>
      <c r="AU63" s="79">
        <v>6.4875376035777898E-4</v>
      </c>
      <c r="AV63" s="79">
        <v>8.4765515577951104E-4</v>
      </c>
      <c r="AW63" s="79">
        <v>-8.1013447396911001E-5</v>
      </c>
      <c r="AX63" s="79">
        <v>4.2978745980293298E-4</v>
      </c>
      <c r="AY63" s="79">
        <v>9.5539525943220092E-3</v>
      </c>
      <c r="AZ63" s="79">
        <v>1.40211256553355E-2</v>
      </c>
      <c r="BA63" s="79">
        <v>1.8311387587264201E-2</v>
      </c>
      <c r="BB63" s="79">
        <v>-4.5833740775318398E-3</v>
      </c>
      <c r="BC63" s="79">
        <v>-2.23528778759241E-3</v>
      </c>
      <c r="BD63" s="79">
        <v>-6.1150263079740897E-10</v>
      </c>
      <c r="BE63" s="79">
        <v>-1.1798010056918199E-3</v>
      </c>
      <c r="BF63" s="79">
        <v>0.99998695919705205</v>
      </c>
      <c r="BG63" s="79">
        <v>-5.0442485208027302E-3</v>
      </c>
      <c r="BH63" s="79">
        <v>1.7428514642304001E-2</v>
      </c>
      <c r="BI63" s="79">
        <v>1.48149812340722E-2</v>
      </c>
      <c r="BJ63" s="79">
        <v>-1.6496650264152999E-4</v>
      </c>
      <c r="BK63" s="79">
        <v>1.8286067856775699E-2</v>
      </c>
      <c r="BL63" s="79">
        <v>3.64647223491117E-4</v>
      </c>
      <c r="BM63" s="79">
        <v>1.83504542886734E-2</v>
      </c>
      <c r="BN63" s="79">
        <v>-6.1455315691871001E-5</v>
      </c>
      <c r="BO63" s="79">
        <v>8.1286189015532999E-4</v>
      </c>
      <c r="BP63" s="79">
        <v>9.1123628835883903E-4</v>
      </c>
      <c r="BQ63" s="79">
        <v>8.1897427858708904E-4</v>
      </c>
      <c r="BR63" s="79">
        <v>9.2817813747612498E-4</v>
      </c>
      <c r="BS63" s="79">
        <v>-2.7649781826566401E-5</v>
      </c>
      <c r="BT63" s="79">
        <v>-7.7954570014195897E-3</v>
      </c>
      <c r="BU63" s="79">
        <v>2.9976883637665699E-3</v>
      </c>
      <c r="BV63" s="79">
        <v>-9.3630022298860603E-3</v>
      </c>
      <c r="BW63" s="79">
        <v>-1.4833632251258801E-3</v>
      </c>
      <c r="BX63" s="79">
        <v>2.9589770740834299E-4</v>
      </c>
      <c r="BY63" s="79">
        <v>5.8877815714631501E-12</v>
      </c>
      <c r="BZ63" s="79">
        <v>1.00001004540506</v>
      </c>
      <c r="CA63" s="79">
        <v>1.1818727416725201E-3</v>
      </c>
      <c r="CB63" s="79">
        <v>-1.30104992776596E-2</v>
      </c>
      <c r="CC63" s="79">
        <v>-1.9894830643811801E-2</v>
      </c>
      <c r="CD63" s="79">
        <v>4.3810986683394497E-3</v>
      </c>
      <c r="CE63" s="79">
        <v>-1.80620155086792E-2</v>
      </c>
      <c r="CF63" s="79">
        <v>7.26333897275357E-4</v>
      </c>
      <c r="CG63" s="79">
        <v>-1.7944306886221E-2</v>
      </c>
      <c r="CH63" s="79">
        <v>-1.0302626616028E-4</v>
      </c>
      <c r="CI63" s="79">
        <v>4.14814163543535E-4</v>
      </c>
      <c r="CJ63" s="79">
        <v>7.21360415671358E-4</v>
      </c>
      <c r="CK63" s="79">
        <v>2.8156874829395702E-4</v>
      </c>
      <c r="CL63" s="79">
        <v>7.7020839370830802E-4</v>
      </c>
      <c r="CM63" s="79">
        <v>-1.62113939511591E-4</v>
      </c>
      <c r="CN63" s="79">
        <v>5.6425577600505204E-4</v>
      </c>
      <c r="CO63" s="79">
        <v>-9.5608754856488804E-3</v>
      </c>
      <c r="CP63" s="79">
        <v>-1.21120145515583E-2</v>
      </c>
      <c r="CQ63" s="79">
        <v>-1.8319700544239498E-2</v>
      </c>
      <c r="CR63" s="79">
        <v>5.5577411288441096E-3</v>
      </c>
      <c r="CS63" s="79">
        <v>2.2392129058206298E-3</v>
      </c>
      <c r="CT63" s="79">
        <v>6.1163564983197204E-10</v>
      </c>
      <c r="CU63" s="79">
        <v>1.17982819100141E-3</v>
      </c>
      <c r="CV63" s="79">
        <v>1.00001443535109</v>
      </c>
      <c r="CW63" s="79">
        <v>5.0084819868392704E-3</v>
      </c>
      <c r="CX63" s="79">
        <v>-1.74756941117226E-2</v>
      </c>
      <c r="CY63" s="79">
        <v>-1.4831024262655E-2</v>
      </c>
      <c r="CZ63" s="79">
        <v>-9.6352291025524102E-5</v>
      </c>
      <c r="DA63" s="79">
        <v>-1.81034747206756E-2</v>
      </c>
      <c r="DB63" s="79">
        <v>6.7384746400558904E-4</v>
      </c>
      <c r="DC63" s="79">
        <v>-1.79886153866523E-2</v>
      </c>
      <c r="DD63" s="79">
        <v>-2.1477712570132701E-4</v>
      </c>
      <c r="DE63" s="79">
        <v>6.0660596611601301E-4</v>
      </c>
      <c r="DF63" s="79">
        <v>1.46746867367177E-4</v>
      </c>
      <c r="DG63" s="79">
        <v>5.9052030961965097E-4</v>
      </c>
      <c r="DH63" s="79">
        <v>4.1816911444373501E-4</v>
      </c>
      <c r="DI63" s="79">
        <v>3.63954137221345E-5</v>
      </c>
      <c r="DJ63" s="79">
        <v>8.7750389550276305E-3</v>
      </c>
      <c r="DK63" s="79">
        <v>-2.93590754307793E-3</v>
      </c>
      <c r="DL63" s="79">
        <v>1.1355241279364501E-2</v>
      </c>
      <c r="DM63" s="79">
        <v>1.5160290566891301E-3</v>
      </c>
      <c r="DN63" s="79">
        <v>7.2181971644624799E-4</v>
      </c>
    </row>
    <row r="64" spans="1:118" x14ac:dyDescent="0.2">
      <c r="A64" t="s">
        <v>63</v>
      </c>
      <c r="B64" t="s">
        <v>221</v>
      </c>
      <c r="C64" t="s">
        <v>239</v>
      </c>
      <c r="D64" t="s">
        <v>214</v>
      </c>
      <c r="L64" s="79">
        <v>-2.2796199999999999E-7</v>
      </c>
      <c r="M64" s="79">
        <v>-2.6094000000000001E-7</v>
      </c>
      <c r="N64" s="79">
        <v>0.61476465892099996</v>
      </c>
      <c r="O64" s="79">
        <v>0.60530026649599999</v>
      </c>
      <c r="P64" s="79">
        <v>5.5268459141299997E-6</v>
      </c>
      <c r="Q64" s="79">
        <v>-3.4602887288100003E-4</v>
      </c>
      <c r="R64" s="79">
        <v>-41.296999999999997</v>
      </c>
      <c r="AF64" s="28">
        <v>41640</v>
      </c>
      <c r="AH64">
        <v>5</v>
      </c>
      <c r="AI64" s="80">
        <v>-4.59683581533E-8</v>
      </c>
      <c r="AJ64" s="80">
        <v>1.00013446301</v>
      </c>
      <c r="AK64" s="80">
        <v>-6.2386219361800001E-5</v>
      </c>
      <c r="AL64" s="80">
        <v>7.9643698974200003E-4</v>
      </c>
      <c r="AM64" s="79">
        <v>0.132639144761</v>
      </c>
      <c r="AN64" s="79">
        <v>2.6270952991899998E-4</v>
      </c>
      <c r="AO64" s="79">
        <v>-0.73839303389099997</v>
      </c>
      <c r="AP64" s="79">
        <v>2.9106985852899998E-3</v>
      </c>
      <c r="AQ64" s="79">
        <v>-0.46237730785300002</v>
      </c>
      <c r="AR64" s="79">
        <v>8.13736773542E-4</v>
      </c>
      <c r="AS64" s="79">
        <v>-1.12956273819E-2</v>
      </c>
      <c r="AT64" s="79">
        <v>-2.6881317058900001</v>
      </c>
      <c r="AU64" s="79">
        <v>-8.8650276020499994E-3</v>
      </c>
      <c r="AV64" s="79">
        <v>-2.4709591285600001</v>
      </c>
      <c r="AW64" s="79">
        <v>-1.9850749119899999E-4</v>
      </c>
      <c r="AX64" s="79">
        <v>6.3322134442499998</v>
      </c>
      <c r="AY64" s="79">
        <v>-2.1375841858999999E-2</v>
      </c>
      <c r="AZ64" s="79">
        <v>8.5685448895</v>
      </c>
      <c r="BA64" s="79">
        <v>-3.3765089315699999E-2</v>
      </c>
      <c r="BB64" s="79">
        <v>2.41573925915</v>
      </c>
      <c r="BC64" s="79">
        <v>-3.2575898547400001E-3</v>
      </c>
      <c r="BD64" s="79">
        <v>6.3418188356099999E-6</v>
      </c>
      <c r="BE64" s="79">
        <v>-6.0728827569299999E-5</v>
      </c>
      <c r="BF64" s="79">
        <v>1.0002218754900001</v>
      </c>
      <c r="BG64" s="79">
        <v>7.9335817467399997E-2</v>
      </c>
      <c r="BH64" s="79">
        <v>2.3518884284100001E-4</v>
      </c>
      <c r="BI64" s="79">
        <v>0.18489205345099999</v>
      </c>
      <c r="BJ64" s="79">
        <v>1.0171092791800001E-3</v>
      </c>
      <c r="BK64" s="79">
        <v>-0.456157433492</v>
      </c>
      <c r="BL64" s="79">
        <v>2.67298878817E-3</v>
      </c>
      <c r="BM64" s="79">
        <v>-0.200015976585</v>
      </c>
      <c r="BN64" s="79">
        <v>-0.66016314518300001</v>
      </c>
      <c r="BO64" s="79">
        <v>-6.1396649422800001E-3</v>
      </c>
      <c r="BP64" s="79">
        <v>-3.6323525053300001</v>
      </c>
      <c r="BQ64" s="79">
        <v>-2.86493926294E-3</v>
      </c>
      <c r="BR64" s="79">
        <v>-2.7775371299199998</v>
      </c>
      <c r="BS64" s="79">
        <v>-2.1189070737599999E-2</v>
      </c>
      <c r="BT64" s="79">
        <v>4.0819772407999997</v>
      </c>
      <c r="BU64" s="79">
        <v>-2.65062459604E-2</v>
      </c>
      <c r="BV64" s="79">
        <v>4.4949090675600001</v>
      </c>
      <c r="BW64" s="79">
        <v>-3.2867066261599999E-2</v>
      </c>
      <c r="BX64" s="79">
        <v>0.49970709841299998</v>
      </c>
      <c r="BY64" s="79">
        <v>4.55819106794E-8</v>
      </c>
      <c r="BZ64" s="79">
        <v>0.99986635328499995</v>
      </c>
      <c r="CA64" s="79">
        <v>6.2361903282599998E-5</v>
      </c>
      <c r="CB64" s="79">
        <v>-8.0915344040799995E-4</v>
      </c>
      <c r="CC64" s="79">
        <v>-0.13263316582699999</v>
      </c>
      <c r="CD64" s="79">
        <v>-2.82299247E-4</v>
      </c>
      <c r="CE64" s="79">
        <v>0.74863170315500005</v>
      </c>
      <c r="CF64" s="79">
        <v>-2.2873895283299999E-3</v>
      </c>
      <c r="CG64" s="79">
        <v>0.50412029012199999</v>
      </c>
      <c r="CH64" s="79">
        <v>-6.3174224733300002E-4</v>
      </c>
      <c r="CI64" s="79">
        <v>9.0395932275399993E-3</v>
      </c>
      <c r="CJ64" s="79">
        <v>2.2183207504600002</v>
      </c>
      <c r="CK64" s="79">
        <v>9.7371502215500005E-3</v>
      </c>
      <c r="CL64" s="79">
        <v>2.18051201288</v>
      </c>
      <c r="CM64" s="79">
        <v>7.1401631331300004E-4</v>
      </c>
      <c r="CN64" s="79">
        <v>-5.0605155211900001</v>
      </c>
      <c r="CO64" s="79">
        <v>-1.1363892241399999E-2</v>
      </c>
      <c r="CP64" s="79">
        <v>-9.4958259139500001</v>
      </c>
      <c r="CQ64" s="79">
        <v>4.3854100902899996E-3</v>
      </c>
      <c r="CR64" s="79">
        <v>-4.1768320185399999</v>
      </c>
      <c r="CS64" s="79">
        <v>-4.2941754263399999E-4</v>
      </c>
      <c r="CT64" s="79">
        <v>-6.3330264527300001E-6</v>
      </c>
      <c r="CU64" s="79">
        <v>6.0702294656500001E-5</v>
      </c>
      <c r="CV64" s="79">
        <v>0.99978052352199998</v>
      </c>
      <c r="CW64" s="79">
        <v>-7.9329003179099994E-2</v>
      </c>
      <c r="CX64" s="79">
        <v>-2.7527776932299999E-4</v>
      </c>
      <c r="CY64" s="79">
        <v>-0.18480945435000001</v>
      </c>
      <c r="CZ64" s="79">
        <v>-7.9573977488999999E-4</v>
      </c>
      <c r="DA64" s="79">
        <v>0.50613875901799998</v>
      </c>
      <c r="DB64" s="79">
        <v>-2.3222840758400001E-3</v>
      </c>
      <c r="DC64" s="79">
        <v>0.26800855506400001</v>
      </c>
      <c r="DD64" s="79">
        <v>0.52330044148199995</v>
      </c>
      <c r="DE64" s="79">
        <v>7.1114594838700002E-3</v>
      </c>
      <c r="DF64" s="79">
        <v>3.1703263079999999</v>
      </c>
      <c r="DG64" s="79">
        <v>5.5825872907299999E-3</v>
      </c>
      <c r="DH64" s="79">
        <v>2.5883093533700001</v>
      </c>
      <c r="DI64" s="79">
        <v>1.45628777029E-2</v>
      </c>
      <c r="DJ64" s="79">
        <v>-4.61944623655</v>
      </c>
      <c r="DK64" s="79">
        <v>-2.2117482831999998E-3</v>
      </c>
      <c r="DL64" s="79">
        <v>-8.1277500150299993</v>
      </c>
      <c r="DM64" s="79">
        <v>1.72787409124E-2</v>
      </c>
      <c r="DN64" s="79">
        <v>-3.2293650304799999</v>
      </c>
    </row>
    <row r="65" spans="1:118" x14ac:dyDescent="0.2">
      <c r="A65" t="s">
        <v>63</v>
      </c>
      <c r="B65" t="s">
        <v>222</v>
      </c>
      <c r="C65" t="s">
        <v>239</v>
      </c>
      <c r="D65" t="s">
        <v>214</v>
      </c>
      <c r="L65" s="79">
        <v>-2.2796199999999999E-7</v>
      </c>
      <c r="M65" s="79">
        <v>-2.6094000000000001E-7</v>
      </c>
      <c r="N65" s="79">
        <v>0.61476465892099996</v>
      </c>
      <c r="O65" s="79">
        <v>0.60530026649599999</v>
      </c>
      <c r="P65" s="79">
        <v>5.5268459141299997E-6</v>
      </c>
      <c r="Q65" s="79">
        <v>-3.4602887288100003E-4</v>
      </c>
      <c r="R65" s="79">
        <v>-41.296999999999997</v>
      </c>
      <c r="AF65" s="28">
        <v>41640</v>
      </c>
      <c r="AH65">
        <v>5</v>
      </c>
      <c r="AI65" s="80">
        <v>8.6961062949000006E-3</v>
      </c>
      <c r="AJ65" s="80">
        <v>-31.6167785391</v>
      </c>
      <c r="AK65" s="80">
        <v>-4.57741183615E-4</v>
      </c>
      <c r="AL65" s="80">
        <v>-8.2313699793900005E-2</v>
      </c>
      <c r="AM65" s="79">
        <v>-5.82122718896</v>
      </c>
      <c r="AN65" s="79">
        <v>-1.2094318756699999E-2</v>
      </c>
      <c r="AO65" s="79">
        <v>-32.472573703599998</v>
      </c>
      <c r="AP65" s="79">
        <v>11.6906110754</v>
      </c>
      <c r="AQ65" s="79">
        <v>-27.911322451899998</v>
      </c>
      <c r="AR65" s="79">
        <v>-1.35979599425</v>
      </c>
      <c r="AS65" s="79">
        <v>25.7420163245</v>
      </c>
      <c r="AT65" s="79">
        <v>-18.4912345113</v>
      </c>
      <c r="AU65" s="79">
        <v>-10.945415545199999</v>
      </c>
      <c r="AV65" s="79">
        <v>35.230632102800001</v>
      </c>
      <c r="AW65" s="79">
        <v>21.1547885182</v>
      </c>
      <c r="AX65" s="79">
        <v>967.94797796900002</v>
      </c>
      <c r="AY65" s="79">
        <v>-4628.2431035400004</v>
      </c>
      <c r="AZ65" s="79">
        <v>2673.62555281</v>
      </c>
      <c r="BA65" s="79">
        <v>-4727.8581945100004</v>
      </c>
      <c r="BB65" s="79">
        <v>-3636.8885409599998</v>
      </c>
      <c r="BC65" s="79">
        <v>2742.50168102</v>
      </c>
      <c r="BD65" s="79">
        <v>-2.2569038259599998</v>
      </c>
      <c r="BE65" s="79">
        <v>-5.0290721275300003E-3</v>
      </c>
      <c r="BF65" s="79">
        <v>-33.516692927400001</v>
      </c>
      <c r="BG65" s="79">
        <v>7.4742990755300003</v>
      </c>
      <c r="BH65" s="79">
        <v>-3.6615183091499998E-2</v>
      </c>
      <c r="BI65" s="79">
        <v>2.3141707334100001</v>
      </c>
      <c r="BJ65" s="79">
        <v>-2.6457898477800001</v>
      </c>
      <c r="BK65" s="79">
        <v>-23.961597090600002</v>
      </c>
      <c r="BL65" s="79">
        <v>8.5087422883600006</v>
      </c>
      <c r="BM65" s="79">
        <v>-31.799300750499999</v>
      </c>
      <c r="BN65" s="79">
        <v>-35.039774561900003</v>
      </c>
      <c r="BO65" s="79">
        <v>-4.3872735593299996</v>
      </c>
      <c r="BP65" s="79">
        <v>10.267694818100001</v>
      </c>
      <c r="BQ65" s="79">
        <v>14.399914152299999</v>
      </c>
      <c r="BR65" s="79">
        <v>-41.830326223</v>
      </c>
      <c r="BS65" s="79">
        <v>1717.8101870099999</v>
      </c>
      <c r="BT65" s="79">
        <v>-2043.0495168899999</v>
      </c>
      <c r="BU65" s="79">
        <v>-3038.2637639200002</v>
      </c>
      <c r="BV65" s="79">
        <v>-576.20086172799995</v>
      </c>
      <c r="BW65" s="79">
        <v>-2409.34590007</v>
      </c>
      <c r="BX65" s="79">
        <v>-50.144802898400002</v>
      </c>
      <c r="BY65" s="79">
        <v>-8.5554672817200004E-3</v>
      </c>
      <c r="BZ65" s="79">
        <v>31.3147747469</v>
      </c>
      <c r="CA65" s="79">
        <v>4.5199169363099997E-3</v>
      </c>
      <c r="CB65" s="79">
        <v>-1.47433862693E-2</v>
      </c>
      <c r="CC65" s="79">
        <v>-4.7385253470600004</v>
      </c>
      <c r="CD65" s="79">
        <v>-2.3563406385900001E-2</v>
      </c>
      <c r="CE65" s="79">
        <v>133.16117301700001</v>
      </c>
      <c r="CF65" s="79">
        <v>-12.1508556288</v>
      </c>
      <c r="CG65" s="79">
        <v>107.489903983</v>
      </c>
      <c r="CH65" s="79">
        <v>1.0037961773099999</v>
      </c>
      <c r="CI65" s="79">
        <v>-26.856613472300001</v>
      </c>
      <c r="CJ65" s="79">
        <v>307.60674072</v>
      </c>
      <c r="CK65" s="79">
        <v>6.6321453444999996</v>
      </c>
      <c r="CL65" s="79">
        <v>254.07823057600001</v>
      </c>
      <c r="CM65" s="79">
        <v>-18.042747146100002</v>
      </c>
      <c r="CN65" s="79">
        <v>-1810.3495616600001</v>
      </c>
      <c r="CO65" s="79">
        <v>4693.4713315700001</v>
      </c>
      <c r="CP65" s="79">
        <v>-4338.1003472100001</v>
      </c>
      <c r="CQ65" s="79">
        <v>4812.8514784500003</v>
      </c>
      <c r="CR65" s="79">
        <v>2875.6318028699998</v>
      </c>
      <c r="CS65" s="79">
        <v>-2607.6774271899999</v>
      </c>
      <c r="CT65" s="79">
        <v>2.2566364321600001</v>
      </c>
      <c r="CU65" s="79">
        <v>9.7675812040000001E-3</v>
      </c>
      <c r="CV65" s="79">
        <v>32.674099876699998</v>
      </c>
      <c r="CW65" s="79">
        <v>-14.008847462</v>
      </c>
      <c r="CX65" s="79">
        <v>-8.1253717679100005E-3</v>
      </c>
      <c r="CY65" s="79">
        <v>-19.084402223600001</v>
      </c>
      <c r="CZ65" s="79">
        <v>2.5098644290599998</v>
      </c>
      <c r="DA65" s="79">
        <v>109.98425442600001</v>
      </c>
      <c r="DB65" s="79">
        <v>-8.8550356882399992</v>
      </c>
      <c r="DC65" s="79">
        <v>94.885088140799994</v>
      </c>
      <c r="DD65" s="79">
        <v>82.127437630800003</v>
      </c>
      <c r="DE65" s="79">
        <v>3.2940167523000001</v>
      </c>
      <c r="DF65" s="79">
        <v>392.95103766199998</v>
      </c>
      <c r="DG65" s="79">
        <v>-15.9801791748</v>
      </c>
      <c r="DH65" s="79">
        <v>400.664896457</v>
      </c>
      <c r="DI65" s="79">
        <v>-1699.9627935599999</v>
      </c>
      <c r="DJ65" s="79">
        <v>1173.2885313500001</v>
      </c>
      <c r="DK65" s="79">
        <v>3073.3028988400001</v>
      </c>
      <c r="DL65" s="79">
        <v>-1014.48068072</v>
      </c>
      <c r="DM65" s="79">
        <v>2427.42627709</v>
      </c>
      <c r="DN65" s="79">
        <v>-591.290809599</v>
      </c>
    </row>
    <row r="66" spans="1:118" x14ac:dyDescent="0.2">
      <c r="A66" t="s">
        <v>63</v>
      </c>
      <c r="B66" t="s">
        <v>233</v>
      </c>
      <c r="C66" t="s">
        <v>239</v>
      </c>
      <c r="D66" t="s">
        <v>214</v>
      </c>
      <c r="L66" s="79">
        <v>-2.2796199999999999E-7</v>
      </c>
      <c r="M66" s="79">
        <v>-2.6094000000000001E-7</v>
      </c>
      <c r="N66" s="79">
        <v>0.61476465892099996</v>
      </c>
      <c r="O66" s="79">
        <v>0.60530026649599999</v>
      </c>
      <c r="P66" s="79">
        <v>5.5268459141299997E-6</v>
      </c>
      <c r="Q66" s="79">
        <v>-3.4602887288100003E-4</v>
      </c>
      <c r="R66" s="79">
        <v>-41.296999999999997</v>
      </c>
      <c r="AF66" s="28">
        <v>41640</v>
      </c>
      <c r="AH66">
        <v>5</v>
      </c>
      <c r="AI66" s="80">
        <v>-4.59683581533E-8</v>
      </c>
      <c r="AJ66" s="80">
        <v>1.00013446301</v>
      </c>
      <c r="AK66" s="80">
        <v>-6.2386219361800001E-5</v>
      </c>
      <c r="AL66" s="80">
        <v>7.9643698974200003E-4</v>
      </c>
      <c r="AM66" s="79">
        <v>0.132639144761</v>
      </c>
      <c r="AN66" s="79">
        <v>2.6270952991899998E-4</v>
      </c>
      <c r="AO66" s="79">
        <v>-0.73839303389099997</v>
      </c>
      <c r="AP66" s="79">
        <v>2.9106985852899998E-3</v>
      </c>
      <c r="AQ66" s="79">
        <v>-0.46237730785300002</v>
      </c>
      <c r="AR66" s="79">
        <v>8.13736773542E-4</v>
      </c>
      <c r="AS66" s="79">
        <v>-1.12956273819E-2</v>
      </c>
      <c r="AT66" s="79">
        <v>-2.6881317058900001</v>
      </c>
      <c r="AU66" s="79">
        <v>-8.8650276020499994E-3</v>
      </c>
      <c r="AV66" s="79">
        <v>-2.4709591285600001</v>
      </c>
      <c r="AW66" s="79">
        <v>-1.9850749119899999E-4</v>
      </c>
      <c r="AX66" s="79">
        <v>6.3322134442499998</v>
      </c>
      <c r="AY66" s="79">
        <v>-2.1375841858999999E-2</v>
      </c>
      <c r="AZ66" s="79">
        <v>8.5685448895</v>
      </c>
      <c r="BA66" s="79">
        <v>-3.3765089315699999E-2</v>
      </c>
      <c r="BB66" s="79">
        <v>2.41573925915</v>
      </c>
      <c r="BC66" s="79">
        <v>-3.2575898547400001E-3</v>
      </c>
      <c r="BD66" s="79">
        <v>6.3418188356099999E-6</v>
      </c>
      <c r="BE66" s="79">
        <v>-6.0728827569299999E-5</v>
      </c>
      <c r="BF66" s="79">
        <v>1.0002218754900001</v>
      </c>
      <c r="BG66" s="79">
        <v>7.9335817467399997E-2</v>
      </c>
      <c r="BH66" s="79">
        <v>2.3518884284100001E-4</v>
      </c>
      <c r="BI66" s="79">
        <v>0.18489205345099999</v>
      </c>
      <c r="BJ66" s="79">
        <v>1.0171092791800001E-3</v>
      </c>
      <c r="BK66" s="79">
        <v>-0.456157433492</v>
      </c>
      <c r="BL66" s="79">
        <v>2.67298878817E-3</v>
      </c>
      <c r="BM66" s="79">
        <v>-0.200015976585</v>
      </c>
      <c r="BN66" s="79">
        <v>-0.66016314518300001</v>
      </c>
      <c r="BO66" s="79">
        <v>-6.1396649422800001E-3</v>
      </c>
      <c r="BP66" s="79">
        <v>-3.6323525053300001</v>
      </c>
      <c r="BQ66" s="79">
        <v>-2.86493926294E-3</v>
      </c>
      <c r="BR66" s="79">
        <v>-2.7775371299199998</v>
      </c>
      <c r="BS66" s="79">
        <v>-2.1189070737599999E-2</v>
      </c>
      <c r="BT66" s="79">
        <v>4.0819772407999997</v>
      </c>
      <c r="BU66" s="79">
        <v>-2.65062459604E-2</v>
      </c>
      <c r="BV66" s="79">
        <v>4.4949090675600001</v>
      </c>
      <c r="BW66" s="79">
        <v>-3.2867066261599999E-2</v>
      </c>
      <c r="BX66" s="79">
        <v>0.49970709841299998</v>
      </c>
      <c r="BY66" s="79">
        <v>4.55819106794E-8</v>
      </c>
      <c r="BZ66" s="79">
        <v>0.99986635328499995</v>
      </c>
      <c r="CA66" s="79">
        <v>6.2361903282599998E-5</v>
      </c>
      <c r="CB66" s="79">
        <v>-8.0915344040799995E-4</v>
      </c>
      <c r="CC66" s="79">
        <v>-0.13263316582699999</v>
      </c>
      <c r="CD66" s="79">
        <v>-2.82299247E-4</v>
      </c>
      <c r="CE66" s="79">
        <v>0.74863170315500005</v>
      </c>
      <c r="CF66" s="79">
        <v>-2.2873895283299999E-3</v>
      </c>
      <c r="CG66" s="79">
        <v>0.50412029012199999</v>
      </c>
      <c r="CH66" s="79">
        <v>-6.3174224733300002E-4</v>
      </c>
      <c r="CI66" s="79">
        <v>9.0395932275399993E-3</v>
      </c>
      <c r="CJ66" s="79">
        <v>2.2183207504600002</v>
      </c>
      <c r="CK66" s="79">
        <v>9.7371502215500005E-3</v>
      </c>
      <c r="CL66" s="79">
        <v>2.18051201288</v>
      </c>
      <c r="CM66" s="79">
        <v>7.1401631331300004E-4</v>
      </c>
      <c r="CN66" s="79">
        <v>-5.0605155211900001</v>
      </c>
      <c r="CO66" s="79">
        <v>-1.1363892241399999E-2</v>
      </c>
      <c r="CP66" s="79">
        <v>-9.4958259139500001</v>
      </c>
      <c r="CQ66" s="79">
        <v>4.3854100902899996E-3</v>
      </c>
      <c r="CR66" s="79">
        <v>-4.1768320185399999</v>
      </c>
      <c r="CS66" s="79">
        <v>-4.2941754263399999E-4</v>
      </c>
      <c r="CT66" s="79">
        <v>-6.3330264527300001E-6</v>
      </c>
      <c r="CU66" s="79">
        <v>6.0702294656500001E-5</v>
      </c>
      <c r="CV66" s="79">
        <v>0.99978052352199998</v>
      </c>
      <c r="CW66" s="79">
        <v>-7.9329003179099994E-2</v>
      </c>
      <c r="CX66" s="79">
        <v>-2.7527776932299999E-4</v>
      </c>
      <c r="CY66" s="79">
        <v>-0.18480945435000001</v>
      </c>
      <c r="CZ66" s="79">
        <v>-7.9573977488999999E-4</v>
      </c>
      <c r="DA66" s="79">
        <v>0.50613875901799998</v>
      </c>
      <c r="DB66" s="79">
        <v>-2.3222840758400001E-3</v>
      </c>
      <c r="DC66" s="79">
        <v>0.26800855506400001</v>
      </c>
      <c r="DD66" s="79">
        <v>0.52330044148199995</v>
      </c>
      <c r="DE66" s="79">
        <v>7.1114594838700002E-3</v>
      </c>
      <c r="DF66" s="79">
        <v>3.1703263079999999</v>
      </c>
      <c r="DG66" s="79">
        <v>5.5825872907299999E-3</v>
      </c>
      <c r="DH66" s="79">
        <v>2.5883093533700001</v>
      </c>
      <c r="DI66" s="79">
        <v>1.45628777029E-2</v>
      </c>
      <c r="DJ66" s="79">
        <v>-4.61944623655</v>
      </c>
      <c r="DK66" s="79">
        <v>-2.2117482831999998E-3</v>
      </c>
      <c r="DL66" s="79">
        <v>-8.1277500150299993</v>
      </c>
      <c r="DM66" s="79">
        <v>1.72787409124E-2</v>
      </c>
      <c r="DN66" s="79">
        <v>-3.2293650304799999</v>
      </c>
    </row>
    <row r="67" spans="1:118" x14ac:dyDescent="0.2">
      <c r="A67" t="s">
        <v>63</v>
      </c>
      <c r="B67" t="s">
        <v>234</v>
      </c>
      <c r="C67" t="s">
        <v>239</v>
      </c>
      <c r="D67" t="s">
        <v>214</v>
      </c>
      <c r="L67" s="79">
        <v>-2.2796199999999999E-7</v>
      </c>
      <c r="M67" s="79">
        <v>-2.6094000000000001E-7</v>
      </c>
      <c r="N67" s="79">
        <v>0.61476465892099996</v>
      </c>
      <c r="O67" s="79">
        <v>0.60530026649599999</v>
      </c>
      <c r="P67" s="79">
        <v>5.5268459141299997E-6</v>
      </c>
      <c r="Q67" s="79">
        <v>-3.4602887288100003E-4</v>
      </c>
      <c r="R67" s="79">
        <v>-41.296999999999997</v>
      </c>
      <c r="AF67" s="28">
        <v>41640</v>
      </c>
      <c r="AH67">
        <v>5</v>
      </c>
      <c r="AI67" s="80">
        <v>8.6961062949000006E-3</v>
      </c>
      <c r="AJ67" s="80">
        <v>-31.6167785391</v>
      </c>
      <c r="AK67" s="80">
        <v>-4.57741183615E-4</v>
      </c>
      <c r="AL67" s="80">
        <v>-8.2313699793900005E-2</v>
      </c>
      <c r="AM67" s="79">
        <v>-5.82122718896</v>
      </c>
      <c r="AN67" s="79">
        <v>-1.2094318756699999E-2</v>
      </c>
      <c r="AO67" s="79">
        <v>-32.472573703599998</v>
      </c>
      <c r="AP67" s="79">
        <v>11.6906110754</v>
      </c>
      <c r="AQ67" s="79">
        <v>-27.911322451899998</v>
      </c>
      <c r="AR67" s="79">
        <v>-1.35979599425</v>
      </c>
      <c r="AS67" s="79">
        <v>25.7420163245</v>
      </c>
      <c r="AT67" s="79">
        <v>-18.4912345113</v>
      </c>
      <c r="AU67" s="79">
        <v>-10.945415545199999</v>
      </c>
      <c r="AV67" s="79">
        <v>35.230632102800001</v>
      </c>
      <c r="AW67" s="79">
        <v>21.1547885182</v>
      </c>
      <c r="AX67" s="79">
        <v>967.94797796900002</v>
      </c>
      <c r="AY67" s="79">
        <v>-4628.2431035400004</v>
      </c>
      <c r="AZ67" s="79">
        <v>2673.62555281</v>
      </c>
      <c r="BA67" s="79">
        <v>-4727.8581945100004</v>
      </c>
      <c r="BB67" s="79">
        <v>-3636.8885409599998</v>
      </c>
      <c r="BC67" s="79">
        <v>2742.50168102</v>
      </c>
      <c r="BD67" s="79">
        <v>-2.2569038259599998</v>
      </c>
      <c r="BE67" s="79">
        <v>-5.0290721275300003E-3</v>
      </c>
      <c r="BF67" s="79">
        <v>-33.516692927400001</v>
      </c>
      <c r="BG67" s="79">
        <v>7.4742990755300003</v>
      </c>
      <c r="BH67" s="79">
        <v>-3.6615183091499998E-2</v>
      </c>
      <c r="BI67" s="79">
        <v>2.3141707334100001</v>
      </c>
      <c r="BJ67" s="79">
        <v>-2.6457898477800001</v>
      </c>
      <c r="BK67" s="79">
        <v>-23.961597090600002</v>
      </c>
      <c r="BL67" s="79">
        <v>8.5087422883600006</v>
      </c>
      <c r="BM67" s="79">
        <v>-31.799300750499999</v>
      </c>
      <c r="BN67" s="79">
        <v>-35.039774561900003</v>
      </c>
      <c r="BO67" s="79">
        <v>-4.3872735593299996</v>
      </c>
      <c r="BP67" s="79">
        <v>10.267694818100001</v>
      </c>
      <c r="BQ67" s="79">
        <v>14.399914152299999</v>
      </c>
      <c r="BR67" s="79">
        <v>-41.830326223</v>
      </c>
      <c r="BS67" s="79">
        <v>1717.8101870099999</v>
      </c>
      <c r="BT67" s="79">
        <v>-2043.0495168899999</v>
      </c>
      <c r="BU67" s="79">
        <v>-3038.2637639200002</v>
      </c>
      <c r="BV67" s="79">
        <v>-576.20086172799995</v>
      </c>
      <c r="BW67" s="79">
        <v>-2409.34590007</v>
      </c>
      <c r="BX67" s="79">
        <v>-50.144802898400002</v>
      </c>
      <c r="BY67" s="79">
        <v>-8.5554672817200004E-3</v>
      </c>
      <c r="BZ67" s="79">
        <v>31.3147747469</v>
      </c>
      <c r="CA67" s="79">
        <v>4.5199169363099997E-3</v>
      </c>
      <c r="CB67" s="79">
        <v>-1.47433862693E-2</v>
      </c>
      <c r="CC67" s="79">
        <v>-4.7385253470600004</v>
      </c>
      <c r="CD67" s="79">
        <v>-2.3563406385900001E-2</v>
      </c>
      <c r="CE67" s="79">
        <v>133.16117301700001</v>
      </c>
      <c r="CF67" s="79">
        <v>-12.1508556288</v>
      </c>
      <c r="CG67" s="79">
        <v>107.489903983</v>
      </c>
      <c r="CH67" s="79">
        <v>1.0037961773099999</v>
      </c>
      <c r="CI67" s="79">
        <v>-26.856613472300001</v>
      </c>
      <c r="CJ67" s="79">
        <v>307.60674072</v>
      </c>
      <c r="CK67" s="79">
        <v>6.6321453444999996</v>
      </c>
      <c r="CL67" s="79">
        <v>254.07823057600001</v>
      </c>
      <c r="CM67" s="79">
        <v>-18.042747146100002</v>
      </c>
      <c r="CN67" s="79">
        <v>-1810.3495616600001</v>
      </c>
      <c r="CO67" s="79">
        <v>4693.4713315700001</v>
      </c>
      <c r="CP67" s="79">
        <v>-4338.1003472100001</v>
      </c>
      <c r="CQ67" s="79">
        <v>4812.8514784500003</v>
      </c>
      <c r="CR67" s="79">
        <v>2875.6318028699998</v>
      </c>
      <c r="CS67" s="79">
        <v>-2607.6774271899999</v>
      </c>
      <c r="CT67" s="79">
        <v>2.2566364321600001</v>
      </c>
      <c r="CU67" s="79">
        <v>9.7675812040000001E-3</v>
      </c>
      <c r="CV67" s="79">
        <v>32.674099876699998</v>
      </c>
      <c r="CW67" s="79">
        <v>-14.008847462</v>
      </c>
      <c r="CX67" s="79">
        <v>-8.1253717679100005E-3</v>
      </c>
      <c r="CY67" s="79">
        <v>-19.084402223600001</v>
      </c>
      <c r="CZ67" s="79">
        <v>2.5098644290599998</v>
      </c>
      <c r="DA67" s="79">
        <v>109.98425442600001</v>
      </c>
      <c r="DB67" s="79">
        <v>-8.8550356882399992</v>
      </c>
      <c r="DC67" s="79">
        <v>94.885088140799994</v>
      </c>
      <c r="DD67" s="79">
        <v>82.127437630800003</v>
      </c>
      <c r="DE67" s="79">
        <v>3.2940167523000001</v>
      </c>
      <c r="DF67" s="79">
        <v>392.95103766199998</v>
      </c>
      <c r="DG67" s="79">
        <v>-15.9801791748</v>
      </c>
      <c r="DH67" s="79">
        <v>400.664896457</v>
      </c>
      <c r="DI67" s="79">
        <v>-1699.9627935599999</v>
      </c>
      <c r="DJ67" s="79">
        <v>1173.2885313500001</v>
      </c>
      <c r="DK67" s="79">
        <v>3073.3028988400001</v>
      </c>
      <c r="DL67" s="79">
        <v>-1014.48068072</v>
      </c>
      <c r="DM67" s="79">
        <v>2427.42627709</v>
      </c>
      <c r="DN67" s="79">
        <v>-591.290809599</v>
      </c>
    </row>
    <row r="68" spans="1:118" x14ac:dyDescent="0.2">
      <c r="A68" t="s">
        <v>63</v>
      </c>
      <c r="B68" t="s">
        <v>223</v>
      </c>
      <c r="C68" t="s">
        <v>239</v>
      </c>
      <c r="D68" t="s">
        <v>214</v>
      </c>
      <c r="L68" s="79">
        <v>-2.2796199999999999E-7</v>
      </c>
      <c r="M68" s="79">
        <v>-2.6094000000000001E-7</v>
      </c>
      <c r="N68" s="79">
        <v>0.61476465892099996</v>
      </c>
      <c r="O68" s="79">
        <v>0.60530026649599999</v>
      </c>
      <c r="P68" s="79">
        <v>5.5268459141299997E-6</v>
      </c>
      <c r="Q68" s="79">
        <v>-3.4602887288100003E-4</v>
      </c>
      <c r="R68" s="79">
        <v>-41.296999999999997</v>
      </c>
      <c r="AF68" s="28">
        <v>41640</v>
      </c>
      <c r="AH68">
        <v>5</v>
      </c>
      <c r="AI68" s="80">
        <v>-4.59683581533E-8</v>
      </c>
      <c r="AJ68" s="80">
        <v>1.00013446301</v>
      </c>
      <c r="AK68" s="80">
        <v>-6.2386219361800001E-5</v>
      </c>
      <c r="AL68" s="80">
        <v>7.9643698974200003E-4</v>
      </c>
      <c r="AM68" s="79">
        <v>0.132639144761</v>
      </c>
      <c r="AN68" s="79">
        <v>2.6270952991899998E-4</v>
      </c>
      <c r="AO68" s="79">
        <v>-0.73839303389099997</v>
      </c>
      <c r="AP68" s="79">
        <v>2.9106985852899998E-3</v>
      </c>
      <c r="AQ68" s="79">
        <v>-0.46237730785300002</v>
      </c>
      <c r="AR68" s="79">
        <v>8.13736773542E-4</v>
      </c>
      <c r="AS68" s="79">
        <v>-1.12956273819E-2</v>
      </c>
      <c r="AT68" s="79">
        <v>-2.6881317058900001</v>
      </c>
      <c r="AU68" s="79">
        <v>-8.8650276020499994E-3</v>
      </c>
      <c r="AV68" s="79">
        <v>-2.4709591285600001</v>
      </c>
      <c r="AW68" s="79">
        <v>-1.9850749119899999E-4</v>
      </c>
      <c r="AX68" s="79">
        <v>6.3322134442499998</v>
      </c>
      <c r="AY68" s="79">
        <v>-2.1375841858999999E-2</v>
      </c>
      <c r="AZ68" s="79">
        <v>8.5685448895</v>
      </c>
      <c r="BA68" s="79">
        <v>-3.3765089315699999E-2</v>
      </c>
      <c r="BB68" s="79">
        <v>2.41573925915</v>
      </c>
      <c r="BC68" s="79">
        <v>-3.2575898547400001E-3</v>
      </c>
      <c r="BD68" s="79">
        <v>6.3418188356099999E-6</v>
      </c>
      <c r="BE68" s="79">
        <v>-6.0728827569299999E-5</v>
      </c>
      <c r="BF68" s="79">
        <v>1.0002218754900001</v>
      </c>
      <c r="BG68" s="79">
        <v>7.9335817467399997E-2</v>
      </c>
      <c r="BH68" s="79">
        <v>2.3518884284100001E-4</v>
      </c>
      <c r="BI68" s="79">
        <v>0.18489205345099999</v>
      </c>
      <c r="BJ68" s="79">
        <v>1.0171092791800001E-3</v>
      </c>
      <c r="BK68" s="79">
        <v>-0.456157433492</v>
      </c>
      <c r="BL68" s="79">
        <v>2.67298878817E-3</v>
      </c>
      <c r="BM68" s="79">
        <v>-0.200015976585</v>
      </c>
      <c r="BN68" s="79">
        <v>-0.66016314518300001</v>
      </c>
      <c r="BO68" s="79">
        <v>-6.1396649422800001E-3</v>
      </c>
      <c r="BP68" s="79">
        <v>-3.6323525053300001</v>
      </c>
      <c r="BQ68" s="79">
        <v>-2.86493926294E-3</v>
      </c>
      <c r="BR68" s="79">
        <v>-2.7775371299199998</v>
      </c>
      <c r="BS68" s="79">
        <v>-2.1189070737599999E-2</v>
      </c>
      <c r="BT68" s="79">
        <v>4.0819772407999997</v>
      </c>
      <c r="BU68" s="79">
        <v>-2.65062459604E-2</v>
      </c>
      <c r="BV68" s="79">
        <v>4.4949090675600001</v>
      </c>
      <c r="BW68" s="79">
        <v>-3.2867066261599999E-2</v>
      </c>
      <c r="BX68" s="79">
        <v>0.49970709841299998</v>
      </c>
      <c r="BY68" s="79">
        <v>4.55819106794E-8</v>
      </c>
      <c r="BZ68" s="79">
        <v>0.99986635328499995</v>
      </c>
      <c r="CA68" s="79">
        <v>6.2361903282599998E-5</v>
      </c>
      <c r="CB68" s="79">
        <v>-8.0915344040799995E-4</v>
      </c>
      <c r="CC68" s="79">
        <v>-0.13263316582699999</v>
      </c>
      <c r="CD68" s="79">
        <v>-2.82299247E-4</v>
      </c>
      <c r="CE68" s="79">
        <v>0.74863170315500005</v>
      </c>
      <c r="CF68" s="79">
        <v>-2.2873895283299999E-3</v>
      </c>
      <c r="CG68" s="79">
        <v>0.50412029012199999</v>
      </c>
      <c r="CH68" s="79">
        <v>-6.3174224733300002E-4</v>
      </c>
      <c r="CI68" s="79">
        <v>9.0395932275399993E-3</v>
      </c>
      <c r="CJ68" s="79">
        <v>2.2183207504600002</v>
      </c>
      <c r="CK68" s="79">
        <v>9.7371502215500005E-3</v>
      </c>
      <c r="CL68" s="79">
        <v>2.18051201288</v>
      </c>
      <c r="CM68" s="79">
        <v>7.1401631331300004E-4</v>
      </c>
      <c r="CN68" s="79">
        <v>-5.0605155211900001</v>
      </c>
      <c r="CO68" s="79">
        <v>-1.1363892241399999E-2</v>
      </c>
      <c r="CP68" s="79">
        <v>-9.4958259139500001</v>
      </c>
      <c r="CQ68" s="79">
        <v>4.3854100902899996E-3</v>
      </c>
      <c r="CR68" s="79">
        <v>-4.1768320185399999</v>
      </c>
      <c r="CS68" s="79">
        <v>-4.2941754263399999E-4</v>
      </c>
      <c r="CT68" s="79">
        <v>-6.3330264527300001E-6</v>
      </c>
      <c r="CU68" s="79">
        <v>6.0702294656500001E-5</v>
      </c>
      <c r="CV68" s="79">
        <v>0.99978052352199998</v>
      </c>
      <c r="CW68" s="79">
        <v>-7.9329003179099994E-2</v>
      </c>
      <c r="CX68" s="79">
        <v>-2.7527776932299999E-4</v>
      </c>
      <c r="CY68" s="79">
        <v>-0.18480945435000001</v>
      </c>
      <c r="CZ68" s="79">
        <v>-7.9573977488999999E-4</v>
      </c>
      <c r="DA68" s="79">
        <v>0.50613875901799998</v>
      </c>
      <c r="DB68" s="79">
        <v>-2.3222840758400001E-3</v>
      </c>
      <c r="DC68" s="79">
        <v>0.26800855506400001</v>
      </c>
      <c r="DD68" s="79">
        <v>0.52330044148199995</v>
      </c>
      <c r="DE68" s="79">
        <v>7.1114594838700002E-3</v>
      </c>
      <c r="DF68" s="79">
        <v>3.1703263079999999</v>
      </c>
      <c r="DG68" s="79">
        <v>5.5825872907299999E-3</v>
      </c>
      <c r="DH68" s="79">
        <v>2.5883093533700001</v>
      </c>
      <c r="DI68" s="79">
        <v>1.45628777029E-2</v>
      </c>
      <c r="DJ68" s="79">
        <v>-4.61944623655</v>
      </c>
      <c r="DK68" s="79">
        <v>-2.2117482831999998E-3</v>
      </c>
      <c r="DL68" s="79">
        <v>-8.1277500150299993</v>
      </c>
      <c r="DM68" s="79">
        <v>1.72787409124E-2</v>
      </c>
      <c r="DN68" s="79">
        <v>-3.2293650304799999</v>
      </c>
    </row>
    <row r="69" spans="1:118" x14ac:dyDescent="0.2">
      <c r="A69" t="s">
        <v>63</v>
      </c>
      <c r="B69" t="s">
        <v>224</v>
      </c>
      <c r="C69" t="s">
        <v>239</v>
      </c>
      <c r="D69" t="s">
        <v>214</v>
      </c>
      <c r="L69" s="79">
        <v>-2.2796199999999999E-7</v>
      </c>
      <c r="M69" s="79">
        <v>-2.6094000000000001E-7</v>
      </c>
      <c r="N69" s="79">
        <v>0.61476465892099996</v>
      </c>
      <c r="O69" s="79">
        <v>0.60530026649599999</v>
      </c>
      <c r="P69" s="79">
        <v>5.5268459141299997E-6</v>
      </c>
      <c r="Q69" s="79">
        <v>-3.4602887288100003E-4</v>
      </c>
      <c r="R69" s="79">
        <v>-41.296999999999997</v>
      </c>
      <c r="AF69" s="28">
        <v>41640</v>
      </c>
      <c r="AH69">
        <v>5</v>
      </c>
      <c r="AI69" s="80">
        <v>8.6961062949000006E-3</v>
      </c>
      <c r="AJ69" s="80">
        <v>-31.6167785391</v>
      </c>
      <c r="AK69" s="80">
        <v>-4.57741183615E-4</v>
      </c>
      <c r="AL69" s="80">
        <v>-8.2313699793900005E-2</v>
      </c>
      <c r="AM69" s="79">
        <v>-5.82122718896</v>
      </c>
      <c r="AN69" s="79">
        <v>-1.2094318756699999E-2</v>
      </c>
      <c r="AO69" s="79">
        <v>-32.472573703599998</v>
      </c>
      <c r="AP69" s="79">
        <v>11.6906110754</v>
      </c>
      <c r="AQ69" s="79">
        <v>-27.911322451899998</v>
      </c>
      <c r="AR69" s="79">
        <v>-1.35979599425</v>
      </c>
      <c r="AS69" s="79">
        <v>25.7420163245</v>
      </c>
      <c r="AT69" s="79">
        <v>-18.4912345113</v>
      </c>
      <c r="AU69" s="79">
        <v>-10.945415545199999</v>
      </c>
      <c r="AV69" s="79">
        <v>35.230632102800001</v>
      </c>
      <c r="AW69" s="79">
        <v>21.1547885182</v>
      </c>
      <c r="AX69" s="79">
        <v>967.94797796900002</v>
      </c>
      <c r="AY69" s="79">
        <v>-4628.2431035400004</v>
      </c>
      <c r="AZ69" s="79">
        <v>2673.62555281</v>
      </c>
      <c r="BA69" s="79">
        <v>-4727.8581945100004</v>
      </c>
      <c r="BB69" s="79">
        <v>-3636.8885409599998</v>
      </c>
      <c r="BC69" s="79">
        <v>2742.50168102</v>
      </c>
      <c r="BD69" s="79">
        <v>-2.2569038259599998</v>
      </c>
      <c r="BE69" s="79">
        <v>-5.0290721275300003E-3</v>
      </c>
      <c r="BF69" s="79">
        <v>-33.516692927400001</v>
      </c>
      <c r="BG69" s="79">
        <v>7.4742990755300003</v>
      </c>
      <c r="BH69" s="79">
        <v>-3.6615183091499998E-2</v>
      </c>
      <c r="BI69" s="79">
        <v>2.3141707334100001</v>
      </c>
      <c r="BJ69" s="79">
        <v>-2.6457898477800001</v>
      </c>
      <c r="BK69" s="79">
        <v>-23.961597090600002</v>
      </c>
      <c r="BL69" s="79">
        <v>8.5087422883600006</v>
      </c>
      <c r="BM69" s="79">
        <v>-31.799300750499999</v>
      </c>
      <c r="BN69" s="79">
        <v>-35.039774561900003</v>
      </c>
      <c r="BO69" s="79">
        <v>-4.3872735593299996</v>
      </c>
      <c r="BP69" s="79">
        <v>10.267694818100001</v>
      </c>
      <c r="BQ69" s="79">
        <v>14.399914152299999</v>
      </c>
      <c r="BR69" s="79">
        <v>-41.830326223</v>
      </c>
      <c r="BS69" s="79">
        <v>1717.8101870099999</v>
      </c>
      <c r="BT69" s="79">
        <v>-2043.0495168899999</v>
      </c>
      <c r="BU69" s="79">
        <v>-3038.2637639200002</v>
      </c>
      <c r="BV69" s="79">
        <v>-576.20086172799995</v>
      </c>
      <c r="BW69" s="79">
        <v>-2409.34590007</v>
      </c>
      <c r="BX69" s="79">
        <v>-50.144802898400002</v>
      </c>
      <c r="BY69" s="79">
        <v>-8.5554672817200004E-3</v>
      </c>
      <c r="BZ69" s="79">
        <v>31.3147747469</v>
      </c>
      <c r="CA69" s="79">
        <v>4.5199169363099997E-3</v>
      </c>
      <c r="CB69" s="79">
        <v>-1.47433862693E-2</v>
      </c>
      <c r="CC69" s="79">
        <v>-4.7385253470600004</v>
      </c>
      <c r="CD69" s="79">
        <v>-2.3563406385900001E-2</v>
      </c>
      <c r="CE69" s="79">
        <v>133.16117301700001</v>
      </c>
      <c r="CF69" s="79">
        <v>-12.1508556288</v>
      </c>
      <c r="CG69" s="79">
        <v>107.489903983</v>
      </c>
      <c r="CH69" s="79">
        <v>1.0037961773099999</v>
      </c>
      <c r="CI69" s="79">
        <v>-26.856613472300001</v>
      </c>
      <c r="CJ69" s="79">
        <v>307.60674072</v>
      </c>
      <c r="CK69" s="79">
        <v>6.6321453444999996</v>
      </c>
      <c r="CL69" s="79">
        <v>254.07823057600001</v>
      </c>
      <c r="CM69" s="79">
        <v>-18.042747146100002</v>
      </c>
      <c r="CN69" s="79">
        <v>-1810.3495616600001</v>
      </c>
      <c r="CO69" s="79">
        <v>4693.4713315700001</v>
      </c>
      <c r="CP69" s="79">
        <v>-4338.1003472100001</v>
      </c>
      <c r="CQ69" s="79">
        <v>4812.8514784500003</v>
      </c>
      <c r="CR69" s="79">
        <v>2875.6318028699998</v>
      </c>
      <c r="CS69" s="79">
        <v>-2607.6774271899999</v>
      </c>
      <c r="CT69" s="79">
        <v>2.2566364321600001</v>
      </c>
      <c r="CU69" s="79">
        <v>9.7675812040000001E-3</v>
      </c>
      <c r="CV69" s="79">
        <v>32.674099876699998</v>
      </c>
      <c r="CW69" s="79">
        <v>-14.008847462</v>
      </c>
      <c r="CX69" s="79">
        <v>-8.1253717679100005E-3</v>
      </c>
      <c r="CY69" s="79">
        <v>-19.084402223600001</v>
      </c>
      <c r="CZ69" s="79">
        <v>2.5098644290599998</v>
      </c>
      <c r="DA69" s="79">
        <v>109.98425442600001</v>
      </c>
      <c r="DB69" s="79">
        <v>-8.8550356882399992</v>
      </c>
      <c r="DC69" s="79">
        <v>94.885088140799994</v>
      </c>
      <c r="DD69" s="79">
        <v>82.127437630800003</v>
      </c>
      <c r="DE69" s="79">
        <v>3.2940167523000001</v>
      </c>
      <c r="DF69" s="79">
        <v>392.95103766199998</v>
      </c>
      <c r="DG69" s="79">
        <v>-15.9801791748</v>
      </c>
      <c r="DH69" s="79">
        <v>400.664896457</v>
      </c>
      <c r="DI69" s="79">
        <v>-1699.9627935599999</v>
      </c>
      <c r="DJ69" s="79">
        <v>1173.2885313500001</v>
      </c>
      <c r="DK69" s="79">
        <v>3073.3028988400001</v>
      </c>
      <c r="DL69" s="79">
        <v>-1014.48068072</v>
      </c>
      <c r="DM69" s="79">
        <v>2427.42627709</v>
      </c>
      <c r="DN69" s="79">
        <v>-591.290809599</v>
      </c>
    </row>
    <row r="70" spans="1:118" x14ac:dyDescent="0.2">
      <c r="A70" t="s">
        <v>63</v>
      </c>
      <c r="B70" t="s">
        <v>231</v>
      </c>
      <c r="C70" t="s">
        <v>239</v>
      </c>
      <c r="D70" t="s">
        <v>214</v>
      </c>
      <c r="L70" s="79">
        <v>-2.2796199999999999E-7</v>
      </c>
      <c r="M70" s="79">
        <v>-2.6094000000000001E-7</v>
      </c>
      <c r="N70" s="79">
        <v>0.61476465892099996</v>
      </c>
      <c r="O70" s="79">
        <v>0.60530026649599999</v>
      </c>
      <c r="P70" s="79">
        <v>5.5268459141299997E-6</v>
      </c>
      <c r="Q70" s="79">
        <v>-3.4602887288100003E-4</v>
      </c>
      <c r="R70" s="79">
        <v>-41.296999999999997</v>
      </c>
      <c r="AF70" s="28">
        <v>41640</v>
      </c>
      <c r="AH70">
        <v>5</v>
      </c>
      <c r="AI70" s="80">
        <v>-4.59683581533E-8</v>
      </c>
      <c r="AJ70" s="80">
        <v>1.00013446301</v>
      </c>
      <c r="AK70" s="80">
        <v>-6.2386219361800001E-5</v>
      </c>
      <c r="AL70" s="80">
        <v>7.9643698974200003E-4</v>
      </c>
      <c r="AM70" s="79">
        <v>0.132639144761</v>
      </c>
      <c r="AN70" s="79">
        <v>2.6270952991899998E-4</v>
      </c>
      <c r="AO70" s="79">
        <v>-0.73839303389099997</v>
      </c>
      <c r="AP70" s="79">
        <v>2.9106985852899998E-3</v>
      </c>
      <c r="AQ70" s="79">
        <v>-0.46237730785300002</v>
      </c>
      <c r="AR70" s="79">
        <v>8.13736773542E-4</v>
      </c>
      <c r="AS70" s="79">
        <v>-1.12956273819E-2</v>
      </c>
      <c r="AT70" s="79">
        <v>-2.6881317058900001</v>
      </c>
      <c r="AU70" s="79">
        <v>-8.8650276020499994E-3</v>
      </c>
      <c r="AV70" s="79">
        <v>-2.4709591285600001</v>
      </c>
      <c r="AW70" s="79">
        <v>-1.9850749119899999E-4</v>
      </c>
      <c r="AX70" s="79">
        <v>6.3322134442499998</v>
      </c>
      <c r="AY70" s="79">
        <v>-2.1375841858999999E-2</v>
      </c>
      <c r="AZ70" s="79">
        <v>8.5685448895</v>
      </c>
      <c r="BA70" s="79">
        <v>-3.3765089315699999E-2</v>
      </c>
      <c r="BB70" s="79">
        <v>2.41573925915</v>
      </c>
      <c r="BC70" s="79">
        <v>-3.2575898547400001E-3</v>
      </c>
      <c r="BD70" s="79">
        <v>6.3418188356099999E-6</v>
      </c>
      <c r="BE70" s="79">
        <v>-6.0728827569299999E-5</v>
      </c>
      <c r="BF70" s="79">
        <v>1.0002218754900001</v>
      </c>
      <c r="BG70" s="79">
        <v>7.9335817467399997E-2</v>
      </c>
      <c r="BH70" s="79">
        <v>2.3518884284100001E-4</v>
      </c>
      <c r="BI70" s="79">
        <v>0.18489205345099999</v>
      </c>
      <c r="BJ70" s="79">
        <v>1.0171092791800001E-3</v>
      </c>
      <c r="BK70" s="79">
        <v>-0.456157433492</v>
      </c>
      <c r="BL70" s="79">
        <v>2.67298878817E-3</v>
      </c>
      <c r="BM70" s="79">
        <v>-0.200015976585</v>
      </c>
      <c r="BN70" s="79">
        <v>-0.66016314518300001</v>
      </c>
      <c r="BO70" s="79">
        <v>-6.1396649422800001E-3</v>
      </c>
      <c r="BP70" s="79">
        <v>-3.6323525053300001</v>
      </c>
      <c r="BQ70" s="79">
        <v>-2.86493926294E-3</v>
      </c>
      <c r="BR70" s="79">
        <v>-2.7775371299199998</v>
      </c>
      <c r="BS70" s="79">
        <v>-2.1189070737599999E-2</v>
      </c>
      <c r="BT70" s="79">
        <v>4.0819772407999997</v>
      </c>
      <c r="BU70" s="79">
        <v>-2.65062459604E-2</v>
      </c>
      <c r="BV70" s="79">
        <v>4.4949090675600001</v>
      </c>
      <c r="BW70" s="79">
        <v>-3.2867066261599999E-2</v>
      </c>
      <c r="BX70" s="79">
        <v>0.49970709841299998</v>
      </c>
      <c r="BY70" s="79">
        <v>4.55819106794E-8</v>
      </c>
      <c r="BZ70" s="79">
        <v>0.99986635328499995</v>
      </c>
      <c r="CA70" s="79">
        <v>6.2361903282599998E-5</v>
      </c>
      <c r="CB70" s="79">
        <v>-8.0915344040799995E-4</v>
      </c>
      <c r="CC70" s="79">
        <v>-0.13263316582699999</v>
      </c>
      <c r="CD70" s="79">
        <v>-2.82299247E-4</v>
      </c>
      <c r="CE70" s="79">
        <v>0.74863170315500005</v>
      </c>
      <c r="CF70" s="79">
        <v>-2.2873895283299999E-3</v>
      </c>
      <c r="CG70" s="79">
        <v>0.50412029012199999</v>
      </c>
      <c r="CH70" s="79">
        <v>-6.3174224733300002E-4</v>
      </c>
      <c r="CI70" s="79">
        <v>9.0395932275399993E-3</v>
      </c>
      <c r="CJ70" s="79">
        <v>2.2183207504600002</v>
      </c>
      <c r="CK70" s="79">
        <v>9.7371502215500005E-3</v>
      </c>
      <c r="CL70" s="79">
        <v>2.18051201288</v>
      </c>
      <c r="CM70" s="79">
        <v>7.1401631331300004E-4</v>
      </c>
      <c r="CN70" s="79">
        <v>-5.0605155211900001</v>
      </c>
      <c r="CO70" s="79">
        <v>-1.1363892241399999E-2</v>
      </c>
      <c r="CP70" s="79">
        <v>-9.4958259139500001</v>
      </c>
      <c r="CQ70" s="79">
        <v>4.3854100902899996E-3</v>
      </c>
      <c r="CR70" s="79">
        <v>-4.1768320185399999</v>
      </c>
      <c r="CS70" s="79">
        <v>-4.2941754263399999E-4</v>
      </c>
      <c r="CT70" s="79">
        <v>-6.3330264527300001E-6</v>
      </c>
      <c r="CU70" s="79">
        <v>6.0702294656500001E-5</v>
      </c>
      <c r="CV70" s="79">
        <v>0.99978052352199998</v>
      </c>
      <c r="CW70" s="79">
        <v>-7.9329003179099994E-2</v>
      </c>
      <c r="CX70" s="79">
        <v>-2.7527776932299999E-4</v>
      </c>
      <c r="CY70" s="79">
        <v>-0.18480945435000001</v>
      </c>
      <c r="CZ70" s="79">
        <v>-7.9573977488999999E-4</v>
      </c>
      <c r="DA70" s="79">
        <v>0.50613875901799998</v>
      </c>
      <c r="DB70" s="79">
        <v>-2.3222840758400001E-3</v>
      </c>
      <c r="DC70" s="79">
        <v>0.26800855506400001</v>
      </c>
      <c r="DD70" s="79">
        <v>0.52330044148199995</v>
      </c>
      <c r="DE70" s="79">
        <v>7.1114594838700002E-3</v>
      </c>
      <c r="DF70" s="79">
        <v>3.1703263079999999</v>
      </c>
      <c r="DG70" s="79">
        <v>5.5825872907299999E-3</v>
      </c>
      <c r="DH70" s="79">
        <v>2.5883093533700001</v>
      </c>
      <c r="DI70" s="79">
        <v>1.45628777029E-2</v>
      </c>
      <c r="DJ70" s="79">
        <v>-4.61944623655</v>
      </c>
      <c r="DK70" s="79">
        <v>-2.2117482831999998E-3</v>
      </c>
      <c r="DL70" s="79">
        <v>-8.1277500150299993</v>
      </c>
      <c r="DM70" s="79">
        <v>1.72787409124E-2</v>
      </c>
      <c r="DN70" s="79">
        <v>-3.2293650304799999</v>
      </c>
    </row>
    <row r="71" spans="1:118" x14ac:dyDescent="0.2">
      <c r="A71" t="s">
        <v>63</v>
      </c>
      <c r="B71" t="s">
        <v>232</v>
      </c>
      <c r="C71" t="s">
        <v>239</v>
      </c>
      <c r="D71" t="s">
        <v>214</v>
      </c>
      <c r="L71" s="79">
        <v>-2.2796199999999999E-7</v>
      </c>
      <c r="M71" s="79">
        <v>-2.6094000000000001E-7</v>
      </c>
      <c r="N71" s="79">
        <v>0.61476465892099996</v>
      </c>
      <c r="O71" s="79">
        <v>0.60530026649599999</v>
      </c>
      <c r="P71" s="79">
        <v>5.5268459141299997E-6</v>
      </c>
      <c r="Q71" s="79">
        <v>-3.4602887288100003E-4</v>
      </c>
      <c r="R71" s="79">
        <v>-41.296999999999997</v>
      </c>
      <c r="AF71" s="28">
        <v>41640</v>
      </c>
      <c r="AH71">
        <v>5</v>
      </c>
      <c r="AI71" s="80">
        <v>8.6961062949000006E-3</v>
      </c>
      <c r="AJ71" s="80">
        <v>-31.6167785391</v>
      </c>
      <c r="AK71" s="80">
        <v>-4.57741183615E-4</v>
      </c>
      <c r="AL71" s="80">
        <v>-8.2313699793900005E-2</v>
      </c>
      <c r="AM71" s="79">
        <v>-5.82122718896</v>
      </c>
      <c r="AN71" s="79">
        <v>-1.2094318756699999E-2</v>
      </c>
      <c r="AO71" s="79">
        <v>-32.472573703599998</v>
      </c>
      <c r="AP71" s="79">
        <v>11.6906110754</v>
      </c>
      <c r="AQ71" s="79">
        <v>-27.911322451899998</v>
      </c>
      <c r="AR71" s="79">
        <v>-1.35979599425</v>
      </c>
      <c r="AS71" s="79">
        <v>25.7420163245</v>
      </c>
      <c r="AT71" s="79">
        <v>-18.4912345113</v>
      </c>
      <c r="AU71" s="79">
        <v>-10.945415545199999</v>
      </c>
      <c r="AV71" s="79">
        <v>35.230632102800001</v>
      </c>
      <c r="AW71" s="79">
        <v>21.1547885182</v>
      </c>
      <c r="AX71" s="79">
        <v>967.94797796900002</v>
      </c>
      <c r="AY71" s="79">
        <v>-4628.2431035400004</v>
      </c>
      <c r="AZ71" s="79">
        <v>2673.62555281</v>
      </c>
      <c r="BA71" s="79">
        <v>-4727.8581945100004</v>
      </c>
      <c r="BB71" s="79">
        <v>-3636.8885409599998</v>
      </c>
      <c r="BC71" s="79">
        <v>2742.50168102</v>
      </c>
      <c r="BD71" s="79">
        <v>-2.2569038259599998</v>
      </c>
      <c r="BE71" s="79">
        <v>-5.0290721275300003E-3</v>
      </c>
      <c r="BF71" s="79">
        <v>-33.516692927400001</v>
      </c>
      <c r="BG71" s="79">
        <v>7.4742990755300003</v>
      </c>
      <c r="BH71" s="79">
        <v>-3.6615183091499998E-2</v>
      </c>
      <c r="BI71" s="79">
        <v>2.3141707334100001</v>
      </c>
      <c r="BJ71" s="79">
        <v>-2.6457898477800001</v>
      </c>
      <c r="BK71" s="79">
        <v>-23.961597090600002</v>
      </c>
      <c r="BL71" s="79">
        <v>8.5087422883600006</v>
      </c>
      <c r="BM71" s="79">
        <v>-31.799300750499999</v>
      </c>
      <c r="BN71" s="79">
        <v>-35.039774561900003</v>
      </c>
      <c r="BO71" s="79">
        <v>-4.3872735593299996</v>
      </c>
      <c r="BP71" s="79">
        <v>10.267694818100001</v>
      </c>
      <c r="BQ71" s="79">
        <v>14.399914152299999</v>
      </c>
      <c r="BR71" s="79">
        <v>-41.830326223</v>
      </c>
      <c r="BS71" s="79">
        <v>1717.8101870099999</v>
      </c>
      <c r="BT71" s="79">
        <v>-2043.0495168899999</v>
      </c>
      <c r="BU71" s="79">
        <v>-3038.2637639200002</v>
      </c>
      <c r="BV71" s="79">
        <v>-576.20086172799995</v>
      </c>
      <c r="BW71" s="79">
        <v>-2409.34590007</v>
      </c>
      <c r="BX71" s="79">
        <v>-50.144802898400002</v>
      </c>
      <c r="BY71" s="79">
        <v>-8.5554672817200004E-3</v>
      </c>
      <c r="BZ71" s="79">
        <v>31.3147747469</v>
      </c>
      <c r="CA71" s="79">
        <v>4.5199169363099997E-3</v>
      </c>
      <c r="CB71" s="79">
        <v>-1.47433862693E-2</v>
      </c>
      <c r="CC71" s="79">
        <v>-4.7385253470600004</v>
      </c>
      <c r="CD71" s="79">
        <v>-2.3563406385900001E-2</v>
      </c>
      <c r="CE71" s="79">
        <v>133.16117301700001</v>
      </c>
      <c r="CF71" s="79">
        <v>-12.1508556288</v>
      </c>
      <c r="CG71" s="79">
        <v>107.489903983</v>
      </c>
      <c r="CH71" s="79">
        <v>1.0037961773099999</v>
      </c>
      <c r="CI71" s="79">
        <v>-26.856613472300001</v>
      </c>
      <c r="CJ71" s="79">
        <v>307.60674072</v>
      </c>
      <c r="CK71" s="79">
        <v>6.6321453444999996</v>
      </c>
      <c r="CL71" s="79">
        <v>254.07823057600001</v>
      </c>
      <c r="CM71" s="79">
        <v>-18.042747146100002</v>
      </c>
      <c r="CN71" s="79">
        <v>-1810.3495616600001</v>
      </c>
      <c r="CO71" s="79">
        <v>4693.4713315700001</v>
      </c>
      <c r="CP71" s="79">
        <v>-4338.1003472100001</v>
      </c>
      <c r="CQ71" s="79">
        <v>4812.8514784500003</v>
      </c>
      <c r="CR71" s="79">
        <v>2875.6318028699998</v>
      </c>
      <c r="CS71" s="79">
        <v>-2607.6774271899999</v>
      </c>
      <c r="CT71" s="79">
        <v>2.2566364321600001</v>
      </c>
      <c r="CU71" s="79">
        <v>9.7675812040000001E-3</v>
      </c>
      <c r="CV71" s="79">
        <v>32.674099876699998</v>
      </c>
      <c r="CW71" s="79">
        <v>-14.008847462</v>
      </c>
      <c r="CX71" s="79">
        <v>-8.1253717679100005E-3</v>
      </c>
      <c r="CY71" s="79">
        <v>-19.084402223600001</v>
      </c>
      <c r="CZ71" s="79">
        <v>2.5098644290599998</v>
      </c>
      <c r="DA71" s="79">
        <v>109.98425442600001</v>
      </c>
      <c r="DB71" s="79">
        <v>-8.8550356882399992</v>
      </c>
      <c r="DC71" s="79">
        <v>94.885088140799994</v>
      </c>
      <c r="DD71" s="79">
        <v>82.127437630800003</v>
      </c>
      <c r="DE71" s="79">
        <v>3.2940167523000001</v>
      </c>
      <c r="DF71" s="79">
        <v>392.95103766199998</v>
      </c>
      <c r="DG71" s="79">
        <v>-15.9801791748</v>
      </c>
      <c r="DH71" s="79">
        <v>400.664896457</v>
      </c>
      <c r="DI71" s="79">
        <v>-1699.9627935599999</v>
      </c>
      <c r="DJ71" s="79">
        <v>1173.2885313500001</v>
      </c>
      <c r="DK71" s="79">
        <v>3073.3028988400001</v>
      </c>
      <c r="DL71" s="79">
        <v>-1014.48068072</v>
      </c>
      <c r="DM71" s="79">
        <v>2427.42627709</v>
      </c>
      <c r="DN71" s="79">
        <v>-591.290809599</v>
      </c>
    </row>
    <row r="72" spans="1:118" x14ac:dyDescent="0.2">
      <c r="A72" t="s">
        <v>63</v>
      </c>
      <c r="B72" t="s">
        <v>225</v>
      </c>
      <c r="C72" t="s">
        <v>239</v>
      </c>
      <c r="D72" t="s">
        <v>214</v>
      </c>
      <c r="L72" s="79">
        <v>-2.2796199999999999E-7</v>
      </c>
      <c r="M72" s="79">
        <v>-2.6094000000000001E-7</v>
      </c>
      <c r="N72" s="79">
        <v>0.61476465892099996</v>
      </c>
      <c r="O72" s="79">
        <v>0.60530026649599999</v>
      </c>
      <c r="P72" s="79">
        <v>5.5268459141299997E-6</v>
      </c>
      <c r="Q72" s="79">
        <v>-3.4602887288100003E-4</v>
      </c>
      <c r="R72" s="79">
        <v>-41.296999999999997</v>
      </c>
      <c r="AF72" s="28">
        <v>41640</v>
      </c>
      <c r="AH72">
        <v>5</v>
      </c>
      <c r="AI72" s="80">
        <v>-4.59683581533E-8</v>
      </c>
      <c r="AJ72" s="80">
        <v>1.00013446301</v>
      </c>
      <c r="AK72" s="80">
        <v>-6.2386219361800001E-5</v>
      </c>
      <c r="AL72" s="80">
        <v>7.9643698974200003E-4</v>
      </c>
      <c r="AM72" s="79">
        <v>0.132639144761</v>
      </c>
      <c r="AN72" s="79">
        <v>2.6270952991899998E-4</v>
      </c>
      <c r="AO72" s="79">
        <v>-0.73839303389099997</v>
      </c>
      <c r="AP72" s="79">
        <v>2.9106985852899998E-3</v>
      </c>
      <c r="AQ72" s="79">
        <v>-0.46237730785300002</v>
      </c>
      <c r="AR72" s="79">
        <v>8.13736773542E-4</v>
      </c>
      <c r="AS72" s="79">
        <v>-1.12956273819E-2</v>
      </c>
      <c r="AT72" s="79">
        <v>-2.6881317058900001</v>
      </c>
      <c r="AU72" s="79">
        <v>-8.8650276020499994E-3</v>
      </c>
      <c r="AV72" s="79">
        <v>-2.4709591285600001</v>
      </c>
      <c r="AW72" s="79">
        <v>-1.9850749119899999E-4</v>
      </c>
      <c r="AX72" s="79">
        <v>6.3322134442499998</v>
      </c>
      <c r="AY72" s="79">
        <v>-2.1375841858999999E-2</v>
      </c>
      <c r="AZ72" s="79">
        <v>8.5685448895</v>
      </c>
      <c r="BA72" s="79">
        <v>-3.3765089315699999E-2</v>
      </c>
      <c r="BB72" s="79">
        <v>2.41573925915</v>
      </c>
      <c r="BC72" s="79">
        <v>-3.2575898547400001E-3</v>
      </c>
      <c r="BD72" s="79">
        <v>6.3418188356099999E-6</v>
      </c>
      <c r="BE72" s="79">
        <v>-6.0728827569299999E-5</v>
      </c>
      <c r="BF72" s="79">
        <v>1.0002218754900001</v>
      </c>
      <c r="BG72" s="79">
        <v>7.9335817467399997E-2</v>
      </c>
      <c r="BH72" s="79">
        <v>2.3518884284100001E-4</v>
      </c>
      <c r="BI72" s="79">
        <v>0.18489205345099999</v>
      </c>
      <c r="BJ72" s="79">
        <v>1.0171092791800001E-3</v>
      </c>
      <c r="BK72" s="79">
        <v>-0.456157433492</v>
      </c>
      <c r="BL72" s="79">
        <v>2.67298878817E-3</v>
      </c>
      <c r="BM72" s="79">
        <v>-0.200015976585</v>
      </c>
      <c r="BN72" s="79">
        <v>-0.66016314518300001</v>
      </c>
      <c r="BO72" s="79">
        <v>-6.1396649422800001E-3</v>
      </c>
      <c r="BP72" s="79">
        <v>-3.6323525053300001</v>
      </c>
      <c r="BQ72" s="79">
        <v>-2.86493926294E-3</v>
      </c>
      <c r="BR72" s="79">
        <v>-2.7775371299199998</v>
      </c>
      <c r="BS72" s="79">
        <v>-2.1189070737599999E-2</v>
      </c>
      <c r="BT72" s="79">
        <v>4.0819772407999997</v>
      </c>
      <c r="BU72" s="79">
        <v>-2.65062459604E-2</v>
      </c>
      <c r="BV72" s="79">
        <v>4.4949090675600001</v>
      </c>
      <c r="BW72" s="79">
        <v>-3.2867066261599999E-2</v>
      </c>
      <c r="BX72" s="79">
        <v>0.49970709841299998</v>
      </c>
      <c r="BY72" s="79">
        <v>4.55819106794E-8</v>
      </c>
      <c r="BZ72" s="79">
        <v>0.99986635328499995</v>
      </c>
      <c r="CA72" s="79">
        <v>6.2361903282599998E-5</v>
      </c>
      <c r="CB72" s="79">
        <v>-8.0915344040799995E-4</v>
      </c>
      <c r="CC72" s="79">
        <v>-0.13263316582699999</v>
      </c>
      <c r="CD72" s="79">
        <v>-2.82299247E-4</v>
      </c>
      <c r="CE72" s="79">
        <v>0.74863170315500005</v>
      </c>
      <c r="CF72" s="79">
        <v>-2.2873895283299999E-3</v>
      </c>
      <c r="CG72" s="79">
        <v>0.50412029012199999</v>
      </c>
      <c r="CH72" s="79">
        <v>-6.3174224733300002E-4</v>
      </c>
      <c r="CI72" s="79">
        <v>9.0395932275399993E-3</v>
      </c>
      <c r="CJ72" s="79">
        <v>2.2183207504600002</v>
      </c>
      <c r="CK72" s="79">
        <v>9.7371502215500005E-3</v>
      </c>
      <c r="CL72" s="79">
        <v>2.18051201288</v>
      </c>
      <c r="CM72" s="79">
        <v>7.1401631331300004E-4</v>
      </c>
      <c r="CN72" s="79">
        <v>-5.0605155211900001</v>
      </c>
      <c r="CO72" s="79">
        <v>-1.1363892241399999E-2</v>
      </c>
      <c r="CP72" s="79">
        <v>-9.4958259139500001</v>
      </c>
      <c r="CQ72" s="79">
        <v>4.3854100902899996E-3</v>
      </c>
      <c r="CR72" s="79">
        <v>-4.1768320185399999</v>
      </c>
      <c r="CS72" s="79">
        <v>-4.2941754263399999E-4</v>
      </c>
      <c r="CT72" s="79">
        <v>-6.3330264527300001E-6</v>
      </c>
      <c r="CU72" s="79">
        <v>6.0702294656500001E-5</v>
      </c>
      <c r="CV72" s="79">
        <v>0.99978052352199998</v>
      </c>
      <c r="CW72" s="79">
        <v>-7.9329003179099994E-2</v>
      </c>
      <c r="CX72" s="79">
        <v>-2.7527776932299999E-4</v>
      </c>
      <c r="CY72" s="79">
        <v>-0.18480945435000001</v>
      </c>
      <c r="CZ72" s="79">
        <v>-7.9573977488999999E-4</v>
      </c>
      <c r="DA72" s="79">
        <v>0.50613875901799998</v>
      </c>
      <c r="DB72" s="79">
        <v>-2.3222840758400001E-3</v>
      </c>
      <c r="DC72" s="79">
        <v>0.26800855506400001</v>
      </c>
      <c r="DD72" s="79">
        <v>0.52330044148199995</v>
      </c>
      <c r="DE72" s="79">
        <v>7.1114594838700002E-3</v>
      </c>
      <c r="DF72" s="79">
        <v>3.1703263079999999</v>
      </c>
      <c r="DG72" s="79">
        <v>5.5825872907299999E-3</v>
      </c>
      <c r="DH72" s="79">
        <v>2.5883093533700001</v>
      </c>
      <c r="DI72" s="79">
        <v>1.45628777029E-2</v>
      </c>
      <c r="DJ72" s="79">
        <v>-4.61944623655</v>
      </c>
      <c r="DK72" s="79">
        <v>-2.2117482831999998E-3</v>
      </c>
      <c r="DL72" s="79">
        <v>-8.1277500150299993</v>
      </c>
      <c r="DM72" s="79">
        <v>1.72787409124E-2</v>
      </c>
      <c r="DN72" s="79">
        <v>-3.2293650304799999</v>
      </c>
    </row>
    <row r="73" spans="1:118" x14ac:dyDescent="0.2">
      <c r="A73" t="s">
        <v>63</v>
      </c>
      <c r="B73" t="s">
        <v>226</v>
      </c>
      <c r="C73" t="s">
        <v>239</v>
      </c>
      <c r="D73" t="s">
        <v>214</v>
      </c>
      <c r="L73" s="79">
        <v>-2.2796199999999999E-7</v>
      </c>
      <c r="M73" s="79">
        <v>-2.6094000000000001E-7</v>
      </c>
      <c r="N73" s="79">
        <v>0.61476465892099996</v>
      </c>
      <c r="O73" s="79">
        <v>0.60530026649599999</v>
      </c>
      <c r="P73" s="79">
        <v>5.5268459141299997E-6</v>
      </c>
      <c r="Q73" s="79">
        <v>-3.4602887288100003E-4</v>
      </c>
      <c r="R73" s="79">
        <v>-41.296999999999997</v>
      </c>
      <c r="AF73" s="28">
        <v>41640</v>
      </c>
      <c r="AH73">
        <v>5</v>
      </c>
      <c r="AI73" s="80">
        <v>8.6961062949000006E-3</v>
      </c>
      <c r="AJ73" s="80">
        <v>-31.6167785391</v>
      </c>
      <c r="AK73" s="80">
        <v>-4.57741183615E-4</v>
      </c>
      <c r="AL73" s="80">
        <v>-8.2313699793900005E-2</v>
      </c>
      <c r="AM73" s="79">
        <v>-5.82122718896</v>
      </c>
      <c r="AN73" s="79">
        <v>-1.2094318756699999E-2</v>
      </c>
      <c r="AO73" s="79">
        <v>-32.472573703599998</v>
      </c>
      <c r="AP73" s="79">
        <v>11.6906110754</v>
      </c>
      <c r="AQ73" s="79">
        <v>-27.911322451899998</v>
      </c>
      <c r="AR73" s="79">
        <v>-1.35979599425</v>
      </c>
      <c r="AS73" s="79">
        <v>25.7420163245</v>
      </c>
      <c r="AT73" s="79">
        <v>-18.4912345113</v>
      </c>
      <c r="AU73" s="79">
        <v>-10.945415545199999</v>
      </c>
      <c r="AV73" s="79">
        <v>35.230632102800001</v>
      </c>
      <c r="AW73" s="79">
        <v>21.1547885182</v>
      </c>
      <c r="AX73" s="79">
        <v>967.94797796900002</v>
      </c>
      <c r="AY73" s="79">
        <v>-4628.2431035400004</v>
      </c>
      <c r="AZ73" s="79">
        <v>2673.62555281</v>
      </c>
      <c r="BA73" s="79">
        <v>-4727.8581945100004</v>
      </c>
      <c r="BB73" s="79">
        <v>-3636.8885409599998</v>
      </c>
      <c r="BC73" s="79">
        <v>2742.50168102</v>
      </c>
      <c r="BD73" s="79">
        <v>-2.2569038259599998</v>
      </c>
      <c r="BE73" s="79">
        <v>-5.0290721275300003E-3</v>
      </c>
      <c r="BF73" s="79">
        <v>-33.516692927400001</v>
      </c>
      <c r="BG73" s="79">
        <v>7.4742990755300003</v>
      </c>
      <c r="BH73" s="79">
        <v>-3.6615183091499998E-2</v>
      </c>
      <c r="BI73" s="79">
        <v>2.3141707334100001</v>
      </c>
      <c r="BJ73" s="79">
        <v>-2.6457898477800001</v>
      </c>
      <c r="BK73" s="79">
        <v>-23.961597090600002</v>
      </c>
      <c r="BL73" s="79">
        <v>8.5087422883600006</v>
      </c>
      <c r="BM73" s="79">
        <v>-31.799300750499999</v>
      </c>
      <c r="BN73" s="79">
        <v>-35.039774561900003</v>
      </c>
      <c r="BO73" s="79">
        <v>-4.3872735593299996</v>
      </c>
      <c r="BP73" s="79">
        <v>10.267694818100001</v>
      </c>
      <c r="BQ73" s="79">
        <v>14.399914152299999</v>
      </c>
      <c r="BR73" s="79">
        <v>-41.830326223</v>
      </c>
      <c r="BS73" s="79">
        <v>1717.8101870099999</v>
      </c>
      <c r="BT73" s="79">
        <v>-2043.0495168899999</v>
      </c>
      <c r="BU73" s="79">
        <v>-3038.2637639200002</v>
      </c>
      <c r="BV73" s="79">
        <v>-576.20086172799995</v>
      </c>
      <c r="BW73" s="79">
        <v>-2409.34590007</v>
      </c>
      <c r="BX73" s="79">
        <v>-50.144802898400002</v>
      </c>
      <c r="BY73" s="79">
        <v>-8.5554672817200004E-3</v>
      </c>
      <c r="BZ73" s="79">
        <v>31.3147747469</v>
      </c>
      <c r="CA73" s="79">
        <v>4.5199169363099997E-3</v>
      </c>
      <c r="CB73" s="79">
        <v>-1.47433862693E-2</v>
      </c>
      <c r="CC73" s="79">
        <v>-4.7385253470600004</v>
      </c>
      <c r="CD73" s="79">
        <v>-2.3563406385900001E-2</v>
      </c>
      <c r="CE73" s="79">
        <v>133.16117301700001</v>
      </c>
      <c r="CF73" s="79">
        <v>-12.1508556288</v>
      </c>
      <c r="CG73" s="79">
        <v>107.489903983</v>
      </c>
      <c r="CH73" s="79">
        <v>1.0037961773099999</v>
      </c>
      <c r="CI73" s="79">
        <v>-26.856613472300001</v>
      </c>
      <c r="CJ73" s="79">
        <v>307.60674072</v>
      </c>
      <c r="CK73" s="79">
        <v>6.6321453444999996</v>
      </c>
      <c r="CL73" s="79">
        <v>254.07823057600001</v>
      </c>
      <c r="CM73" s="79">
        <v>-18.042747146100002</v>
      </c>
      <c r="CN73" s="79">
        <v>-1810.3495616600001</v>
      </c>
      <c r="CO73" s="79">
        <v>4693.4713315700001</v>
      </c>
      <c r="CP73" s="79">
        <v>-4338.1003472100001</v>
      </c>
      <c r="CQ73" s="79">
        <v>4812.8514784500003</v>
      </c>
      <c r="CR73" s="79">
        <v>2875.6318028699998</v>
      </c>
      <c r="CS73" s="79">
        <v>-2607.6774271899999</v>
      </c>
      <c r="CT73" s="79">
        <v>2.2566364321600001</v>
      </c>
      <c r="CU73" s="79">
        <v>9.7675812040000001E-3</v>
      </c>
      <c r="CV73" s="79">
        <v>32.674099876699998</v>
      </c>
      <c r="CW73" s="79">
        <v>-14.008847462</v>
      </c>
      <c r="CX73" s="79">
        <v>-8.1253717679100005E-3</v>
      </c>
      <c r="CY73" s="79">
        <v>-19.084402223600001</v>
      </c>
      <c r="CZ73" s="79">
        <v>2.5098644290599998</v>
      </c>
      <c r="DA73" s="79">
        <v>109.98425442600001</v>
      </c>
      <c r="DB73" s="79">
        <v>-8.8550356882399992</v>
      </c>
      <c r="DC73" s="79">
        <v>94.885088140799994</v>
      </c>
      <c r="DD73" s="79">
        <v>82.127437630800003</v>
      </c>
      <c r="DE73" s="79">
        <v>3.2940167523000001</v>
      </c>
      <c r="DF73" s="79">
        <v>392.95103766199998</v>
      </c>
      <c r="DG73" s="79">
        <v>-15.9801791748</v>
      </c>
      <c r="DH73" s="79">
        <v>400.664896457</v>
      </c>
      <c r="DI73" s="79">
        <v>-1699.9627935599999</v>
      </c>
      <c r="DJ73" s="79">
        <v>1173.2885313500001</v>
      </c>
      <c r="DK73" s="79">
        <v>3073.3028988400001</v>
      </c>
      <c r="DL73" s="79">
        <v>-1014.48068072</v>
      </c>
      <c r="DM73" s="79">
        <v>2427.42627709</v>
      </c>
      <c r="DN73" s="79">
        <v>-591.290809599</v>
      </c>
    </row>
    <row r="74" spans="1:118" x14ac:dyDescent="0.2">
      <c r="A74" t="s">
        <v>63</v>
      </c>
      <c r="B74" t="s">
        <v>227</v>
      </c>
      <c r="C74" t="s">
        <v>239</v>
      </c>
      <c r="D74" t="s">
        <v>214</v>
      </c>
      <c r="L74" s="79">
        <v>-2.2796199999999999E-7</v>
      </c>
      <c r="M74" s="79">
        <v>-2.6094000000000001E-7</v>
      </c>
      <c r="N74" s="79">
        <v>0.61473597744599995</v>
      </c>
      <c r="O74" s="79">
        <v>0.60526889734400002</v>
      </c>
      <c r="P74" s="79">
        <v>5.5392409327600004E-6</v>
      </c>
      <c r="Q74" s="79">
        <v>-3.4934297835199999E-4</v>
      </c>
      <c r="R74" s="79">
        <v>-41.296999999999997</v>
      </c>
      <c r="AF74" s="28">
        <v>41640</v>
      </c>
      <c r="AH74">
        <v>5</v>
      </c>
      <c r="AI74" s="80">
        <v>-6.0631480932400001E-8</v>
      </c>
      <c r="AJ74" s="80">
        <v>1.0001869998399999</v>
      </c>
      <c r="AK74" s="80">
        <v>-6.2406947504200003E-5</v>
      </c>
      <c r="AL74" s="80">
        <v>7.9673349656999995E-4</v>
      </c>
      <c r="AM74" s="79">
        <v>0.13261320727000001</v>
      </c>
      <c r="AN74" s="79">
        <v>2.6315679209200002E-4</v>
      </c>
      <c r="AO74" s="79">
        <v>-0.73877776291599995</v>
      </c>
      <c r="AP74" s="79">
        <v>2.9507891417999998E-3</v>
      </c>
      <c r="AQ74" s="79">
        <v>-0.46270041344000001</v>
      </c>
      <c r="AR74" s="79">
        <v>8.3147682923000003E-4</v>
      </c>
      <c r="AS74" s="79">
        <v>-1.11830412826E-2</v>
      </c>
      <c r="AT74" s="79">
        <v>-2.6886611217600001</v>
      </c>
      <c r="AU74" s="79">
        <v>-9.1815124895899998E-3</v>
      </c>
      <c r="AV74" s="79">
        <v>-2.4715660001200002</v>
      </c>
      <c r="AW74" s="79">
        <v>-2.2991108806200001E-4</v>
      </c>
      <c r="AX74" s="79">
        <v>6.3370979468300002</v>
      </c>
      <c r="AY74" s="79">
        <v>-2.66664373466E-2</v>
      </c>
      <c r="AZ74" s="79">
        <v>8.567941781</v>
      </c>
      <c r="BA74" s="79">
        <v>-6.3764565799299996E-2</v>
      </c>
      <c r="BB74" s="79">
        <v>2.3833356117600002</v>
      </c>
      <c r="BC74" s="79">
        <v>3.27855797461E-3</v>
      </c>
      <c r="BD74" s="79">
        <v>1.00627799017E-5</v>
      </c>
      <c r="BE74" s="79">
        <v>-6.0741596250199997E-5</v>
      </c>
      <c r="BF74" s="79">
        <v>1.00027805635</v>
      </c>
      <c r="BG74" s="79">
        <v>7.9320201831399997E-2</v>
      </c>
      <c r="BH74" s="79">
        <v>2.3513080948999999E-4</v>
      </c>
      <c r="BI74" s="79">
        <v>0.184849300671</v>
      </c>
      <c r="BJ74" s="79">
        <v>1.0168371023700001E-3</v>
      </c>
      <c r="BK74" s="79">
        <v>-0.456480790443</v>
      </c>
      <c r="BL74" s="79">
        <v>2.7532781609099998E-3</v>
      </c>
      <c r="BM74" s="79">
        <v>-0.20039344693800001</v>
      </c>
      <c r="BN74" s="79">
        <v>-0.65971797560199996</v>
      </c>
      <c r="BO74" s="79">
        <v>-5.8308093326099996E-3</v>
      </c>
      <c r="BP74" s="79">
        <v>-3.63281720714</v>
      </c>
      <c r="BQ74" s="79">
        <v>-3.0878836331799998E-3</v>
      </c>
      <c r="BR74" s="79">
        <v>-2.77838030184</v>
      </c>
      <c r="BS74" s="79">
        <v>-1.03497831768E-2</v>
      </c>
      <c r="BT74" s="79">
        <v>4.0632970662599996</v>
      </c>
      <c r="BU74" s="79">
        <v>-6.4318257863399994E-2</v>
      </c>
      <c r="BV74" s="79">
        <v>4.4862667913900003</v>
      </c>
      <c r="BW74" s="79">
        <v>-6.0746896952699997E-2</v>
      </c>
      <c r="BX74" s="79">
        <v>0.49950901074800003</v>
      </c>
      <c r="BY74" s="79">
        <v>6.0001572167299998E-8</v>
      </c>
      <c r="BZ74" s="79">
        <v>0.99981432899400002</v>
      </c>
      <c r="CA74" s="79">
        <v>6.2376190120500005E-5</v>
      </c>
      <c r="CB74" s="79">
        <v>-8.0926250486799999E-4</v>
      </c>
      <c r="CC74" s="79">
        <v>-0.13258959784999999</v>
      </c>
      <c r="CD74" s="79">
        <v>-2.82665191885E-4</v>
      </c>
      <c r="CE74" s="79">
        <v>0.74884580136500001</v>
      </c>
      <c r="CF74" s="79">
        <v>-2.3268770998099999E-3</v>
      </c>
      <c r="CG74" s="79">
        <v>0.50428942567400004</v>
      </c>
      <c r="CH74" s="79">
        <v>-6.49545062888E-4</v>
      </c>
      <c r="CI74" s="79">
        <v>8.9181983527300002E-3</v>
      </c>
      <c r="CJ74" s="79">
        <v>2.2181755560399998</v>
      </c>
      <c r="CK74" s="79">
        <v>1.00199991278E-2</v>
      </c>
      <c r="CL74" s="79">
        <v>2.1803752332199999</v>
      </c>
      <c r="CM74" s="79">
        <v>7.5403202727000003E-4</v>
      </c>
      <c r="CN74" s="79">
        <v>-5.0621438598699999</v>
      </c>
      <c r="CO74" s="79">
        <v>-6.0725821204899999E-3</v>
      </c>
      <c r="CP74" s="79">
        <v>-9.4895809079800006</v>
      </c>
      <c r="CQ74" s="79">
        <v>3.4347088592400002E-2</v>
      </c>
      <c r="CR74" s="79">
        <v>-4.1420474629199999</v>
      </c>
      <c r="CS74" s="79">
        <v>-6.8150633716600002E-3</v>
      </c>
      <c r="CT74" s="79">
        <v>-1.00524240729E-5</v>
      </c>
      <c r="CU74" s="79">
        <v>6.0707626466599997E-5</v>
      </c>
      <c r="CV74" s="79">
        <v>0.99972574733300001</v>
      </c>
      <c r="CW74" s="79">
        <v>-7.9302474038099993E-2</v>
      </c>
      <c r="CX74" s="79">
        <v>-2.7506028969500002E-4</v>
      </c>
      <c r="CY74" s="79">
        <v>-0.18473859462700001</v>
      </c>
      <c r="CZ74" s="79">
        <v>-7.9594062841700005E-4</v>
      </c>
      <c r="DA74" s="79">
        <v>0.50630479625799996</v>
      </c>
      <c r="DB74" s="79">
        <v>-2.40279364618E-3</v>
      </c>
      <c r="DC74" s="79">
        <v>0.26825118395600001</v>
      </c>
      <c r="DD74" s="79">
        <v>0.52267189217200005</v>
      </c>
      <c r="DE74" s="79">
        <v>6.7685498015399997E-3</v>
      </c>
      <c r="DF74" s="79">
        <v>3.1697278821900001</v>
      </c>
      <c r="DG74" s="79">
        <v>5.7521427629000001E-3</v>
      </c>
      <c r="DH74" s="79">
        <v>2.5882240915399999</v>
      </c>
      <c r="DI74" s="79">
        <v>3.9479606422699997E-3</v>
      </c>
      <c r="DJ74" s="79">
        <v>-4.59752277634</v>
      </c>
      <c r="DK74" s="79">
        <v>3.6335166659099999E-2</v>
      </c>
      <c r="DL74" s="79">
        <v>-8.1142110261999996</v>
      </c>
      <c r="DM74" s="79">
        <v>4.5222122766200003E-2</v>
      </c>
      <c r="DN74" s="79">
        <v>-3.2273220830199998</v>
      </c>
    </row>
    <row r="75" spans="1:118" x14ac:dyDescent="0.2">
      <c r="A75" t="s">
        <v>63</v>
      </c>
      <c r="B75" t="s">
        <v>228</v>
      </c>
      <c r="C75" t="s">
        <v>239</v>
      </c>
      <c r="D75" t="s">
        <v>214</v>
      </c>
      <c r="L75" s="79">
        <v>-2.2796199999999999E-7</v>
      </c>
      <c r="M75" s="79">
        <v>-2.6094000000000001E-7</v>
      </c>
      <c r="N75" s="79">
        <v>0.61473597744599995</v>
      </c>
      <c r="O75" s="79">
        <v>0.60526889734400002</v>
      </c>
      <c r="P75" s="79">
        <v>5.5392409327600004E-6</v>
      </c>
      <c r="Q75" s="79">
        <v>-3.4934297835199999E-4</v>
      </c>
      <c r="R75" s="79">
        <v>-41.296999999999997</v>
      </c>
      <c r="AF75" s="28">
        <v>41640</v>
      </c>
      <c r="AH75">
        <v>5</v>
      </c>
      <c r="AI75" s="80">
        <v>1.3860893715200001E-2</v>
      </c>
      <c r="AJ75" s="80">
        <v>-50.226540598900002</v>
      </c>
      <c r="AK75" s="80">
        <v>1.2810568688899999E-2</v>
      </c>
      <c r="AL75" s="80">
        <v>5.0712836560099998E-2</v>
      </c>
      <c r="AM75" s="79">
        <v>-7.9305281336200002</v>
      </c>
      <c r="AN75" s="79">
        <v>9.8111300139599997E-2</v>
      </c>
      <c r="AO75" s="79">
        <v>-37.615816651899998</v>
      </c>
      <c r="AP75" s="79">
        <v>0.18420250477299999</v>
      </c>
      <c r="AQ75" s="79">
        <v>-72.258782481300003</v>
      </c>
      <c r="AR75" s="79">
        <v>-8.04395291296</v>
      </c>
      <c r="AS75" s="79">
        <v>-119.734885358</v>
      </c>
      <c r="AT75" s="79">
        <v>-140.855967112</v>
      </c>
      <c r="AU75" s="79">
        <v>128.66153735099999</v>
      </c>
      <c r="AV75" s="79">
        <v>-59.1331775775</v>
      </c>
      <c r="AW75" s="79">
        <v>-136.053188428</v>
      </c>
      <c r="AX75" s="79">
        <v>-600.70293915000002</v>
      </c>
      <c r="AY75" s="79">
        <v>-11052.683646699999</v>
      </c>
      <c r="AZ75" s="79">
        <v>6097.7607263600003</v>
      </c>
      <c r="BA75" s="79">
        <v>13916.854430699999</v>
      </c>
      <c r="BB75" s="79">
        <v>15257.877130700001</v>
      </c>
      <c r="BC75" s="79">
        <v>-2469.0969778600002</v>
      </c>
      <c r="BD75" s="79">
        <v>-3.5856673040099998</v>
      </c>
      <c r="BE75" s="79">
        <v>4.7704087158100001E-3</v>
      </c>
      <c r="BF75" s="79">
        <v>-53.151111440800001</v>
      </c>
      <c r="BG75" s="79">
        <v>13.0868159236</v>
      </c>
      <c r="BH75" s="79">
        <v>8.0057774163299997E-2</v>
      </c>
      <c r="BI75" s="79">
        <v>6.0464987213199999</v>
      </c>
      <c r="BJ75" s="79">
        <v>-18.5686843288</v>
      </c>
      <c r="BK75" s="79">
        <v>-47.433869828100001</v>
      </c>
      <c r="BL75" s="79">
        <v>-29.1448075389</v>
      </c>
      <c r="BM75" s="79">
        <v>-39.211874842999997</v>
      </c>
      <c r="BN75" s="79">
        <v>-288.69586312899997</v>
      </c>
      <c r="BO75" s="79">
        <v>-91.222842175500006</v>
      </c>
      <c r="BP75" s="79">
        <v>-170.66319535299999</v>
      </c>
      <c r="BQ75" s="79">
        <v>82.1729870323</v>
      </c>
      <c r="BR75" s="79">
        <v>-165.17992599799999</v>
      </c>
      <c r="BS75" s="79">
        <v>5015.02065193</v>
      </c>
      <c r="BT75" s="79">
        <v>7181.4086465399996</v>
      </c>
      <c r="BU75" s="79">
        <v>17306.157416800001</v>
      </c>
      <c r="BV75" s="79">
        <v>2250.16228275</v>
      </c>
      <c r="BW75" s="79">
        <v>12895.0592497</v>
      </c>
      <c r="BX75" s="79">
        <v>1287.2000168300001</v>
      </c>
      <c r="BY75" s="79">
        <v>-1.36324436919E-2</v>
      </c>
      <c r="BZ75" s="79">
        <v>49.739281884599997</v>
      </c>
      <c r="CA75" s="79">
        <v>-6.5869829966500003E-3</v>
      </c>
      <c r="CB75" s="79">
        <v>-0.21176947792</v>
      </c>
      <c r="CC75" s="79">
        <v>-8.8494522279400005</v>
      </c>
      <c r="CD75" s="79">
        <v>-0.16148670734500001</v>
      </c>
      <c r="CE75" s="79">
        <v>198.13910516300001</v>
      </c>
      <c r="CF75" s="79">
        <v>-0.69653735545899997</v>
      </c>
      <c r="CG75" s="79">
        <v>199.961141271</v>
      </c>
      <c r="CH75" s="79">
        <v>8.0540412480699999</v>
      </c>
      <c r="CI75" s="79">
        <v>118.255084778</v>
      </c>
      <c r="CJ75" s="79">
        <v>606.75884818999998</v>
      </c>
      <c r="CK75" s="79">
        <v>-118.108367784</v>
      </c>
      <c r="CL75" s="79">
        <v>546.93044955200003</v>
      </c>
      <c r="CM75" s="79">
        <v>134.152090977</v>
      </c>
      <c r="CN75" s="79">
        <v>-908.76005023100004</v>
      </c>
      <c r="CO75" s="79">
        <v>11161.335450299999</v>
      </c>
      <c r="CP75" s="79">
        <v>-9156.0670491799992</v>
      </c>
      <c r="CQ75" s="79">
        <v>-13987.388157900001</v>
      </c>
      <c r="CR75" s="79">
        <v>-16812.701373799999</v>
      </c>
      <c r="CS75" s="79">
        <v>2330.4772508199999</v>
      </c>
      <c r="CT75" s="79">
        <v>3.58468933829</v>
      </c>
      <c r="CU75" s="79">
        <v>2.4868213067300001E-3</v>
      </c>
      <c r="CV75" s="79">
        <v>51.8047739565</v>
      </c>
      <c r="CW75" s="79">
        <v>-23.465845709</v>
      </c>
      <c r="CX75" s="79">
        <v>-0.196922935317</v>
      </c>
      <c r="CY75" s="79">
        <v>-32.630843696100001</v>
      </c>
      <c r="CZ75" s="79">
        <v>18.9243982803</v>
      </c>
      <c r="DA75" s="79">
        <v>185.46798796499999</v>
      </c>
      <c r="DB75" s="79">
        <v>29.038029226100001</v>
      </c>
      <c r="DC75" s="79">
        <v>141.64075442800001</v>
      </c>
      <c r="DD75" s="79">
        <v>372.60096575400001</v>
      </c>
      <c r="DE75" s="79">
        <v>113.538297129</v>
      </c>
      <c r="DF75" s="79">
        <v>826.47487185099999</v>
      </c>
      <c r="DG75" s="79">
        <v>-50.332146678599997</v>
      </c>
      <c r="DH75" s="79">
        <v>749.98232042400002</v>
      </c>
      <c r="DI75" s="79">
        <v>-5222.9229188199997</v>
      </c>
      <c r="DJ75" s="79">
        <v>-8899.6710780600006</v>
      </c>
      <c r="DK75" s="79">
        <v>-17618.907246800001</v>
      </c>
      <c r="DL75" s="79">
        <v>-5235.8745460199998</v>
      </c>
      <c r="DM75" s="79">
        <v>-12923.690230300001</v>
      </c>
      <c r="DN75" s="79">
        <v>-2745.0807305399999</v>
      </c>
    </row>
    <row r="76" spans="1:118" x14ac:dyDescent="0.2">
      <c r="A76" t="s">
        <v>63</v>
      </c>
      <c r="B76" t="s">
        <v>229</v>
      </c>
      <c r="C76" t="s">
        <v>239</v>
      </c>
      <c r="D76" t="s">
        <v>214</v>
      </c>
      <c r="L76" s="79">
        <v>-2.2796199999999999E-7</v>
      </c>
      <c r="M76" s="79">
        <v>-2.6094000000000001E-7</v>
      </c>
      <c r="N76" s="79">
        <v>0.61473597744599995</v>
      </c>
      <c r="O76" s="79">
        <v>0.60526889734400002</v>
      </c>
      <c r="P76" s="79">
        <v>5.5392409327600004E-6</v>
      </c>
      <c r="Q76" s="79">
        <v>-3.4934297835199999E-4</v>
      </c>
      <c r="R76" s="79">
        <v>-41.296999999999997</v>
      </c>
      <c r="AF76" s="28">
        <v>41640</v>
      </c>
      <c r="AH76">
        <v>5</v>
      </c>
      <c r="AI76" s="80">
        <v>-6.0631480932400001E-8</v>
      </c>
      <c r="AJ76" s="80">
        <v>1.0001869998399999</v>
      </c>
      <c r="AK76" s="80">
        <v>-6.2406947504200003E-5</v>
      </c>
      <c r="AL76" s="80">
        <v>7.9673349656999995E-4</v>
      </c>
      <c r="AM76" s="79">
        <v>0.13261320727000001</v>
      </c>
      <c r="AN76" s="79">
        <v>2.6315679209200002E-4</v>
      </c>
      <c r="AO76" s="79">
        <v>-0.73877776291599995</v>
      </c>
      <c r="AP76" s="79">
        <v>2.9507891417999998E-3</v>
      </c>
      <c r="AQ76" s="79">
        <v>-0.46270041344000001</v>
      </c>
      <c r="AR76" s="79">
        <v>8.3147682923000003E-4</v>
      </c>
      <c r="AS76" s="79">
        <v>-1.11830412826E-2</v>
      </c>
      <c r="AT76" s="79">
        <v>-2.6886611217600001</v>
      </c>
      <c r="AU76" s="79">
        <v>-9.1815124895899998E-3</v>
      </c>
      <c r="AV76" s="79">
        <v>-2.4715660001200002</v>
      </c>
      <c r="AW76" s="79">
        <v>-2.2991108806200001E-4</v>
      </c>
      <c r="AX76" s="79">
        <v>6.3370979468300002</v>
      </c>
      <c r="AY76" s="79">
        <v>-2.66664373466E-2</v>
      </c>
      <c r="AZ76" s="79">
        <v>8.567941781</v>
      </c>
      <c r="BA76" s="79">
        <v>-6.3764565799299996E-2</v>
      </c>
      <c r="BB76" s="79">
        <v>2.3833356117600002</v>
      </c>
      <c r="BC76" s="79">
        <v>3.27855797461E-3</v>
      </c>
      <c r="BD76" s="79">
        <v>1.00627799017E-5</v>
      </c>
      <c r="BE76" s="79">
        <v>-6.0741596250199997E-5</v>
      </c>
      <c r="BF76" s="79">
        <v>1.00027805635</v>
      </c>
      <c r="BG76" s="79">
        <v>7.9320201831399997E-2</v>
      </c>
      <c r="BH76" s="79">
        <v>2.3513080948999999E-4</v>
      </c>
      <c r="BI76" s="79">
        <v>0.184849300671</v>
      </c>
      <c r="BJ76" s="79">
        <v>1.0168371023700001E-3</v>
      </c>
      <c r="BK76" s="79">
        <v>-0.456480790443</v>
      </c>
      <c r="BL76" s="79">
        <v>2.7532781609099998E-3</v>
      </c>
      <c r="BM76" s="79">
        <v>-0.20039344693800001</v>
      </c>
      <c r="BN76" s="79">
        <v>-0.65971797560199996</v>
      </c>
      <c r="BO76" s="79">
        <v>-5.8308093326099996E-3</v>
      </c>
      <c r="BP76" s="79">
        <v>-3.63281720714</v>
      </c>
      <c r="BQ76" s="79">
        <v>-3.0878836331799998E-3</v>
      </c>
      <c r="BR76" s="79">
        <v>-2.77838030184</v>
      </c>
      <c r="BS76" s="79">
        <v>-1.03497831768E-2</v>
      </c>
      <c r="BT76" s="79">
        <v>4.0632970662599996</v>
      </c>
      <c r="BU76" s="79">
        <v>-6.4318257863399994E-2</v>
      </c>
      <c r="BV76" s="79">
        <v>4.4862667913900003</v>
      </c>
      <c r="BW76" s="79">
        <v>-6.0746896952699997E-2</v>
      </c>
      <c r="BX76" s="79">
        <v>0.49950901074800003</v>
      </c>
      <c r="BY76" s="79">
        <v>6.0001572167299998E-8</v>
      </c>
      <c r="BZ76" s="79">
        <v>0.99981432899400002</v>
      </c>
      <c r="CA76" s="79">
        <v>6.2376190120500005E-5</v>
      </c>
      <c r="CB76" s="79">
        <v>-8.0926250486799999E-4</v>
      </c>
      <c r="CC76" s="79">
        <v>-0.13258959784999999</v>
      </c>
      <c r="CD76" s="79">
        <v>-2.82665191885E-4</v>
      </c>
      <c r="CE76" s="79">
        <v>0.74884580136500001</v>
      </c>
      <c r="CF76" s="79">
        <v>-2.3268770998099999E-3</v>
      </c>
      <c r="CG76" s="79">
        <v>0.50428942567400004</v>
      </c>
      <c r="CH76" s="79">
        <v>-6.49545062888E-4</v>
      </c>
      <c r="CI76" s="79">
        <v>8.9181983527300002E-3</v>
      </c>
      <c r="CJ76" s="79">
        <v>2.2181755560399998</v>
      </c>
      <c r="CK76" s="79">
        <v>1.00199991278E-2</v>
      </c>
      <c r="CL76" s="79">
        <v>2.1803752332199999</v>
      </c>
      <c r="CM76" s="79">
        <v>7.5403202727000003E-4</v>
      </c>
      <c r="CN76" s="79">
        <v>-5.0621438598699999</v>
      </c>
      <c r="CO76" s="79">
        <v>-6.0725821204899999E-3</v>
      </c>
      <c r="CP76" s="79">
        <v>-9.4895809079800006</v>
      </c>
      <c r="CQ76" s="79">
        <v>3.4347088592400002E-2</v>
      </c>
      <c r="CR76" s="79">
        <v>-4.1420474629199999</v>
      </c>
      <c r="CS76" s="79">
        <v>-6.8150633716600002E-3</v>
      </c>
      <c r="CT76" s="79">
        <v>-1.00524240729E-5</v>
      </c>
      <c r="CU76" s="79">
        <v>6.0707626466599997E-5</v>
      </c>
      <c r="CV76" s="79">
        <v>0.99972574733300001</v>
      </c>
      <c r="CW76" s="79">
        <v>-7.9302474038099993E-2</v>
      </c>
      <c r="CX76" s="79">
        <v>-2.7506028969500002E-4</v>
      </c>
      <c r="CY76" s="79">
        <v>-0.18473859462700001</v>
      </c>
      <c r="CZ76" s="79">
        <v>-7.9594062841700005E-4</v>
      </c>
      <c r="DA76" s="79">
        <v>0.50630479625799996</v>
      </c>
      <c r="DB76" s="79">
        <v>-2.40279364618E-3</v>
      </c>
      <c r="DC76" s="79">
        <v>0.26825118395600001</v>
      </c>
      <c r="DD76" s="79">
        <v>0.52267189217200005</v>
      </c>
      <c r="DE76" s="79">
        <v>6.7685498015399997E-3</v>
      </c>
      <c r="DF76" s="79">
        <v>3.1697278821900001</v>
      </c>
      <c r="DG76" s="79">
        <v>5.7521427629000001E-3</v>
      </c>
      <c r="DH76" s="79">
        <v>2.5882240915399999</v>
      </c>
      <c r="DI76" s="79">
        <v>3.9479606422699997E-3</v>
      </c>
      <c r="DJ76" s="79">
        <v>-4.59752277634</v>
      </c>
      <c r="DK76" s="79">
        <v>3.6335166659099999E-2</v>
      </c>
      <c r="DL76" s="79">
        <v>-8.1142110261999996</v>
      </c>
      <c r="DM76" s="79">
        <v>4.5222122766200003E-2</v>
      </c>
      <c r="DN76" s="79">
        <v>-3.2273220830199998</v>
      </c>
    </row>
    <row r="77" spans="1:118" x14ac:dyDescent="0.2">
      <c r="A77" t="s">
        <v>63</v>
      </c>
      <c r="B77" t="s">
        <v>230</v>
      </c>
      <c r="C77" t="s">
        <v>239</v>
      </c>
      <c r="D77" t="s">
        <v>214</v>
      </c>
      <c r="L77" s="79">
        <v>-2.2796199999999999E-7</v>
      </c>
      <c r="M77" s="79">
        <v>-2.6094000000000001E-7</v>
      </c>
      <c r="N77" s="79">
        <v>0.61473597744599995</v>
      </c>
      <c r="O77" s="79">
        <v>0.60526889734400002</v>
      </c>
      <c r="P77" s="79">
        <v>5.5392409327600004E-6</v>
      </c>
      <c r="Q77" s="79">
        <v>-3.4934297835199999E-4</v>
      </c>
      <c r="R77" s="79">
        <v>-41.296999999999997</v>
      </c>
      <c r="AF77" s="28">
        <v>41640</v>
      </c>
      <c r="AH77">
        <v>5</v>
      </c>
      <c r="AI77" s="80">
        <v>1.3860893715200001E-2</v>
      </c>
      <c r="AJ77" s="80">
        <v>-50.226540598900002</v>
      </c>
      <c r="AK77" s="80">
        <v>1.2810568688899999E-2</v>
      </c>
      <c r="AL77" s="80">
        <v>5.0712836560099998E-2</v>
      </c>
      <c r="AM77" s="79">
        <v>-7.9305281336200002</v>
      </c>
      <c r="AN77" s="79">
        <v>9.8111300139599997E-2</v>
      </c>
      <c r="AO77" s="79">
        <v>-37.615816651899998</v>
      </c>
      <c r="AP77" s="79">
        <v>0.18420250477299999</v>
      </c>
      <c r="AQ77" s="79">
        <v>-72.258782481300003</v>
      </c>
      <c r="AR77" s="79">
        <v>-8.04395291296</v>
      </c>
      <c r="AS77" s="79">
        <v>-119.734885358</v>
      </c>
      <c r="AT77" s="79">
        <v>-140.855967112</v>
      </c>
      <c r="AU77" s="79">
        <v>128.66153735099999</v>
      </c>
      <c r="AV77" s="79">
        <v>-59.1331775775</v>
      </c>
      <c r="AW77" s="79">
        <v>-136.053188428</v>
      </c>
      <c r="AX77" s="79">
        <v>-600.70293915000002</v>
      </c>
      <c r="AY77" s="79">
        <v>-11052.683646699999</v>
      </c>
      <c r="AZ77" s="79">
        <v>6097.7607263600003</v>
      </c>
      <c r="BA77" s="79">
        <v>13916.854430699999</v>
      </c>
      <c r="BB77" s="79">
        <v>15257.877130700001</v>
      </c>
      <c r="BC77" s="79">
        <v>-2469.0969778600002</v>
      </c>
      <c r="BD77" s="79">
        <v>-3.5856673040099998</v>
      </c>
      <c r="BE77" s="79">
        <v>4.7704087158100001E-3</v>
      </c>
      <c r="BF77" s="79">
        <v>-53.151111440800001</v>
      </c>
      <c r="BG77" s="79">
        <v>13.0868159236</v>
      </c>
      <c r="BH77" s="79">
        <v>8.0057774163299997E-2</v>
      </c>
      <c r="BI77" s="79">
        <v>6.0464987213199999</v>
      </c>
      <c r="BJ77" s="79">
        <v>-18.5686843288</v>
      </c>
      <c r="BK77" s="79">
        <v>-47.433869828100001</v>
      </c>
      <c r="BL77" s="79">
        <v>-29.1448075389</v>
      </c>
      <c r="BM77" s="79">
        <v>-39.211874842999997</v>
      </c>
      <c r="BN77" s="79">
        <v>-288.69586312899997</v>
      </c>
      <c r="BO77" s="79">
        <v>-91.222842175500006</v>
      </c>
      <c r="BP77" s="79">
        <v>-170.66319535299999</v>
      </c>
      <c r="BQ77" s="79">
        <v>82.1729870323</v>
      </c>
      <c r="BR77" s="79">
        <v>-165.17992599799999</v>
      </c>
      <c r="BS77" s="79">
        <v>5015.02065193</v>
      </c>
      <c r="BT77" s="79">
        <v>7181.4086465399996</v>
      </c>
      <c r="BU77" s="79">
        <v>17306.157416800001</v>
      </c>
      <c r="BV77" s="79">
        <v>2250.16228275</v>
      </c>
      <c r="BW77" s="79">
        <v>12895.0592497</v>
      </c>
      <c r="BX77" s="79">
        <v>1287.2000168300001</v>
      </c>
      <c r="BY77" s="79">
        <v>-1.36324436919E-2</v>
      </c>
      <c r="BZ77" s="79">
        <v>49.739281884599997</v>
      </c>
      <c r="CA77" s="79">
        <v>-6.5869829966500003E-3</v>
      </c>
      <c r="CB77" s="79">
        <v>-0.21176947792</v>
      </c>
      <c r="CC77" s="79">
        <v>-8.8494522279400005</v>
      </c>
      <c r="CD77" s="79">
        <v>-0.16148670734500001</v>
      </c>
      <c r="CE77" s="79">
        <v>198.13910516300001</v>
      </c>
      <c r="CF77" s="79">
        <v>-0.69653735545899997</v>
      </c>
      <c r="CG77" s="79">
        <v>199.961141271</v>
      </c>
      <c r="CH77" s="79">
        <v>8.0540412480699999</v>
      </c>
      <c r="CI77" s="79">
        <v>118.255084778</v>
      </c>
      <c r="CJ77" s="79">
        <v>606.75884818999998</v>
      </c>
      <c r="CK77" s="79">
        <v>-118.108367784</v>
      </c>
      <c r="CL77" s="79">
        <v>546.93044955200003</v>
      </c>
      <c r="CM77" s="79">
        <v>134.152090977</v>
      </c>
      <c r="CN77" s="79">
        <v>-908.76005023100004</v>
      </c>
      <c r="CO77" s="79">
        <v>11161.335450299999</v>
      </c>
      <c r="CP77" s="79">
        <v>-9156.0670491799992</v>
      </c>
      <c r="CQ77" s="79">
        <v>-13987.388157900001</v>
      </c>
      <c r="CR77" s="79">
        <v>-16812.701373799999</v>
      </c>
      <c r="CS77" s="79">
        <v>2330.4772508199999</v>
      </c>
      <c r="CT77" s="79">
        <v>3.58468933829</v>
      </c>
      <c r="CU77" s="79">
        <v>2.4868213067300001E-3</v>
      </c>
      <c r="CV77" s="79">
        <v>51.8047739565</v>
      </c>
      <c r="CW77" s="79">
        <v>-23.465845709</v>
      </c>
      <c r="CX77" s="79">
        <v>-0.196922935317</v>
      </c>
      <c r="CY77" s="79">
        <v>-32.630843696100001</v>
      </c>
      <c r="CZ77" s="79">
        <v>18.9243982803</v>
      </c>
      <c r="DA77" s="79">
        <v>185.46798796499999</v>
      </c>
      <c r="DB77" s="79">
        <v>29.038029226100001</v>
      </c>
      <c r="DC77" s="79">
        <v>141.64075442800001</v>
      </c>
      <c r="DD77" s="79">
        <v>372.60096575400001</v>
      </c>
      <c r="DE77" s="79">
        <v>113.538297129</v>
      </c>
      <c r="DF77" s="79">
        <v>826.47487185099999</v>
      </c>
      <c r="DG77" s="79">
        <v>-50.332146678599997</v>
      </c>
      <c r="DH77" s="79">
        <v>749.98232042400002</v>
      </c>
      <c r="DI77" s="79">
        <v>-5222.9229188199997</v>
      </c>
      <c r="DJ77" s="79">
        <v>-8899.6710780600006</v>
      </c>
      <c r="DK77" s="79">
        <v>-17618.907246800001</v>
      </c>
      <c r="DL77" s="79">
        <v>-5235.8745460199998</v>
      </c>
      <c r="DM77" s="79">
        <v>-12923.690230300001</v>
      </c>
      <c r="DN77" s="79">
        <v>-2745.0807305399999</v>
      </c>
    </row>
    <row r="78" spans="1:118" x14ac:dyDescent="0.2">
      <c r="A78" t="s">
        <v>84</v>
      </c>
    </row>
    <row r="80" spans="1:118" x14ac:dyDescent="0.2">
      <c r="A80" t="s">
        <v>302</v>
      </c>
      <c r="B80" s="98">
        <v>42957</v>
      </c>
    </row>
  </sheetData>
  <mergeCells count="5">
    <mergeCell ref="A1:E1"/>
    <mergeCell ref="F1:I1"/>
    <mergeCell ref="J1:O1"/>
    <mergeCell ref="R1:W1"/>
    <mergeCell ref="AH1:AM1"/>
  </mergeCell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AT104"/>
  <sheetViews>
    <sheetView tabSelected="1" workbookViewId="0">
      <selection activeCell="Z8" sqref="Z8"/>
    </sheetView>
  </sheetViews>
  <sheetFormatPr baseColWidth="10" defaultColWidth="11.1640625" defaultRowHeight="16" x14ac:dyDescent="0.2"/>
  <cols>
    <col min="1" max="1" width="21.6640625" style="10" bestFit="1" customWidth="1"/>
    <col min="2" max="2" width="12.1640625" bestFit="1" customWidth="1"/>
    <col min="5" max="8" width="13" bestFit="1" customWidth="1"/>
    <col min="9" max="9" width="13.5" bestFit="1" customWidth="1"/>
    <col min="10" max="10" width="14.5" customWidth="1"/>
    <col min="11" max="11" width="12.1640625" customWidth="1"/>
    <col min="12" max="12" width="11.6640625" customWidth="1"/>
    <col min="13" max="13" width="12.83203125" customWidth="1"/>
    <col min="14" max="14" width="9.5" customWidth="1"/>
    <col min="15" max="15" width="15.5" bestFit="1" customWidth="1"/>
    <col min="16" max="17" width="15" bestFit="1" customWidth="1"/>
    <col min="18" max="25" width="13" bestFit="1" customWidth="1"/>
    <col min="26" max="26" width="12.5" style="127" bestFit="1" customWidth="1"/>
    <col min="27" max="28" width="13" bestFit="1" customWidth="1"/>
    <col min="29" max="29" width="12.5" bestFit="1" customWidth="1"/>
    <col min="30" max="30" width="13" bestFit="1" customWidth="1"/>
    <col min="31" max="31" width="12.5" bestFit="1" customWidth="1"/>
    <col min="32" max="41" width="13" bestFit="1" customWidth="1"/>
    <col min="42" max="42" width="13.5" bestFit="1" customWidth="1"/>
    <col min="43" max="46" width="13" bestFit="1" customWidth="1"/>
  </cols>
  <sheetData>
    <row r="1" spans="1:46" ht="21" thickBot="1" x14ac:dyDescent="0.3">
      <c r="B1" s="1" t="s">
        <v>25</v>
      </c>
      <c r="C1" s="19" t="s">
        <v>166</v>
      </c>
      <c r="D1" s="19" t="s">
        <v>167</v>
      </c>
      <c r="E1" s="19" t="s">
        <v>164</v>
      </c>
      <c r="F1" s="4" t="s">
        <v>26</v>
      </c>
      <c r="G1" s="4" t="s">
        <v>27</v>
      </c>
      <c r="H1" s="5" t="s">
        <v>28</v>
      </c>
      <c r="I1" s="5" t="s">
        <v>29</v>
      </c>
      <c r="J1" s="5" t="s">
        <v>30</v>
      </c>
      <c r="K1" s="5" t="s">
        <v>101</v>
      </c>
      <c r="L1" s="5" t="s">
        <v>102</v>
      </c>
      <c r="M1" s="5" t="s">
        <v>103</v>
      </c>
      <c r="N1" s="5" t="s">
        <v>104</v>
      </c>
      <c r="O1" s="5" t="s">
        <v>105</v>
      </c>
      <c r="P1" s="5" t="s">
        <v>106</v>
      </c>
      <c r="Q1" s="5" t="s">
        <v>107</v>
      </c>
      <c r="R1" s="5" t="s">
        <v>108</v>
      </c>
      <c r="S1" s="5" t="s">
        <v>109</v>
      </c>
      <c r="T1" s="5" t="s">
        <v>110</v>
      </c>
      <c r="U1" s="5" t="s">
        <v>111</v>
      </c>
      <c r="V1" s="5" t="s">
        <v>112</v>
      </c>
      <c r="W1" s="5" t="s">
        <v>113</v>
      </c>
      <c r="X1" s="5" t="s">
        <v>114</v>
      </c>
      <c r="Y1" s="5" t="s">
        <v>115</v>
      </c>
      <c r="Z1" s="126" t="s">
        <v>165</v>
      </c>
      <c r="AA1" s="4" t="s">
        <v>31</v>
      </c>
      <c r="AB1" s="4" t="s">
        <v>32</v>
      </c>
      <c r="AC1" s="6" t="s">
        <v>33</v>
      </c>
      <c r="AD1" s="6" t="s">
        <v>34</v>
      </c>
      <c r="AE1" s="6" t="s">
        <v>35</v>
      </c>
      <c r="AF1" s="6" t="s">
        <v>116</v>
      </c>
      <c r="AG1" s="6" t="s">
        <v>117</v>
      </c>
      <c r="AH1" s="6" t="s">
        <v>118</v>
      </c>
      <c r="AI1" s="6" t="s">
        <v>119</v>
      </c>
      <c r="AJ1" s="6" t="s">
        <v>120</v>
      </c>
      <c r="AK1" s="6" t="s">
        <v>121</v>
      </c>
      <c r="AL1" s="6" t="s">
        <v>122</v>
      </c>
      <c r="AM1" s="6" t="s">
        <v>123</v>
      </c>
      <c r="AN1" s="6" t="s">
        <v>124</v>
      </c>
      <c r="AO1" s="6" t="s">
        <v>125</v>
      </c>
      <c r="AP1" s="6" t="s">
        <v>126</v>
      </c>
      <c r="AQ1" s="6" t="s">
        <v>127</v>
      </c>
      <c r="AR1" s="6" t="s">
        <v>128</v>
      </c>
      <c r="AS1" s="6" t="s">
        <v>129</v>
      </c>
      <c r="AT1" s="6" t="s">
        <v>130</v>
      </c>
    </row>
    <row r="2" spans="1:46" s="2" customFormat="1" ht="17" thickTop="1" x14ac:dyDescent="0.2">
      <c r="A2" s="10" t="s">
        <v>162</v>
      </c>
      <c r="B2" s="2">
        <v>5</v>
      </c>
      <c r="C2" s="2">
        <v>0</v>
      </c>
      <c r="D2" s="2">
        <v>0</v>
      </c>
      <c r="E2">
        <v>-0.13205546486200001</v>
      </c>
      <c r="F2" s="95">
        <v>6.36794905482E-5</v>
      </c>
      <c r="G2" s="95">
        <v>-9.9184057242299997E-7</v>
      </c>
      <c r="H2" s="95">
        <v>-4.89170782682E-10</v>
      </c>
      <c r="I2" s="95">
        <v>7.3131314593999996E-10</v>
      </c>
      <c r="J2" s="95">
        <v>-2.6344008149800002E-10</v>
      </c>
      <c r="K2" s="95">
        <v>3.3491780348100001E-14</v>
      </c>
      <c r="L2" s="95">
        <v>1.4037073098700001E-14</v>
      </c>
      <c r="M2" s="95">
        <v>8.8819585168300003E-14</v>
      </c>
      <c r="N2" s="95">
        <v>4.1472138767200002E-14</v>
      </c>
      <c r="O2" s="95">
        <v>1.5257666520800001E-17</v>
      </c>
      <c r="P2" s="95">
        <v>-1.71530615623E-18</v>
      </c>
      <c r="Q2" s="95">
        <v>2.2092582429799998E-18</v>
      </c>
      <c r="R2" s="95">
        <v>5.7644778380399996E-19</v>
      </c>
      <c r="S2" s="95">
        <v>-1.2524619025300001E-17</v>
      </c>
      <c r="T2" s="95">
        <v>-1.42314919585E-21</v>
      </c>
      <c r="U2" s="95">
        <v>2.8922346385499998E-24</v>
      </c>
      <c r="V2" s="95">
        <v>-2.00596589997E-22</v>
      </c>
      <c r="W2" s="95">
        <v>-5.0974818767300004E-22</v>
      </c>
      <c r="X2" s="95">
        <v>1.86011972425E-22</v>
      </c>
      <c r="Y2" s="95">
        <v>7.7132625107599997E-22</v>
      </c>
      <c r="Z2" s="127">
        <v>0.22907311347600001</v>
      </c>
      <c r="AA2" s="95">
        <v>-1.5003367745799999E-6</v>
      </c>
      <c r="AB2" s="95">
        <v>6.4718351988100003E-5</v>
      </c>
      <c r="AC2" s="95">
        <v>2.5016878981499998E-10</v>
      </c>
      <c r="AD2" s="95">
        <v>-3.5091391452600002E-10</v>
      </c>
      <c r="AE2" s="95">
        <v>9.8153780597099997E-10</v>
      </c>
      <c r="AF2" s="95">
        <v>-8.0425046963500005E-15</v>
      </c>
      <c r="AG2" s="95">
        <v>5.7742099767899996E-14</v>
      </c>
      <c r="AH2" s="95">
        <v>1.4391849346800001E-14</v>
      </c>
      <c r="AI2" s="95">
        <v>1.6005185841899999E-13</v>
      </c>
      <c r="AJ2" s="95">
        <v>2.5869528698999999E-18</v>
      </c>
      <c r="AK2" s="95">
        <v>1.1578125623099999E-17</v>
      </c>
      <c r="AL2" s="95">
        <v>-4.8122250835799999E-18</v>
      </c>
      <c r="AM2" s="95">
        <v>8.4886912580000004E-18</v>
      </c>
      <c r="AN2" s="95">
        <v>-4.4219221790699999E-17</v>
      </c>
      <c r="AO2" s="95">
        <v>-2.8352454995700001E-22</v>
      </c>
      <c r="AP2" s="95">
        <v>-1.4111760654100001E-21</v>
      </c>
      <c r="AQ2" s="95">
        <v>3.77306479219E-23</v>
      </c>
      <c r="AR2" s="95">
        <v>-9.5460421541399995E-22</v>
      </c>
      <c r="AS2" s="95">
        <v>-1.1432672115400001E-21</v>
      </c>
      <c r="AT2" s="95">
        <v>6.1158069806300002E-21</v>
      </c>
    </row>
    <row r="3" spans="1:46" s="2" customFormat="1" x14ac:dyDescent="0.2">
      <c r="A3" s="10" t="s">
        <v>163</v>
      </c>
      <c r="B3" s="2">
        <v>5</v>
      </c>
      <c r="C3" s="2">
        <v>0</v>
      </c>
      <c r="D3" s="2">
        <v>0</v>
      </c>
      <c r="E3">
        <v>0.14016536099900001</v>
      </c>
      <c r="F3" s="95">
        <v>-6.5624782414299996E-5</v>
      </c>
      <c r="G3" s="95">
        <v>-2.89971258522E-6</v>
      </c>
      <c r="H3" s="95">
        <v>4.77023978687E-10</v>
      </c>
      <c r="I3" s="95">
        <v>1.1142415592199999E-9</v>
      </c>
      <c r="J3" s="95">
        <v>1.2216198033300001E-10</v>
      </c>
      <c r="K3" s="95">
        <v>-3.19660745591E-14</v>
      </c>
      <c r="L3" s="95">
        <v>1.5315656489400001E-14</v>
      </c>
      <c r="M3" s="95">
        <v>-7.8370195638800005E-14</v>
      </c>
      <c r="N3" s="95">
        <v>2.9059808932399998E-14</v>
      </c>
      <c r="O3" s="95">
        <v>-1.49300035565E-17</v>
      </c>
      <c r="P3" s="95">
        <v>-2.4874580798799999E-18</v>
      </c>
      <c r="Q3" s="95">
        <v>-3.4776151106400002E-18</v>
      </c>
      <c r="R3" s="95">
        <v>-2.2250814782900001E-18</v>
      </c>
      <c r="S3" s="95">
        <v>-3.8332025669900004E-18</v>
      </c>
      <c r="T3" s="95">
        <v>1.42314887815E-21</v>
      </c>
      <c r="U3" s="95">
        <v>-2.9926833411100002E-24</v>
      </c>
      <c r="V3" s="95">
        <v>2.0061973193000001E-22</v>
      </c>
      <c r="W3" s="95">
        <v>5.0972826795099996E-22</v>
      </c>
      <c r="X3" s="95">
        <v>-1.8608487238E-22</v>
      </c>
      <c r="Y3" s="95">
        <v>-7.7132330429800004E-22</v>
      </c>
      <c r="Z3" s="127">
        <v>0.36452542023099999</v>
      </c>
      <c r="AA3" s="95">
        <v>-1.0838530435099999E-6</v>
      </c>
      <c r="AB3" s="95">
        <v>-6.9728864418999996E-5</v>
      </c>
      <c r="AC3" s="95">
        <v>2.9219247190200002E-10</v>
      </c>
      <c r="AD3" s="95">
        <v>1.98799754872E-10</v>
      </c>
      <c r="AE3" s="95">
        <v>1.3484481645099999E-9</v>
      </c>
      <c r="AF3" s="95">
        <v>4.03767428109E-14</v>
      </c>
      <c r="AG3" s="95">
        <v>-2.2905022745799999E-14</v>
      </c>
      <c r="AH3" s="95">
        <v>5.0824066855199997E-14</v>
      </c>
      <c r="AI3" s="95">
        <v>-3.34680680614E-14</v>
      </c>
      <c r="AJ3" s="95">
        <v>-6.3199430177100001E-18</v>
      </c>
      <c r="AK3" s="95">
        <v>-1.22188131949E-17</v>
      </c>
      <c r="AL3" s="95">
        <v>-1.01996280479E-17</v>
      </c>
      <c r="AM3" s="95">
        <v>-8.9814028512899995E-18</v>
      </c>
      <c r="AN3" s="95">
        <v>1.35851275039E-17</v>
      </c>
      <c r="AO3" s="95">
        <v>2.8354566386199998E-22</v>
      </c>
      <c r="AP3" s="95">
        <v>1.41115330397E-21</v>
      </c>
      <c r="AQ3" s="95">
        <v>-3.7772581494399997E-23</v>
      </c>
      <c r="AR3" s="95">
        <v>9.5467436388700002E-22</v>
      </c>
      <c r="AS3" s="95">
        <v>1.14278133866E-21</v>
      </c>
      <c r="AT3" s="95">
        <v>-6.1158238038100001E-21</v>
      </c>
    </row>
    <row r="4" spans="1:46" s="99" customFormat="1" x14ac:dyDescent="0.2">
      <c r="A4" s="124" t="s">
        <v>161</v>
      </c>
      <c r="B4" s="125">
        <v>5</v>
      </c>
      <c r="C4" s="125">
        <v>0</v>
      </c>
      <c r="D4" s="125">
        <v>0</v>
      </c>
      <c r="E4" s="99">
        <v>2.2452089491499998E-2</v>
      </c>
      <c r="F4" s="99">
        <v>-0.34615826283200002</v>
      </c>
      <c r="G4" s="99">
        <v>-0.22196067389499999</v>
      </c>
      <c r="H4" s="99">
        <v>-3.65346380039E-2</v>
      </c>
      <c r="I4" s="99">
        <v>-6.62554663367E-2</v>
      </c>
      <c r="J4" s="99">
        <v>0.50564650569900005</v>
      </c>
      <c r="K4" s="99">
        <v>-0.262212349259</v>
      </c>
      <c r="L4" s="99">
        <v>-0.33151853145799998</v>
      </c>
      <c r="M4" s="99">
        <v>-0.324607400075</v>
      </c>
      <c r="N4" s="99">
        <v>1.73425466344</v>
      </c>
      <c r="O4" s="99">
        <v>-0.79306605620600001</v>
      </c>
      <c r="P4" s="99">
        <v>-1.62976278947</v>
      </c>
      <c r="Q4" s="99">
        <v>-1.14982818973</v>
      </c>
      <c r="R4" s="99">
        <v>-0.78470002691399998</v>
      </c>
      <c r="S4" s="99">
        <v>2.8254000440699998</v>
      </c>
      <c r="T4" s="99">
        <v>-0.71313272907000003</v>
      </c>
      <c r="U4" s="99">
        <v>-2.5570900887999999</v>
      </c>
      <c r="V4" s="99">
        <v>-2.4060143969699999</v>
      </c>
      <c r="W4" s="99">
        <v>-1.1506131429999999</v>
      </c>
      <c r="X4" s="99">
        <v>-0.62130728115599998</v>
      </c>
      <c r="Y4" s="99">
        <v>1.8418684947399999</v>
      </c>
      <c r="Z4" s="127">
        <v>-0.10749995238100001</v>
      </c>
      <c r="AA4" s="99">
        <v>0.29265383959399999</v>
      </c>
      <c r="AB4" s="99">
        <v>-0.29305614642700001</v>
      </c>
      <c r="AC4" s="99">
        <v>3.8421106442600002E-2</v>
      </c>
      <c r="AD4" s="99">
        <v>-7.7237358618099994E-2</v>
      </c>
      <c r="AE4" s="99">
        <v>0.38312591179299998</v>
      </c>
      <c r="AF4" s="99">
        <v>0.14418243794499999</v>
      </c>
      <c r="AG4" s="99">
        <v>0.497361273065</v>
      </c>
      <c r="AH4" s="99">
        <v>-0.45026681899100002</v>
      </c>
      <c r="AI4" s="99">
        <v>1.51406144149</v>
      </c>
      <c r="AJ4" s="99">
        <v>-0.39862223065000002</v>
      </c>
      <c r="AK4" s="99">
        <v>0.67962178249000005</v>
      </c>
      <c r="AL4" s="99">
        <v>1.7303790268699999</v>
      </c>
      <c r="AM4" s="99">
        <v>-1.0511460775399999</v>
      </c>
      <c r="AN4" s="99">
        <v>2.7329675688099999</v>
      </c>
      <c r="AO4" s="99">
        <v>-1.3207794239999999</v>
      </c>
      <c r="AP4" s="99">
        <v>-1.21242979966</v>
      </c>
      <c r="AQ4" s="99">
        <v>0.73922194118999995</v>
      </c>
      <c r="AR4" s="99">
        <v>2.0949705669099998</v>
      </c>
      <c r="AS4" s="99">
        <v>-0.97331980040499999</v>
      </c>
      <c r="AT4" s="99">
        <v>1.9627746962099999</v>
      </c>
    </row>
    <row r="5" spans="1:46" x14ac:dyDescent="0.2">
      <c r="A5" s="10" t="s">
        <v>191</v>
      </c>
      <c r="B5" s="2">
        <v>5</v>
      </c>
      <c r="C5" s="2">
        <v>0</v>
      </c>
      <c r="D5" s="2">
        <v>0</v>
      </c>
      <c r="E5">
        <v>2.2453261502599998E-2</v>
      </c>
      <c r="F5">
        <v>-0.34615833266399998</v>
      </c>
      <c r="G5">
        <v>-0.221974715786</v>
      </c>
      <c r="H5">
        <v>-3.65571143784E-2</v>
      </c>
      <c r="I5">
        <v>-6.6352660043200007E-2</v>
      </c>
      <c r="J5">
        <v>0.50555736293300002</v>
      </c>
      <c r="K5">
        <v>-0.26229482282200001</v>
      </c>
      <c r="L5">
        <v>-0.33165468951100002</v>
      </c>
      <c r="M5">
        <v>-0.325011692317</v>
      </c>
      <c r="N5">
        <v>1.73405478063</v>
      </c>
      <c r="O5">
        <v>-0.793228211505</v>
      </c>
      <c r="P5">
        <v>-1.6301736953499999</v>
      </c>
      <c r="Q5">
        <v>-1.1502314141600001</v>
      </c>
      <c r="R5">
        <v>-0.78554105130899998</v>
      </c>
      <c r="S5">
        <v>2.8251297625</v>
      </c>
      <c r="T5">
        <v>-0.712589783506</v>
      </c>
      <c r="U5">
        <v>-2.5577369613199998</v>
      </c>
      <c r="V5">
        <v>-2.4067344635199999</v>
      </c>
      <c r="W5">
        <v>-1.15107720213</v>
      </c>
      <c r="X5">
        <v>-0.62199830330500006</v>
      </c>
      <c r="Y5">
        <v>1.8417046932900001</v>
      </c>
      <c r="Z5" s="127">
        <v>-0.107497778929</v>
      </c>
      <c r="AA5">
        <v>0.29264904087600002</v>
      </c>
      <c r="AB5">
        <v>-0.29305824180500001</v>
      </c>
      <c r="AC5">
        <v>3.8402480670000003E-2</v>
      </c>
      <c r="AD5">
        <v>-7.7217905996300004E-2</v>
      </c>
      <c r="AE5">
        <v>0.38311289778000002</v>
      </c>
      <c r="AF5">
        <v>0.144172262361</v>
      </c>
      <c r="AG5">
        <v>0.49727040676299999</v>
      </c>
      <c r="AH5">
        <v>-0.45024292954599998</v>
      </c>
      <c r="AI5">
        <v>1.51411370748</v>
      </c>
      <c r="AJ5">
        <v>-0.39861727992899998</v>
      </c>
      <c r="AK5">
        <v>0.67942037270300004</v>
      </c>
      <c r="AL5">
        <v>1.7301180410200001</v>
      </c>
      <c r="AM5">
        <v>-1.05113749397</v>
      </c>
      <c r="AN5">
        <v>2.7330949949100001</v>
      </c>
      <c r="AO5">
        <v>-1.32001618195</v>
      </c>
      <c r="AP5">
        <v>-1.2125772344900001</v>
      </c>
      <c r="AQ5">
        <v>0.73885807180200003</v>
      </c>
      <c r="AR5">
        <v>2.0946363420399998</v>
      </c>
      <c r="AS5">
        <v>-0.97330511922100005</v>
      </c>
      <c r="AT5">
        <v>1.9628533215399999</v>
      </c>
    </row>
    <row r="6" spans="1:46" x14ac:dyDescent="0.2">
      <c r="A6" s="10" t="s">
        <v>192</v>
      </c>
      <c r="B6" s="2">
        <v>5</v>
      </c>
      <c r="C6" s="2">
        <v>0</v>
      </c>
      <c r="D6" s="2">
        <v>0</v>
      </c>
      <c r="E6">
        <v>2.2451332320999998E-2</v>
      </c>
      <c r="F6">
        <v>-0.34616135507200002</v>
      </c>
      <c r="G6">
        <v>-0.22198059449400001</v>
      </c>
      <c r="H6">
        <v>-3.6552409522E-2</v>
      </c>
      <c r="I6">
        <v>-6.6320673844599998E-2</v>
      </c>
      <c r="J6">
        <v>0.50555072732200002</v>
      </c>
      <c r="K6">
        <v>-0.26227861278999998</v>
      </c>
      <c r="L6">
        <v>-0.33160353810600002</v>
      </c>
      <c r="M6">
        <v>-0.32483210773600002</v>
      </c>
      <c r="N6">
        <v>1.73404510394</v>
      </c>
      <c r="O6">
        <v>-0.79326758858900004</v>
      </c>
      <c r="P6">
        <v>-1.6299959615999999</v>
      </c>
      <c r="Q6">
        <v>-1.15002925051</v>
      </c>
      <c r="R6">
        <v>-0.785111420964</v>
      </c>
      <c r="S6">
        <v>2.8251342657</v>
      </c>
      <c r="T6">
        <v>-0.712510332498</v>
      </c>
      <c r="U6">
        <v>-2.5578303045299999</v>
      </c>
      <c r="V6">
        <v>-2.40639954831</v>
      </c>
      <c r="W6">
        <v>-1.15083259209</v>
      </c>
      <c r="X6">
        <v>-0.62162682739099995</v>
      </c>
      <c r="Y6">
        <v>1.8417177877199999</v>
      </c>
      <c r="Z6" s="127">
        <v>-0.107499800314</v>
      </c>
      <c r="AA6">
        <v>0.29265390691600002</v>
      </c>
      <c r="AB6">
        <v>-0.29306223152100003</v>
      </c>
      <c r="AC6">
        <v>3.8397563358E-2</v>
      </c>
      <c r="AD6">
        <v>-7.7214978445299995E-2</v>
      </c>
      <c r="AE6">
        <v>0.38312353594699999</v>
      </c>
      <c r="AF6">
        <v>0.14419591480400001</v>
      </c>
      <c r="AG6">
        <v>0.49722672215899999</v>
      </c>
      <c r="AH6">
        <v>-0.45024171281399999</v>
      </c>
      <c r="AI6">
        <v>1.51416322876</v>
      </c>
      <c r="AJ6">
        <v>-0.39854400481300001</v>
      </c>
      <c r="AK6">
        <v>0.67952986989899999</v>
      </c>
      <c r="AL6">
        <v>1.7300112667900001</v>
      </c>
      <c r="AM6">
        <v>-1.05115755107</v>
      </c>
      <c r="AN6">
        <v>2.73320134042</v>
      </c>
      <c r="AO6">
        <v>-1.31996096641</v>
      </c>
      <c r="AP6">
        <v>-1.2123059838900001</v>
      </c>
      <c r="AQ6">
        <v>0.73901378003700002</v>
      </c>
      <c r="AR6">
        <v>2.0945425522100001</v>
      </c>
      <c r="AS6">
        <v>-0.97333389222099997</v>
      </c>
      <c r="AT6">
        <v>1.96293644555</v>
      </c>
    </row>
    <row r="7" spans="1:46" x14ac:dyDescent="0.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128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 x14ac:dyDescent="0.2">
      <c r="A8" s="10" t="s">
        <v>187</v>
      </c>
      <c r="B8" s="2"/>
      <c r="C8" s="2">
        <v>1024.5</v>
      </c>
      <c r="D8" s="2">
        <v>1024.5</v>
      </c>
      <c r="E8" s="23">
        <f>E$2+F$2*C8+G$2*D8+H$2*C8^2+I$2*C8*D8+J$2*D8^2+K$2*C8^3+L$2*C8^2*D8+M$2*C8*D8^2+N$2*D8^3+O$2*C8^4+P$2*C8^3*D8+Q$2*C8^2*D8^2+R$2*C8*D8^3+S$2*D8^4+T$2*C8^5+U$2*C8^4*D8+V$2*C8^3*D8^2+W$2*C8^2*D8^3+X$2*C8*D8^4+Y$2*D8^5</f>
        <v>-6.7660242433975351E-2</v>
      </c>
      <c r="F8" s="20">
        <f>F$2+2*H$2*$C8+I$2*$D8+3*K$2*$C8^2+2*L$2*$C8*$D8+M$2*$D8^2+4*O$2*$C8^3+3*P$2*$C8^2*$D8+2*Q$2*$C8*$D8^2+R$2*$D8^3+5*T$2*$C8^4+4*U$2*$C8^3*$D8+3*V$2*$C8^2*$D8^2+2*W$2*$C8*$D8^3+X$2*$D8^4</f>
        <v>6.3710617882725682E-5</v>
      </c>
      <c r="G8" s="20">
        <f>G$2+I$2*$C8+2*J$2*$D8+L$2*$C8^2+2*M$2*$C8*$D8+3*$N2*$D8^2+P$2*$C8^3+2*Q$2*$C8^2*$D8+3*R$2*$C8*$D8^2+4*S$2*$D8^3+U$2*$C8^4+2*V$2*$C8^3*$D8+3*W$2*$C8^2*$D8^2+4*X$2*$C8*$D8^3+5*Y$2*$D8^4</f>
        <v>-4.9678843267757534E-7</v>
      </c>
      <c r="H8" s="20">
        <f>H$2+3*K$2*$C8+L$2*$D8+6*O$2*$C8^2+3*P$2*$C8*$D8+Q$2*$D8^2+10*T$2*$C8^3+6*U$2*$C8^2*$D8+3*V$2*$C8*$D8^2++W$2*$D8^3</f>
        <v>-2.9532836695665883E-10</v>
      </c>
      <c r="I8" s="20">
        <f>I$2+2*L$2*$C8+2*M$2*$D8+3*P$2*$C8^2+4*Q$2*$C8*$D8+3*R$2*$D8^2+4*U$2*$C8^3+6*V$2*$C8^2*$D8+6*W$2*$C8*$D8^2+4*X$2*$D8^3</f>
        <v>9.4398521079112229E-10</v>
      </c>
      <c r="J8" s="20">
        <f>J$2+M$2*$C8+3*N$2*$D8+Q$2*$C8^2+3*R$2*$C8*$D8+6*S$2*$D8^2+V$2*$C8^3+3*W$2*$C8^2*$D8+6*X$2*$C8*$D8^2+10*Y$2*$D8^3</f>
        <v>-1.1208670557429307E-10</v>
      </c>
      <c r="K8" s="20">
        <f>K$2+4*O$2*$C8+P$2*$D8+10*T$2*$C8^2+4*U$2*$C8*$D8+V$2*$D8^2</f>
        <v>7.9124585605554909E-14</v>
      </c>
      <c r="L8" s="20">
        <f>L$2+3*P$2*$C8+2*Q$2*$D8+6*U$2*$C8^2+6*V$2*$C8*$D8+3*W$2*$D8^2</f>
        <v>1.0441691046875324E-14</v>
      </c>
      <c r="M8" s="20">
        <f>M$2+2*Q$2*$C8+3*R$2*$D8+3*V$2*$C8^2+6*W$2*$C8*$D8+6*X$2*$D8^2</f>
        <v>9.2447667203907503E-14</v>
      </c>
      <c r="N8" s="20">
        <f>N$2+R$2*$C8+4*S$2*$D8+W$2*$C8^2+4*X$2*$C8*$D8+10*Y$2*$D8^2</f>
        <v>-9.2141595854041468E-16</v>
      </c>
      <c r="O8" s="20">
        <f>O$2+5*T$2*$C8+U$2*$D8</f>
        <v>7.97054785944557E-18</v>
      </c>
      <c r="P8" s="20">
        <f>P$2+4*U$2*$C8+2*V$2*$D8</f>
        <v>-2.1144761915850751E-18</v>
      </c>
      <c r="Q8" s="20">
        <f>Q$2+3*V$2*$C8+3*W$2*$D8</f>
        <v>2.601356881125444E-20</v>
      </c>
      <c r="R8" s="20">
        <f>R$2+2*W$2*$C8+4*X$2*$D8</f>
        <v>2.9425081025967295E-19</v>
      </c>
      <c r="S8" s="20">
        <f>S$2+X$2*$C8+5*Y$2*$D8</f>
        <v>-8.3829310384137796E-18</v>
      </c>
      <c r="T8" s="20">
        <f t="shared" ref="T8:Y8" si="0">T$2</f>
        <v>-1.42314919585E-21</v>
      </c>
      <c r="U8" s="20">
        <f t="shared" si="0"/>
        <v>2.8922346385499998E-24</v>
      </c>
      <c r="V8" s="20">
        <f t="shared" si="0"/>
        <v>-2.00596589997E-22</v>
      </c>
      <c r="W8" s="20">
        <f t="shared" si="0"/>
        <v>-5.0974818767300004E-22</v>
      </c>
      <c r="X8" s="20">
        <f t="shared" si="0"/>
        <v>1.86011972425E-22</v>
      </c>
      <c r="Y8" s="20">
        <f t="shared" si="0"/>
        <v>7.7132625107599997E-22</v>
      </c>
      <c r="Z8" s="129">
        <f>Z$2+AA$2*C8+AB$2*D8+AC$2*C8^2+AD$2*C8*D8+AE$2*D8^2+AF$2*C8^3+AG$2*C8^2*D8+AH$2*C8*D8^2+AI$2*D8^3+AJ$2*C8^4+AK$2*C8^3*D8+AL$2*C8^2*D8^2+AM$2*C8*D8^3+AN$2*D8^4+AO$2*C8^5+AP$2*C8^4*D8+AQ$2*C8^3*D8^2+AR$2*C8^2*D8^3+AS$2*C8*D8^4+AT$2*D8^5</f>
        <v>0.29497908049583188</v>
      </c>
      <c r="AA8" s="20">
        <f>AA$2+2*AC$2*$C8+AD$2*$D8+3*AF$2*$C8^2+2*AG$2*$C8*$D8+AH$2*$D8^2+4*AJ$2*$C8^3+3*AK$2*$C8^2*$D8+2*AL$2*$C8*$D8^2+AM$2*$D8^3+5*AO$2*$C8^4+4*AP$2*$C8^3*$D8+3*AQ$2*$C8^2*$D8^2+2*AR$2*$C8*$D8^3+AS$2*$D8^4</f>
        <v>-1.2000206476103616E-6</v>
      </c>
      <c r="AB8" s="20">
        <f>AB$2+AD$2*$C8+2*AE$2*$D8+AG$2*$C8^2+2*AH$2*$C8*$D8+3*$AI2*$D8^2+AK$2*$C8^3+2*AL$2*$C8^2*$D8+3*AM$2*$C8*$D8^2+4*AN$2*$D8^3+AP$2*$C8^4+2*AQ$2*$C8^3*$D8+3*AR$2*$C8^2*$D8^2+4*AS$2*$C8*$D8^3+5*AT$2*$D8^4</f>
        <v>6.6828110284307068E-5</v>
      </c>
      <c r="AC8" s="20">
        <f>AC$2+3*AF$2*$C8+AG$2*$D8+6*AJ$2*$C8^2+3*AK$2*$C8*$D8+AL$2*$D8^2+10*AO$2*$C8^3+6*AP$2*$C8^2*$D8+3*AQ$2*$C8*$D8^2++AR$2*$D8^3</f>
        <v>3.1924650557675572E-10</v>
      </c>
      <c r="AD8" s="20">
        <f>AD$2+2*AG$2*$C8+2*AH$2*$D8+3*AK$2*$C8^2+4*AL$2*$C8*$D8+3*AM$2*$D8^2+4*AP$2*$C8^3+6*AQ$2*$C8^2*$D8+6*AR$2*$C8*$D8^2+4*AS$2*$D8^3</f>
        <v>-1.7703159460840283E-10</v>
      </c>
      <c r="AE8" s="20">
        <f>AE$2+AH$2*$C8+3*AI$2*$D8+AL$2*$C8^2+3*AM$2*$C8*$D8+6*AN$2*$D8^2+AQ$2*$C8^3+3*AR$2*$C8^2*$D8+6*AS$2*$C8*$D8^2+10*AT$2*$D8^3</f>
        <v>1.2867539404066917E-9</v>
      </c>
      <c r="AF8" s="20">
        <f>AF$2+4*AJ$2*$C8+AK$2*$D8+10*AO$2*$C8^2+4*AP$2*$C8*$D8+AQ$2*$D8^2</f>
        <v>5.5596625735041805E-15</v>
      </c>
      <c r="AG8" s="20">
        <f>AG$2+3*AK$2*$C8+2*AL$2*$D8+6*AP$2*$C8^2+6*AQ$2*$C8*$D8+3*AR$2*$D8^2</f>
        <v>7.1811949283452473E-14</v>
      </c>
      <c r="AH8" s="20">
        <f>AH$2+2*AL$2*$C8+3*AM$2*$D8+3*AQ$2*$C8^2+6*AR$2*$C8*$D8+6*AS$2*$D8^2</f>
        <v>1.7528840779289387E-14</v>
      </c>
      <c r="AI8" s="20">
        <f>AI$2+AM$2*$C8+4*AN$2*$D8+AR$2*$C8^2+4*AS$2*$C8*$D8+10*AT$2*$D8^2</f>
        <v>4.5927830045395991E-14</v>
      </c>
      <c r="AJ8" s="20">
        <f>AJ$2+5*AO$2*$C8+AP$2*$D8</f>
        <v>-3.1115151626727783E-19</v>
      </c>
      <c r="AK8" s="20">
        <f>AK$2+4*AP$2*$C8+2*AQ$2*$D8</f>
        <v>5.8724362046417922E-18</v>
      </c>
      <c r="AL8" s="20">
        <f>AL$2+3*AQ$2*$C8+3*AR$2*$D8</f>
        <v>-7.6302359932669695E-18</v>
      </c>
      <c r="AM8" s="20">
        <f>AM$2+2*AR$2*$C8+4*AS$2*$D8</f>
        <v>1.8475981877257938E-18</v>
      </c>
      <c r="AN8" s="20">
        <f>AN$2+AS$2*$C8+5*AT$2*$D8</f>
        <v>-1.4062277790645555E-17</v>
      </c>
      <c r="AO8" s="20">
        <f t="shared" ref="AO8:AT9" si="1">AO2</f>
        <v>-2.8352454995700001E-22</v>
      </c>
      <c r="AP8" s="20">
        <f t="shared" si="1"/>
        <v>-1.4111760654100001E-21</v>
      </c>
      <c r="AQ8" s="20">
        <f t="shared" si="1"/>
        <v>3.77306479219E-23</v>
      </c>
      <c r="AR8" s="20">
        <f t="shared" si="1"/>
        <v>-9.5460421541399995E-22</v>
      </c>
      <c r="AS8" s="20">
        <f t="shared" si="1"/>
        <v>-1.1432672115400001E-21</v>
      </c>
      <c r="AT8" s="20">
        <f t="shared" si="1"/>
        <v>6.1158069806300002E-21</v>
      </c>
    </row>
    <row r="9" spans="1:46" x14ac:dyDescent="0.2">
      <c r="A9" s="10" t="s">
        <v>188</v>
      </c>
      <c r="B9" s="2">
        <v>5</v>
      </c>
      <c r="C9" s="2">
        <v>1024.5</v>
      </c>
      <c r="D9" s="2">
        <v>1024.5</v>
      </c>
      <c r="E9" s="23">
        <f>E$3+F$3*C9+G$3*D9+H$3*C9^2+I$3*C9*D9+J$3*D9^2+K$3*C9^3+L$3*C9^2*D9+M$3*C9*D9^2+N$3*D9^3+O$3*C9^4+P$3*C9^3*D9+Q$3*C9^2*D9^2+R$3*C9*D9^3+S$3*D9^4+T$3*C9^5+U$3*C9^4*D9+V$3*C9^3*D9^2+W$3*C9^2*D9^3+X$3*C9*D9^4+Y$3*D9^5</f>
        <v>7.1661131709140777E-2</v>
      </c>
      <c r="F9" s="20">
        <f>F$3+2*H$3*$C9+I$3*$D9+3*K$3*$C9^2+2*L$3*$C9*$D9+M$3*$D9^2+4*O$3*$C9^3+3*P$3*$C9^2*$D9+2*Q$3*$C9*$D9^2+R$3*$D9^3+5*T$3*$C9^4+4*U$3*$C9^3*$D9+3*V$3*$C9^2*$D9^2+2*W$3*$C9*$D9^3+X$3*$D9^4</f>
        <v>-6.3729288253466085E-5</v>
      </c>
      <c r="G9" s="20">
        <f>G$3+I$3*$C9+2*J$3*$D9+L$3*$C9^2+2*M$3*$C9*$D9+3*$N3*$D9^2+P$3*$C9^3+2*Q$3*$C9^2*$D9+3*R$3*$C9*$D9^2+4*S$3*$D9^3+U$3*$C9^4+2*V$3*$C9^3*$D9+3*W$3*$C9^2*$D9^2+4*X$3*$C9*$D9^3+5*Y$3*$D9^4</f>
        <v>-1.6015628857349593E-6</v>
      </c>
      <c r="H9" s="20">
        <f>H$3+3*K$3*$C9+L$3*$D9+6*O$3*$C9^2+3*P$3*$C9*$D9+Q$3*$D9^2+10*T$3*$C9^3+6*U$3*$C9^2*$D9+3*V$3*$C9*$D9^2++W$3*$D9^3</f>
        <v>3.0544064881262559E-10</v>
      </c>
      <c r="I9" s="20">
        <f>I$3+2*L$3*$C9+2*M$3*$D9+3*P$3*$C9^2+4*Q$3*$C9*$D9+3*R$3*$D9^2+4*U$3*$C9^3+6*V$3*$C9^2*$D9+6*W$3*$C9*$D9^2+4*X$3*$D9^3</f>
        <v>9.5937335467828663E-10</v>
      </c>
      <c r="J9" s="20">
        <f>J$3+M$3*$C9+3*N$3*$D9+Q$3*$C9^2+3*R$3*$C9*$D9+6*S$3*$D9^2+V$3*$C9^3+3*W$3*$C9^2*$D9+6*X$3*$C9*$D9^2+10*Y$3*$D9^3</f>
        <v>8.8755938710983107E-11</v>
      </c>
      <c r="K9" s="20">
        <f>K$3+4*O$3*$C9+P$3*$D9+10*T$3*$C9^2+4*U$3*$C9*$D9+V$3*$D9^2</f>
        <v>-8.0562249717482794E-14</v>
      </c>
      <c r="L9" s="20">
        <f>L$3+3*P$3*$C9+2*Q$3*$D9+6*U$3*$C9^2+6*V$3*$C9*$D9+3*W$3*$D9^2</f>
        <v>3.3944298692417369E-15</v>
      </c>
      <c r="M9" s="20">
        <f>M$3+2*Q$3*$C9+3*R$3*$D9+3*V$3*$C9^2+6*W$3*$C9*$D9+6*X$3*$D9^2</f>
        <v>-8.9664728228246667E-14</v>
      </c>
      <c r="N9" s="20">
        <f>N$3+R$3*$C9+4*S$3*$D9+W$3*$C9^2+4*X$3*$C9*$D9+10*Y$3*$D9^2</f>
        <v>2.7296895113351728E-15</v>
      </c>
      <c r="O9" s="20">
        <f>O$3+5*T$3*$C9+U$3*$D9</f>
        <v>-7.6429894322595925E-18</v>
      </c>
      <c r="P9" s="20">
        <f>P$3+4*U$3*$C9+2*V$3*$D9</f>
        <v>-2.0886522654872987E-18</v>
      </c>
      <c r="Q9" s="20">
        <f>Q$3+3*V$3*$C9+3*W$3*$D9</f>
        <v>-1.2943605330057468E-18</v>
      </c>
      <c r="R9" s="20">
        <f>R$3+2*W$3*$C9+4*X$3*$D9</f>
        <v>-1.9432240642716415E-18</v>
      </c>
      <c r="S9" s="20">
        <f>S$3+X$3*$C9+5*Y$3*$D9</f>
        <v>-7.9749501450098161E-18</v>
      </c>
      <c r="T9" s="20">
        <f t="shared" ref="T9:Y9" si="2">T$3</f>
        <v>1.42314887815E-21</v>
      </c>
      <c r="U9" s="20">
        <f t="shared" si="2"/>
        <v>-2.9926833411100002E-24</v>
      </c>
      <c r="V9" s="20">
        <f t="shared" si="2"/>
        <v>2.0061973193000001E-22</v>
      </c>
      <c r="W9" s="20">
        <f t="shared" si="2"/>
        <v>5.0972826795099996E-22</v>
      </c>
      <c r="X9" s="20">
        <f t="shared" si="2"/>
        <v>-1.8608487238E-22</v>
      </c>
      <c r="Y9" s="20">
        <f t="shared" si="2"/>
        <v>-7.7132330429800004E-22</v>
      </c>
      <c r="Z9" s="130">
        <f>Z$3+AA$3*C9+AB$3*D9+AC$3*C9^2+AD$3*C9*D9+AE$3*D9^2+AF$3*C9^3+AG$3*C9^2*D9+AH$3*C9*D9^2+AI$3*D9^3+AJ$3*C9^4+AK$3*C9^3*D9+AL$3*C9^2*D9^2+AM$3*C9*D9^3+AN$3*D9^4+AO$3*C9^5+AP$3*C9^4*D9+AQ$3*C9^3*D9^2+AR$3*C9^2*D9^3+AS$3*C9*D9^4+AT$3*D9^5</f>
        <v>0.29391666561953933</v>
      </c>
      <c r="AA9" s="20">
        <f>AA$3+2*AC$3*$C9+AD$3*$D9+3*AF$3*$C9^2+2*AG$3*$C9*$D9+AH$3*$D9^2+4*AJ$3*$C9^3+3*AK$3*$C9^2*$D9+2*AL$3*$C9*$D9^2+AM$3*$D9^3+5*AO$3*$C9^4+4*AP$3*$C9^3*$D9+3*AQ$3*$C9^2*$D9^2+2*AR$3*$C9*$D9^3+AS$3*$D9^4</f>
        <v>-2.3625584795110513E-7</v>
      </c>
      <c r="AB9" s="20">
        <f>AB$3+AD$3*$C9+2*AE$3*$D9+AG$3*$C9^2+2*AH$3*$C9*$D9+3*$AI3*$D9^2+AK$3*$C9^3+2*AL$3*$C9^2*$D9+3*AM$3*$C9*$D9^2+4*AN$3*$D9^3+AP$3*$C9^4+2*AQ$3*$C9^3*$D9+3*AR$3*$C9^2*$D9^2+4*AS$3*$C9*$D9^3+5*AT$3*$D9^4</f>
        <v>-6.6814599733056959E-5</v>
      </c>
      <c r="AC9" s="20">
        <f>AC$3+3*AF$3*$C9+AG$3*$D9+6*AJ$3*$C9^2+3*AK$3*$C9*$D9+AL$3*$D9^2+10*AO$3*$C9^3+6*AP$3*$C9^2*$D9+3*AQ$3*$C9*$D9^2++AR$3*$D9^3</f>
        <v>3.1690191607675327E-10</v>
      </c>
      <c r="AD9" s="20">
        <f>AD$3+2*AG$3*$C9+2*AH$3*$D9+3*AK$3*$C9^2+4*AL$3*$C9*$D9+3*AM$3*$D9^2+4*AP$3*$C9^3+6*AQ$3*$C9^2*$D9+6*AR$3*$C9*$D9^2+4*AS$3*$D9^3</f>
        <v>1.6332938500056853E-10</v>
      </c>
      <c r="AE9" s="20">
        <f>AE$3+AH$3*$C9+3*AI$3*$D9+AL$3*$C9^2+3*AM$3*$C9*$D9+6*AN$3*$D9^2+AQ$3*$C9^3+3*AR$3*$C9^2*$D9+6*AS$3*$C9*$D9^2+10*AT$3*$D9^3</f>
        <v>1.2888686678228308E-9</v>
      </c>
      <c r="AF9" s="20">
        <f>AF$3+4*AJ$3*$C9+AK$3*$D9+10*AO$3*$C9^2+4*AP$3*$C9*$D9+AQ$3*$D9^2</f>
        <v>1.0820479534470368E-14</v>
      </c>
      <c r="AG9" s="20">
        <f>AG$3+3*AK$3*$C9+2*AL$3*$D9+6*AP$3*$C9^2+6*AQ$3*$C9*$D9+3*AR$3*$D9^2</f>
        <v>-6.9703499119525671E-14</v>
      </c>
      <c r="AH9" s="20">
        <f>AH$3+2*AL$3*$C9+3*AM$3*$D9+3*AQ$3*$C9^2+6*AR$3*$C9*$D9+6*AS$3*$D9^2</f>
        <v>1.5410689167217626E-14</v>
      </c>
      <c r="AI9" s="20">
        <f>AI$3+AM$3*$C9+4*AN$3*$D9+AR$3*$C9^2+4*AS$3*$C9*$D9+10*AT$3*$D9^2</f>
        <v>-4.5389483939897799E-14</v>
      </c>
      <c r="AJ9" s="20">
        <f>AJ$3+5*AO$3*$C9+AP$3*$D9</f>
        <v>-3.4217537946596399E-18</v>
      </c>
      <c r="AK9" s="20">
        <f>AK$3+4*AP$3*$C9+2*AQ$3*$D9</f>
        <v>-6.513302974712965E-18</v>
      </c>
      <c r="AL9" s="20">
        <f>AL$3+3*AQ$3*$C9+3*AR$3*$D9</f>
        <v>-7.3815304197163439E-18</v>
      </c>
      <c r="AM9" s="20">
        <f>AM$3+2*AR$3*$C9+4*AS$3*$D9</f>
        <v>-2.3421571538568571E-18</v>
      </c>
      <c r="AN9" s="20">
        <f>AN$3+AS$3*$C9+5*AT$3*$D9</f>
        <v>-1.6572400449659553E-17</v>
      </c>
      <c r="AO9" s="20">
        <f t="shared" si="1"/>
        <v>2.8354566386199998E-22</v>
      </c>
      <c r="AP9" s="20">
        <f t="shared" si="1"/>
        <v>1.41115330397E-21</v>
      </c>
      <c r="AQ9" s="20">
        <f t="shared" si="1"/>
        <v>-3.7772581494399997E-23</v>
      </c>
      <c r="AR9" s="20">
        <f t="shared" si="1"/>
        <v>9.5467436388700002E-22</v>
      </c>
      <c r="AS9" s="20">
        <f t="shared" si="1"/>
        <v>1.14278133866E-21</v>
      </c>
      <c r="AT9" s="20">
        <f t="shared" si="1"/>
        <v>-6.1158238038100001E-21</v>
      </c>
    </row>
    <row r="10" spans="1:46" x14ac:dyDescent="0.2">
      <c r="A10" s="10" t="s">
        <v>189</v>
      </c>
      <c r="B10" s="2"/>
      <c r="C10" s="2">
        <v>1024.5</v>
      </c>
      <c r="D10" s="2">
        <v>1024.5</v>
      </c>
      <c r="E10" s="23">
        <f>E9</f>
        <v>7.1661131709140777E-2</v>
      </c>
      <c r="F10" s="20">
        <f>-F9</f>
        <v>6.3729288253466085E-5</v>
      </c>
      <c r="G10" s="20">
        <f>-G9</f>
        <v>1.6015628857349593E-6</v>
      </c>
      <c r="H10" s="20">
        <f>H9</f>
        <v>3.0544064881262559E-10</v>
      </c>
      <c r="I10" s="20">
        <f>I9</f>
        <v>9.5937335467828663E-10</v>
      </c>
      <c r="J10" s="20">
        <f>J9</f>
        <v>8.8755938710983107E-11</v>
      </c>
      <c r="K10" s="20">
        <f>-K9</f>
        <v>8.0562249717482794E-14</v>
      </c>
      <c r="L10" s="20">
        <f>-L9</f>
        <v>-3.3944298692417369E-15</v>
      </c>
      <c r="M10" s="20">
        <f>-M9</f>
        <v>8.9664728228246667E-14</v>
      </c>
      <c r="N10" s="20">
        <f>-N9</f>
        <v>-2.7296895113351728E-15</v>
      </c>
      <c r="O10" s="20">
        <f>O9</f>
        <v>-7.6429894322595925E-18</v>
      </c>
      <c r="P10" s="20">
        <f>P9</f>
        <v>-2.0886522654872987E-18</v>
      </c>
      <c r="Q10" s="20">
        <f>Q9</f>
        <v>-1.2943605330057468E-18</v>
      </c>
      <c r="R10" s="20">
        <f>R9</f>
        <v>-1.9432240642716415E-18</v>
      </c>
      <c r="S10" s="20">
        <f>S9</f>
        <v>-7.9749501450098161E-18</v>
      </c>
      <c r="T10" s="20">
        <f t="shared" ref="T10:Y10" si="3">-T9</f>
        <v>-1.42314887815E-21</v>
      </c>
      <c r="U10" s="20">
        <f t="shared" si="3"/>
        <v>2.9926833411100002E-24</v>
      </c>
      <c r="V10" s="20">
        <f t="shared" si="3"/>
        <v>-2.0061973193000001E-22</v>
      </c>
      <c r="W10" s="20">
        <f t="shared" si="3"/>
        <v>-5.0972826795099996E-22</v>
      </c>
      <c r="X10" s="20">
        <f t="shared" si="3"/>
        <v>1.8608487238E-22</v>
      </c>
      <c r="Y10" s="20">
        <f t="shared" si="3"/>
        <v>7.7132330429800004E-22</v>
      </c>
      <c r="Z10" s="130">
        <f>Z9</f>
        <v>0.29391666561953933</v>
      </c>
      <c r="AA10" s="20">
        <f>-AA9</f>
        <v>2.3625584795110513E-7</v>
      </c>
      <c r="AB10" s="20">
        <f>-AB9</f>
        <v>6.6814599733056959E-5</v>
      </c>
      <c r="AC10" s="20">
        <f>AC9</f>
        <v>3.1690191607675327E-10</v>
      </c>
      <c r="AD10" s="20">
        <f>AD9</f>
        <v>1.6332938500056853E-10</v>
      </c>
      <c r="AE10" s="20">
        <f>AE9</f>
        <v>1.2888686678228308E-9</v>
      </c>
      <c r="AF10" s="20">
        <f>-AF9</f>
        <v>-1.0820479534470368E-14</v>
      </c>
      <c r="AG10" s="20">
        <f>-AG9</f>
        <v>6.9703499119525671E-14</v>
      </c>
      <c r="AH10" s="20">
        <f>-AH9</f>
        <v>-1.5410689167217626E-14</v>
      </c>
      <c r="AI10" s="20">
        <f>-AI9</f>
        <v>4.5389483939897799E-14</v>
      </c>
      <c r="AJ10" s="20">
        <f>AJ9</f>
        <v>-3.4217537946596399E-18</v>
      </c>
      <c r="AK10" s="20">
        <f>AK9</f>
        <v>-6.513302974712965E-18</v>
      </c>
      <c r="AL10" s="20">
        <f>AL9</f>
        <v>-7.3815304197163439E-18</v>
      </c>
      <c r="AM10" s="20">
        <f>AM9</f>
        <v>-2.3421571538568571E-18</v>
      </c>
      <c r="AN10" s="20">
        <f>AN9</f>
        <v>-1.6572400449659553E-17</v>
      </c>
      <c r="AO10" s="20">
        <f t="shared" ref="AO10:AT10" si="4">-AO9</f>
        <v>-2.8354566386199998E-22</v>
      </c>
      <c r="AP10" s="20">
        <f t="shared" si="4"/>
        <v>-1.41115330397E-21</v>
      </c>
      <c r="AQ10" s="20">
        <f t="shared" si="4"/>
        <v>3.7772581494399997E-23</v>
      </c>
      <c r="AR10" s="20">
        <f t="shared" si="4"/>
        <v>-9.5467436388700002E-22</v>
      </c>
      <c r="AS10" s="20">
        <f t="shared" si="4"/>
        <v>-1.14278133866E-21</v>
      </c>
      <c r="AT10" s="20">
        <f t="shared" si="4"/>
        <v>6.1158238038100001E-21</v>
      </c>
    </row>
    <row r="11" spans="1:4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128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x14ac:dyDescent="0.2">
      <c r="A12" s="10" t="s">
        <v>190</v>
      </c>
      <c r="E12" s="2" t="s">
        <v>193</v>
      </c>
      <c r="F12" s="2" t="s">
        <v>36</v>
      </c>
      <c r="G12" s="2" t="s">
        <v>37</v>
      </c>
      <c r="H12" s="2" t="s">
        <v>38</v>
      </c>
      <c r="I12" s="2" t="s">
        <v>39</v>
      </c>
      <c r="J12" s="2" t="s">
        <v>40</v>
      </c>
      <c r="K12" s="2" t="s">
        <v>131</v>
      </c>
      <c r="L12" s="2" t="s">
        <v>132</v>
      </c>
      <c r="M12" s="2" t="s">
        <v>133</v>
      </c>
      <c r="N12" s="2" t="s">
        <v>134</v>
      </c>
      <c r="O12" s="2" t="s">
        <v>135</v>
      </c>
      <c r="P12" s="2" t="s">
        <v>136</v>
      </c>
      <c r="Q12" s="2" t="s">
        <v>137</v>
      </c>
      <c r="R12" s="2" t="s">
        <v>138</v>
      </c>
      <c r="S12" s="2" t="s">
        <v>139</v>
      </c>
      <c r="T12" s="2" t="s">
        <v>140</v>
      </c>
      <c r="U12" s="2" t="s">
        <v>141</v>
      </c>
      <c r="V12" s="2" t="s">
        <v>142</v>
      </c>
      <c r="W12" s="2" t="s">
        <v>143</v>
      </c>
      <c r="X12" s="2" t="s">
        <v>144</v>
      </c>
      <c r="Y12" s="2" t="s">
        <v>145</v>
      </c>
      <c r="Z12" s="128" t="s">
        <v>194</v>
      </c>
      <c r="AA12" s="2" t="s">
        <v>41</v>
      </c>
      <c r="AB12" s="2" t="s">
        <v>42</v>
      </c>
      <c r="AC12" s="2" t="s">
        <v>43</v>
      </c>
      <c r="AD12" s="2" t="s">
        <v>44</v>
      </c>
      <c r="AE12" s="2" t="s">
        <v>45</v>
      </c>
      <c r="AF12" s="2" t="s">
        <v>146</v>
      </c>
      <c r="AG12" s="2" t="s">
        <v>147</v>
      </c>
      <c r="AH12" s="2" t="s">
        <v>148</v>
      </c>
      <c r="AI12" s="2" t="s">
        <v>149</v>
      </c>
      <c r="AJ12" s="2" t="s">
        <v>150</v>
      </c>
      <c r="AK12" s="2" t="s">
        <v>151</v>
      </c>
      <c r="AL12" s="2" t="s">
        <v>152</v>
      </c>
      <c r="AM12" s="2" t="s">
        <v>153</v>
      </c>
      <c r="AN12" s="2" t="s">
        <v>154</v>
      </c>
      <c r="AO12" s="2" t="s">
        <v>155</v>
      </c>
      <c r="AP12" s="2" t="s">
        <v>156</v>
      </c>
      <c r="AQ12" s="2" t="s">
        <v>157</v>
      </c>
      <c r="AR12" s="2" t="s">
        <v>158</v>
      </c>
      <c r="AS12" s="2" t="s">
        <v>159</v>
      </c>
      <c r="AT12" s="2" t="s">
        <v>160</v>
      </c>
    </row>
    <row r="13" spans="1:46" s="127" customFormat="1" x14ac:dyDescent="0.2">
      <c r="A13" s="131" t="s">
        <v>162</v>
      </c>
      <c r="B13" s="128">
        <v>5</v>
      </c>
      <c r="C13" s="128">
        <v>0</v>
      </c>
      <c r="D13" s="128">
        <v>0</v>
      </c>
      <c r="E13" s="127">
        <v>2222.0704896500001</v>
      </c>
      <c r="F13" s="127">
        <v>16358.183990899999</v>
      </c>
      <c r="G13" s="127">
        <v>-1497.43046495</v>
      </c>
      <c r="H13" s="127">
        <v>-163.25955776399999</v>
      </c>
      <c r="I13" s="127">
        <v>386.10461223800002</v>
      </c>
      <c r="J13" s="127">
        <v>7933.9478977400004</v>
      </c>
      <c r="K13" s="127">
        <v>-8780.2665423100007</v>
      </c>
      <c r="L13" s="127">
        <v>1879.1791221599999</v>
      </c>
      <c r="M13" s="127">
        <v>-11091.9392936</v>
      </c>
      <c r="N13" s="127">
        <v>-22879.2874041</v>
      </c>
      <c r="O13" s="127">
        <v>-5971.5059984500003</v>
      </c>
      <c r="P13" s="127">
        <v>9663.7014914800002</v>
      </c>
      <c r="Q13" s="127">
        <v>-6920.2381920099997</v>
      </c>
      <c r="R13" s="127">
        <v>11942.6214936</v>
      </c>
      <c r="S13" s="127">
        <v>32500.833927700001</v>
      </c>
      <c r="T13" s="127">
        <v>21171.9223207</v>
      </c>
      <c r="U13" s="127">
        <v>14847.714800399999</v>
      </c>
      <c r="V13" s="127">
        <v>1438.6852080399999</v>
      </c>
      <c r="W13" s="127">
        <v>8178.7701046700004</v>
      </c>
      <c r="X13" s="127">
        <v>-5274.1260132899997</v>
      </c>
      <c r="Y13" s="127">
        <v>-17700.472343500001</v>
      </c>
      <c r="Z13" s="127">
        <v>-3465.0919477699999</v>
      </c>
      <c r="AA13" s="127">
        <v>183.41093346700001</v>
      </c>
      <c r="AB13" s="127">
        <v>12875.6420155</v>
      </c>
      <c r="AC13" s="127">
        <v>928.64008340500004</v>
      </c>
      <c r="AD13" s="127">
        <v>-829.96006774700004</v>
      </c>
      <c r="AE13" s="127">
        <v>25128.6347714</v>
      </c>
      <c r="AF13" s="127">
        <v>820.09113469199997</v>
      </c>
      <c r="AG13" s="127">
        <v>-11624.2526987</v>
      </c>
      <c r="AH13" s="127">
        <v>4354.0386575800003</v>
      </c>
      <c r="AI13" s="127">
        <v>-92250.7416486</v>
      </c>
      <c r="AJ13" s="127">
        <v>-2153.9835561</v>
      </c>
      <c r="AK13" s="127">
        <v>-6849.7716648200003</v>
      </c>
      <c r="AL13" s="127">
        <v>14995.563602300001</v>
      </c>
      <c r="AM13" s="127">
        <v>-10476.2086101</v>
      </c>
      <c r="AN13" s="127">
        <v>142897.49498399999</v>
      </c>
      <c r="AO13" s="127">
        <v>6923.6219556300002</v>
      </c>
      <c r="AP13" s="127">
        <v>17875.088959299999</v>
      </c>
      <c r="AQ13" s="127">
        <v>12156.176261799999</v>
      </c>
      <c r="AR13" s="127">
        <v>-1763.8166260099999</v>
      </c>
      <c r="AS13" s="127">
        <v>9316.1666996799995</v>
      </c>
      <c r="AT13" s="127">
        <v>-87509.181240200007</v>
      </c>
    </row>
    <row r="14" spans="1:46" x14ac:dyDescent="0.2">
      <c r="A14" s="10" t="s">
        <v>163</v>
      </c>
      <c r="B14" s="2">
        <v>5</v>
      </c>
      <c r="C14" s="2">
        <v>0</v>
      </c>
      <c r="D14" s="2">
        <v>0</v>
      </c>
      <c r="E14">
        <v>2025.9752503300001</v>
      </c>
      <c r="F14">
        <v>-16320.8161616</v>
      </c>
      <c r="G14">
        <v>1414.16428664</v>
      </c>
      <c r="H14">
        <v>-118.50973134199999</v>
      </c>
      <c r="I14">
        <v>-898.83726239600003</v>
      </c>
      <c r="J14">
        <v>-7360.3513493500004</v>
      </c>
      <c r="K14">
        <v>8851.7602470500005</v>
      </c>
      <c r="L14">
        <v>564.99900255600005</v>
      </c>
      <c r="M14">
        <v>13713.6338813</v>
      </c>
      <c r="N14">
        <v>20917.172032900002</v>
      </c>
      <c r="O14">
        <v>-6032.2671464499999</v>
      </c>
      <c r="P14">
        <v>-9725.2500018800001</v>
      </c>
      <c r="Q14">
        <v>-759.01608194799996</v>
      </c>
      <c r="R14">
        <v>-17851.3632708</v>
      </c>
      <c r="S14">
        <v>-29175.886262200002</v>
      </c>
      <c r="T14">
        <v>-20389.751649000002</v>
      </c>
      <c r="U14">
        <v>16546.307259099998</v>
      </c>
      <c r="V14">
        <v>-1727.20495678</v>
      </c>
      <c r="W14">
        <v>407.401326052</v>
      </c>
      <c r="X14">
        <v>10222.076407099999</v>
      </c>
      <c r="Y14">
        <v>15467.1618595</v>
      </c>
      <c r="Z14" s="127">
        <v>5506.2984713200003</v>
      </c>
      <c r="AA14">
        <v>-174.69323044800001</v>
      </c>
      <c r="AB14">
        <v>-12741.80523</v>
      </c>
      <c r="AC14">
        <v>-973.315105797</v>
      </c>
      <c r="AD14">
        <v>741.65318332899994</v>
      </c>
      <c r="AE14">
        <v>-26050.1731015</v>
      </c>
      <c r="AF14">
        <v>1778.16757024</v>
      </c>
      <c r="AG14">
        <v>11974.2001831</v>
      </c>
      <c r="AH14">
        <v>-3963.7133501399999</v>
      </c>
      <c r="AI14">
        <v>95402.661374599993</v>
      </c>
      <c r="AJ14">
        <v>276.91222523300002</v>
      </c>
      <c r="AK14">
        <v>-9887.0795682999997</v>
      </c>
      <c r="AL14">
        <v>-15963.1079372</v>
      </c>
      <c r="AM14">
        <v>9559.0996431099993</v>
      </c>
      <c r="AN14">
        <v>-148252.25471400001</v>
      </c>
      <c r="AO14">
        <v>-455.60904260500001</v>
      </c>
      <c r="AP14">
        <v>-12927.8539955</v>
      </c>
      <c r="AQ14">
        <v>14980.8130815</v>
      </c>
      <c r="AR14">
        <v>2714.1438414999998</v>
      </c>
      <c r="AS14">
        <v>-8383.5910754600009</v>
      </c>
      <c r="AT14">
        <v>91124.117671</v>
      </c>
    </row>
    <row r="15" spans="1:46" s="99" customFormat="1" x14ac:dyDescent="0.2">
      <c r="A15" s="124" t="s">
        <v>161</v>
      </c>
      <c r="B15" s="125">
        <v>5</v>
      </c>
      <c r="C15" s="125">
        <v>0</v>
      </c>
      <c r="D15" s="125">
        <v>0</v>
      </c>
      <c r="E15" s="99">
        <v>0.18778659975799999</v>
      </c>
      <c r="F15" s="99">
        <v>-1.58243423774</v>
      </c>
      <c r="G15" s="99">
        <v>1.45495341163</v>
      </c>
      <c r="H15" s="99">
        <v>-1.51403406882</v>
      </c>
      <c r="I15" s="99">
        <v>0.187897269916</v>
      </c>
      <c r="J15" s="99">
        <v>0.62890365261299996</v>
      </c>
      <c r="K15" s="99">
        <v>13.707285520599999</v>
      </c>
      <c r="L15" s="99">
        <v>-1.19625846079</v>
      </c>
      <c r="M15" s="99">
        <v>-12.598131795600001</v>
      </c>
      <c r="N15" s="99">
        <v>0.88838620560100001</v>
      </c>
      <c r="O15" s="99">
        <v>-63.966942496199998</v>
      </c>
      <c r="P15" s="99">
        <v>-1.39073153166</v>
      </c>
      <c r="Q15" s="99">
        <v>104.22954895300001</v>
      </c>
      <c r="R15" s="99">
        <v>-8.4461060739399993</v>
      </c>
      <c r="S15" s="99">
        <v>10.9893854232</v>
      </c>
      <c r="T15" s="99">
        <v>113.938706721</v>
      </c>
      <c r="U15" s="99">
        <v>22.278223629500001</v>
      </c>
      <c r="V15" s="99">
        <v>-263.206320624</v>
      </c>
      <c r="W15" s="99">
        <v>70.586504895499999</v>
      </c>
      <c r="X15" s="99">
        <v>4.5235766661700003</v>
      </c>
      <c r="Y15" s="99">
        <v>41.730231770499998</v>
      </c>
      <c r="Z15" s="127">
        <v>-0.16007682894</v>
      </c>
      <c r="AA15" s="99">
        <v>-1.36607251101</v>
      </c>
      <c r="AB15" s="99">
        <v>-1.7564482776499999</v>
      </c>
      <c r="AC15" s="99">
        <v>-1.7375898304299999</v>
      </c>
      <c r="AD15" s="99">
        <v>2.1452578782099998</v>
      </c>
      <c r="AE15" s="99">
        <v>-0.45511127248299998</v>
      </c>
      <c r="AF15" s="99">
        <v>13.2756347686</v>
      </c>
      <c r="AG15" s="99">
        <v>-36.421310081199998</v>
      </c>
      <c r="AH15" s="99">
        <v>-0.4530802988</v>
      </c>
      <c r="AI15" s="99">
        <v>-6.9461590607100003</v>
      </c>
      <c r="AJ15" s="99">
        <v>-57.934658847599998</v>
      </c>
      <c r="AK15" s="99">
        <v>237.34128326000001</v>
      </c>
      <c r="AL15" s="99">
        <v>31.416874275600001</v>
      </c>
      <c r="AM15" s="99">
        <v>138.712023139</v>
      </c>
      <c r="AN15" s="99">
        <v>38.208136049399997</v>
      </c>
      <c r="AO15" s="99">
        <v>92.848975320700006</v>
      </c>
      <c r="AP15" s="99">
        <v>-580.41089261499997</v>
      </c>
      <c r="AQ15" s="99">
        <v>-192.78639710799999</v>
      </c>
      <c r="AR15" s="99">
        <v>-763.29265209799996</v>
      </c>
      <c r="AS15" s="99">
        <v>-500.08046459600001</v>
      </c>
      <c r="AT15" s="99">
        <v>-151.31648349100001</v>
      </c>
    </row>
    <row r="16" spans="1:46" x14ac:dyDescent="0.2">
      <c r="A16" s="10" t="s">
        <v>191</v>
      </c>
      <c r="B16" s="2">
        <v>5</v>
      </c>
      <c r="C16" s="2">
        <v>0</v>
      </c>
      <c r="D16" s="2">
        <v>0</v>
      </c>
      <c r="E16">
        <v>0.18779002069699999</v>
      </c>
      <c r="F16">
        <v>-1.5824138803500001</v>
      </c>
      <c r="G16">
        <v>1.45499158053</v>
      </c>
      <c r="H16">
        <v>-1.51496284575</v>
      </c>
      <c r="I16">
        <v>0.18795040209</v>
      </c>
      <c r="J16">
        <v>0.62887292459499999</v>
      </c>
      <c r="K16">
        <v>13.7142768185</v>
      </c>
      <c r="L16">
        <v>-1.19559262293</v>
      </c>
      <c r="M16">
        <v>-12.596636469</v>
      </c>
      <c r="N16">
        <v>0.888656673565</v>
      </c>
      <c r="O16">
        <v>-63.996600643599997</v>
      </c>
      <c r="P16">
        <v>-1.4005692924099999</v>
      </c>
      <c r="Q16">
        <v>104.217588756</v>
      </c>
      <c r="R16">
        <v>-8.4601107780299998</v>
      </c>
      <c r="S16">
        <v>10.9908767115</v>
      </c>
      <c r="T16">
        <v>113.992406676</v>
      </c>
      <c r="U16">
        <v>22.305853747899999</v>
      </c>
      <c r="V16">
        <v>-263.16178132200002</v>
      </c>
      <c r="W16">
        <v>70.649699432899993</v>
      </c>
      <c r="X16">
        <v>4.5110862153499998</v>
      </c>
      <c r="Y16">
        <v>41.731478089600003</v>
      </c>
      <c r="Z16" s="127">
        <v>-0.16007200601400001</v>
      </c>
      <c r="AA16">
        <v>-1.3660526311400001</v>
      </c>
      <c r="AB16">
        <v>-1.75646339027</v>
      </c>
      <c r="AC16">
        <v>-1.73821603282</v>
      </c>
      <c r="AD16">
        <v>2.1445362182799999</v>
      </c>
      <c r="AE16">
        <v>-0.45496863350599998</v>
      </c>
      <c r="AF16">
        <v>13.279777466300001</v>
      </c>
      <c r="AG16">
        <v>-36.415375486599999</v>
      </c>
      <c r="AH16">
        <v>-0.46230714554300001</v>
      </c>
      <c r="AI16">
        <v>-6.9438218600099999</v>
      </c>
      <c r="AJ16">
        <v>-57.9546447779</v>
      </c>
      <c r="AK16">
        <v>237.31536321199999</v>
      </c>
      <c r="AL16">
        <v>31.5028729502</v>
      </c>
      <c r="AM16">
        <v>138.686034487</v>
      </c>
      <c r="AN16">
        <v>38.2289248206</v>
      </c>
      <c r="AO16">
        <v>92.890865280599996</v>
      </c>
      <c r="AP16">
        <v>-580.36619799499999</v>
      </c>
      <c r="AQ16">
        <v>-193.03346069599999</v>
      </c>
      <c r="AR16">
        <v>-763.19833900900005</v>
      </c>
      <c r="AS16">
        <v>-500.268721669</v>
      </c>
      <c r="AT16">
        <v>-151.32983723000001</v>
      </c>
    </row>
    <row r="17" spans="1:46" x14ac:dyDescent="0.2">
      <c r="A17" s="10" t="s">
        <v>192</v>
      </c>
      <c r="B17" s="2">
        <v>5</v>
      </c>
      <c r="C17" s="2">
        <v>0</v>
      </c>
      <c r="D17" s="2">
        <v>0</v>
      </c>
      <c r="E17">
        <v>0.18778717216099999</v>
      </c>
      <c r="F17">
        <v>-1.58239300596</v>
      </c>
      <c r="G17">
        <v>1.45496420219</v>
      </c>
      <c r="H17">
        <v>-1.5148301317399999</v>
      </c>
      <c r="I17">
        <v>0.18813833780200001</v>
      </c>
      <c r="J17">
        <v>0.62880849553499996</v>
      </c>
      <c r="K17">
        <v>13.712590175300001</v>
      </c>
      <c r="L17">
        <v>-1.1981069504799999</v>
      </c>
      <c r="M17">
        <v>-12.595478764499999</v>
      </c>
      <c r="N17">
        <v>0.88904914366499999</v>
      </c>
      <c r="O17">
        <v>-63.987306319200002</v>
      </c>
      <c r="P17">
        <v>-1.3847101527800001</v>
      </c>
      <c r="Q17">
        <v>104.208981013</v>
      </c>
      <c r="R17">
        <v>-8.46931264971</v>
      </c>
      <c r="S17">
        <v>10.991189498200001</v>
      </c>
      <c r="T17">
        <v>113.974012243</v>
      </c>
      <c r="U17">
        <v>22.2670214495</v>
      </c>
      <c r="V17">
        <v>-263.13730993000001</v>
      </c>
      <c r="W17">
        <v>70.690527814199996</v>
      </c>
      <c r="X17">
        <v>4.5113983649999998</v>
      </c>
      <c r="Y17">
        <v>41.739491743999999</v>
      </c>
      <c r="Z17" s="127">
        <v>-0.16007535686800001</v>
      </c>
      <c r="AA17">
        <v>-1.36604925702</v>
      </c>
      <c r="AB17">
        <v>-1.7564299524</v>
      </c>
      <c r="AC17">
        <v>-1.7378828683300001</v>
      </c>
      <c r="AD17">
        <v>2.14425490631</v>
      </c>
      <c r="AE17">
        <v>-0.45493200505600001</v>
      </c>
      <c r="AF17">
        <v>13.2765522987</v>
      </c>
      <c r="AG17">
        <v>-36.411450162199998</v>
      </c>
      <c r="AH17">
        <v>-0.46255857027699998</v>
      </c>
      <c r="AI17">
        <v>-6.9429835224999996</v>
      </c>
      <c r="AJ17">
        <v>-57.938420166599997</v>
      </c>
      <c r="AK17">
        <v>237.29248671900001</v>
      </c>
      <c r="AL17">
        <v>31.5070226932</v>
      </c>
      <c r="AM17">
        <v>138.672756037</v>
      </c>
      <c r="AN17">
        <v>38.224910956000002</v>
      </c>
      <c r="AO17">
        <v>92.859735813599997</v>
      </c>
      <c r="AP17">
        <v>-580.31623422899997</v>
      </c>
      <c r="AQ17">
        <v>-193.05115649699999</v>
      </c>
      <c r="AR17">
        <v>-763.13949290000005</v>
      </c>
      <c r="AS17">
        <v>-500.23018700799997</v>
      </c>
      <c r="AT17">
        <v>-151.308396114</v>
      </c>
    </row>
    <row r="19" spans="1:46" x14ac:dyDescent="0.2">
      <c r="B19" s="10" t="s">
        <v>195</v>
      </c>
      <c r="C19" s="10" t="s">
        <v>185</v>
      </c>
      <c r="D19" s="10" t="s">
        <v>186</v>
      </c>
      <c r="E19" s="10" t="s">
        <v>168</v>
      </c>
      <c r="Z19" s="131" t="s">
        <v>171</v>
      </c>
    </row>
    <row r="20" spans="1:46" s="127" customFormat="1" x14ac:dyDescent="0.2">
      <c r="A20" s="131" t="str">
        <f>SIAF!B3</f>
        <v>NRS1_FULL_OSS</v>
      </c>
      <c r="B20" s="135">
        <v>1</v>
      </c>
      <c r="C20" s="127">
        <v>0</v>
      </c>
      <c r="D20" s="127">
        <v>0</v>
      </c>
      <c r="E20" s="132">
        <f>E$8+F$8*C20+G$8*D20+H$8*C20^2+I$8*C20*D20+J$8*D20^2+K$8*C20^3+L$8*C20^2*D20+M$8*C20*D20^2+N$8*D20^3+O$8*C20^4+P$8*C20^3*D20+Q$8*C20^2*D20^2+R$8*C20*D20^3+S$8*D20^4+T$8*C20^5+U$8*C20^4*D20+V$8*C20^3*D20^2+W$8*C20^2*D20^3+X$8*C20*D20^4+Y$8*D20^5</f>
        <v>-6.7660242433975351E-2</v>
      </c>
      <c r="F20" s="136">
        <f>F$8+2*H$8*$C20+I$8*$D20+3*K$8*$C20^2+2*L$8*$C20*$D20+M$8*$D20^2+4*O$8*$C20^3+3*P$8*$C20^2*$D20+2*Q$8*$C20*$D20^2+R$8*$D20^3+5*T$8*$C20^4+4*U$8*$C20^3*$D20+3*V$8*$C20^2*$D20^2+2*W$8*$C20*$D20^3+X$8*$D20^4</f>
        <v>6.3710617882725682E-5</v>
      </c>
      <c r="G20" s="136">
        <f>G$8+I$8*$C20+2*J$8*$D20+L$8*$C20^2+2*M$8*$C20*$D20+3*N2*$D20^2+P$8*$C20^3+2*Q$8*$C20^2*$D20+3*R$8*$C20*$D20^2+4*S$8*$D20^3+U$8*$C20^4+2*V$8*$C20^3*$D20+3*W$8*$C20^2*$D20^2+4*X$8*$C20*$D20^3+5*Y$8*$D20^4</f>
        <v>-4.9678843267757534E-7</v>
      </c>
      <c r="H20" s="136">
        <f>H$8+3*K$8*$C20+L$8*$D20+6*O$8*$C20^2+3*P$8*$C20*$D20+Q$8*$D20^2+10*T$8*$C20^3+6*U$8*$C20^2*$D20+3*V$8*$C20*$D20^2++W$8*$D20^3</f>
        <v>-2.9532836695665883E-10</v>
      </c>
      <c r="I20" s="136">
        <f>I$8+2*L$8*$C20+2*M$8*$D20+3*P$8*$C20^2+4*Q$8*$C20*$D20+3*R$8*$D20^2+4*U$8*$C20^3+6*V$8*$C20^2*$D20+6*W$2*$C20*$D20^2+4*X$8*$D20^3</f>
        <v>9.4398521079112229E-10</v>
      </c>
      <c r="J20" s="136">
        <f>J$8+M$8*$C20+3*N$8*$D20+Q$8*$C20^2+3*R$8*$C20*$D20+6*S$8*$D20^2+V$8*$C20^3+3*W$8*$C20^2*$D20+6*X$8*$C20*$D20^2+10*Y$8*$D20^3</f>
        <v>-1.1208670557429307E-10</v>
      </c>
      <c r="K20" s="136">
        <f>K$8+4*O$8*$C20+P$8*$D20+10*T$8*$C20^2+4*U$8*$C20*$D20+V$8*$D20^2</f>
        <v>7.9124585605554909E-14</v>
      </c>
      <c r="L20" s="136">
        <f>L$8+3*P$8*$C20+2*Q$8*$D20+6*U$8*$C20^2+6*V$8*$C20*$D20+3*W$8*$D20^2</f>
        <v>1.0441691046875324E-14</v>
      </c>
      <c r="M20" s="136">
        <f>M$8+2*Q$8*$C20+3*R$8*$D20+3*V$8*$C20^2+6*W$8*$C20*$D20+6*X$8*$D20^2</f>
        <v>9.2447667203907503E-14</v>
      </c>
      <c r="N20" s="136">
        <f>N$8+R$8*$C20+4*S$8*$D20+W$8*$C20^2+4*X$8*$C20*$D20+10*Y$8*$D20^2</f>
        <v>-9.2141595854041468E-16</v>
      </c>
      <c r="O20" s="136">
        <f>O$8+5*T$8*$C20+U$8*$D20</f>
        <v>7.97054785944557E-18</v>
      </c>
      <c r="P20" s="136">
        <f>P$8+4*U$8*$C20+2*V$8*$D20</f>
        <v>-2.1144761915850751E-18</v>
      </c>
      <c r="Q20" s="136">
        <f>Q$8+3*V$8*$C20+3*W$8*$D20</f>
        <v>2.601356881125444E-20</v>
      </c>
      <c r="R20" s="136">
        <f>R$8+2*W$8*$C20+4*X$8*$D20</f>
        <v>2.9425081025967295E-19</v>
      </c>
      <c r="S20" s="136">
        <f>S$8+X$8*$C20+5*Y$8*$D20</f>
        <v>-8.3829310384137796E-18</v>
      </c>
      <c r="T20" s="136">
        <f t="shared" ref="T20:Y21" si="5">T$8</f>
        <v>-1.42314919585E-21</v>
      </c>
      <c r="U20" s="136">
        <f t="shared" si="5"/>
        <v>2.8922346385499998E-24</v>
      </c>
      <c r="V20" s="136">
        <f t="shared" si="5"/>
        <v>-2.00596589997E-22</v>
      </c>
      <c r="W20" s="136">
        <f t="shared" si="5"/>
        <v>-5.0974818767300004E-22</v>
      </c>
      <c r="X20" s="136">
        <f t="shared" si="5"/>
        <v>1.86011972425E-22</v>
      </c>
      <c r="Y20" s="136">
        <f t="shared" si="5"/>
        <v>7.7132625107599997E-22</v>
      </c>
      <c r="Z20" s="132">
        <f>Z$8+AA$8*C20+AB$8*D20+AC$8*C20^2+AD$8*C20*D20+AE$8*D20^2+AF$8*C20^3+AG$8*C20^2*D20+AH$8*C20*D20^2+AI$8*D20^3+AJ$8*C20^4+AK$8*C20^3*D20+AL$8*C20^2*D20^2+AM$8*C20*D20^3+AN$8*D20^4+AO$8*C20^5+AP$8*C20^4*D20+AQ$8*C20^3*D20^2+AR$8*C20^2*D20^3+AS$8*C20*D20^4+AT$8*D20^5</f>
        <v>0.29497908049583188</v>
      </c>
      <c r="AA20" s="136">
        <f>AA$8+2*AC$8*$C20+AD$8*$D20+3*AF$8*$C20^2+2*AG$8*$C20*$D20+AH$8*$D20^2+4*AJ$8*$C20^3+3*AK$8*$C20^2*$D20+2*AL$8*$C20*$D20^2+AM$8*$D20^3+5*AO$8*$C20^4+4*AP$8*$C20^3*$D20+3*AQ$8*$C20^2*$D20^2+2*AR$8*$C20*$D20^3+AS$8*$D20^4</f>
        <v>-1.2000206476103616E-6</v>
      </c>
      <c r="AB20" s="136">
        <f>AB$8+AD$8*$C20+2*AE$8*$D20+AG$8*$C20^2+2*AH$8*$C20*$D20+3*AI2*$D20^2+AK$8*$C20^3+2*AL$8*$C20^2*$D20+3*AM$8*$C20*$D20^2+4*AN$8*$D20^3+AP$8*$C20^4+2*AQ$8*$C20^3*$D20+3*AR$8*$C20^2*$D20^2+4*AS$8*$C20*$D20^3+5*AT$8*$D20^4</f>
        <v>6.6828110284307068E-5</v>
      </c>
      <c r="AC20" s="136">
        <f>AC$8+3*AF$8*$C20+AG$8*$D20+6*AJ$8*$C20^2+3*AK$8*$C20*$D20+AL$8*$D20^2+10*AO$8*$C20^3+6*AP$8*$C20^2*$D20+3*AQ$8*$C20*$D20^2++AR$8*$D20^3</f>
        <v>3.1924650557675572E-10</v>
      </c>
      <c r="AD20" s="136">
        <f>AD$8+2*AG$8*$C20+2*AH$8*$D20+3*AK$8*$C20^2+4*AL$8*$C20*$D20+3*AM$8*$D20^2+4*AP$8*$C20^3+6*AQ$8*$C20^2*$D20+6*AR$8*$C20*$D20^2+4*AS$8*$D20^3</f>
        <v>-1.7703159460840283E-10</v>
      </c>
      <c r="AE20" s="136">
        <f>AE$8+AH$8*$C20+3*AI$8*$D20+AL$8*$C20^2+3*AM$8*$C20*$D20+6*AN$8*$D20^2+AQ$8*$C20^3+3*AR$8*$C20^2*$D20+6*AS$8*$C20*$D20^2+10*AT$8*$D20^3</f>
        <v>1.2867539404066917E-9</v>
      </c>
      <c r="AF20" s="136">
        <f>AF$8+4*AJ$8*$C20+AK$8*$D20+10*AO$8*$C20^2+4*AP$8*$C20*$D20+AQ$8*$D20^2</f>
        <v>5.5596625735041805E-15</v>
      </c>
      <c r="AG20" s="136">
        <f>AG$8+3*AK$8*$C20+2*AL$8*$D20+6*AP$8*$C20^2+6*AQ$8*$C20*$D20+3*AR$8*$D20^2</f>
        <v>7.1811949283452473E-14</v>
      </c>
      <c r="AH20" s="136">
        <f>AH$8+2*AL$8*$C20+3*AM$8*$D20+3*AQ$8*$C20^2+6*AR$8*$C20*$D20+6*AS$8*$D20^2</f>
        <v>1.7528840779289387E-14</v>
      </c>
      <c r="AI20" s="136">
        <f>AI$8+AM$8*$C20+4*AN$8*$D20+AR$8*$C20^2+4*AS$8*$C20*$D20+10*AT$8*$D20^2</f>
        <v>4.5927830045395991E-14</v>
      </c>
      <c r="AJ20" s="136">
        <f>AJ$8+5*AO$8*$C20+AP$8*$D20</f>
        <v>-3.1115151626727783E-19</v>
      </c>
      <c r="AK20" s="136">
        <f>AK$8+4*AP$8*$C20+2*AQ$8*$D20</f>
        <v>5.8724362046417922E-18</v>
      </c>
      <c r="AL20" s="136">
        <f>AL$8+3*AQ$8*$C20+3*AR$8*$D20</f>
        <v>-7.6302359932669695E-18</v>
      </c>
      <c r="AM20" s="136">
        <f>AM$8+2*AR$8*$C20+4*AS$8*$D20</f>
        <v>1.8475981877257938E-18</v>
      </c>
      <c r="AN20" s="136">
        <f>AN$8+AS$8*$C20+5*AT$8*$D20</f>
        <v>-1.4062277790645555E-17</v>
      </c>
      <c r="AO20" s="136">
        <f t="shared" ref="AO20:AT21" si="6">AO$8</f>
        <v>-2.8352454995700001E-22</v>
      </c>
      <c r="AP20" s="136">
        <f t="shared" si="6"/>
        <v>-1.4111760654100001E-21</v>
      </c>
      <c r="AQ20" s="136">
        <f t="shared" si="6"/>
        <v>3.77306479219E-23</v>
      </c>
      <c r="AR20" s="136">
        <f t="shared" si="6"/>
        <v>-9.5460421541399995E-22</v>
      </c>
      <c r="AS20" s="136">
        <f t="shared" si="6"/>
        <v>-1.1432672115400001E-21</v>
      </c>
      <c r="AT20" s="136">
        <f t="shared" si="6"/>
        <v>6.1158069806300002E-21</v>
      </c>
    </row>
    <row r="21" spans="1:46" x14ac:dyDescent="0.2">
      <c r="A21" s="10" t="str">
        <f>SIAF!B4</f>
        <v>NRS1_FULL</v>
      </c>
      <c r="B21" s="2">
        <v>1</v>
      </c>
      <c r="C21">
        <v>0</v>
      </c>
      <c r="D21">
        <v>0</v>
      </c>
      <c r="E21" s="24">
        <f>E$8+F$8*C21+G$8*D21+H$8*C21^2+I$8*C21*D21+J$8*D21^2+K$8*C21^3+L$8*C21^2*D21+M$8*C21*D21^2+N$8*D21^3+O$8*C21^4+P$8*C21^3*D21+Q$8*C21^2*D21^2+R$8*C21*D21^3+S$8*D21^4+T$8*C21^5+U$8*C21^4*D21+V$8*C21^3*D21^2+W$8*C21^2*D21^3+X$8*C21*D21^4+Y$8*D21^5</f>
        <v>-6.7660242433975351E-2</v>
      </c>
      <c r="F21" s="20">
        <f>F$8+2*H$8*$C21+I$8*$D21+3*K$8*$C21^2+2*L$8*$C21*$D21+M$8*$D21^2+4*O$8*$C21^3+3*P$8*$C21^2*$D21+2*Q$8*$C21*$D21^2+R$8*$D21^3+5*T$8*$C21^4+4*U$8*$C21^3*$D21+3*V$8*$C21^2*$D21^2+2*W$8*$C21*$D21^3+X$8*$D21^4</f>
        <v>6.3710617882725682E-5</v>
      </c>
      <c r="G21" s="20">
        <f>G$8+I$8*$C21+2*J$8*$D21+$L$8*$C21^2+2*M$8*$C21*$D21+3*N$8*$D21^2+P$8*$C21^3+2*Q$8*$C21^2*$D21+3*R$8*$C21*$D21^2+4*S$8*$D21^3+U$8*$C21^4+2*V$8*$C21^3*$D21+3*W$8*$C21^2*$D21^2+4*X$8*$C21*$D21^3+5*Y$8*$D21^4</f>
        <v>-4.9678843267757534E-7</v>
      </c>
      <c r="H21" s="20">
        <f>H$8+3*K$8*$C21+L$8*$D21+6*O$8*$C21^2+3*P$8*$C21*$D21+Q$8*$D21^2+10*T$8*$C21^3+6*U$8*$C21^2*$D21+3*V$8*$C21*$D21^2++W$8*$D21^3</f>
        <v>-2.9532836695665883E-10</v>
      </c>
      <c r="I21" s="20">
        <f>I$8+2*L$8*$C21+2*M$8*$D21+3*P$8*$C21^2+4*Q$8*$C21*$D21+3*R$8*$D21^2+4*U$8*$C21^3+6*V$8*$C21^2*$D21+6*W$8*$C21*$D21^2+4*X$8*$D21^3</f>
        <v>9.4398521079112229E-10</v>
      </c>
      <c r="J21" s="20">
        <f>J$8+M$8*$C21+3*N$8*$D21+Q$8*$C21^2+3*R$8*$C21*$D21+6*S$8*$D21^2+V$8*$C21^3+3*W$8*$C21^2*$D21+6*X$8*$C21*$D21^2+10*Y$8*$D21^3</f>
        <v>-1.1208670557429307E-10</v>
      </c>
      <c r="K21" s="20">
        <f>K$8+4*O$8*$C21+P$8*$D21+10*T$8*$C21^2+4*U$8*$C21*$D21+V$8*$D21^2</f>
        <v>7.9124585605554909E-14</v>
      </c>
      <c r="L21" s="20">
        <f>L$8+3*P$8*$C21+2*Q$8*$D21+6*U$8*$C21^2+6*V$8*$C21*$D21+3*W$8*$D21^2</f>
        <v>1.0441691046875324E-14</v>
      </c>
      <c r="M21" s="20">
        <f>M$8+2*Q$8*$C21+3*R$8*$D21+3*V$8*$C21^2+6*W$8*$C21*$D21+6*X$8*$D21^2</f>
        <v>9.2447667203907503E-14</v>
      </c>
      <c r="N21" s="20">
        <f>N$8+R$8*$C21+4*S$8*$D21+W$8*$C21^2+4*X$8*$C21*$D21+10*Y$8*$D21^2</f>
        <v>-9.2141595854041468E-16</v>
      </c>
      <c r="O21" s="20">
        <f>O$8+5*T$8*$C21+U$8*$D21</f>
        <v>7.97054785944557E-18</v>
      </c>
      <c r="P21" s="20">
        <f>P$8+4*U$8*$C21+2*V$8*$D21</f>
        <v>-2.1144761915850751E-18</v>
      </c>
      <c r="Q21" s="20">
        <f>Q$8+3*V$8*$C21+3*W$8*$D21</f>
        <v>2.601356881125444E-20</v>
      </c>
      <c r="R21" s="20">
        <f>R$8+2*W$8*$C21+4*X$8*$D21</f>
        <v>2.9425081025967295E-19</v>
      </c>
      <c r="S21" s="20">
        <f>S$8+X$8*$C21+5*Y$8*$D21</f>
        <v>-8.3829310384137796E-18</v>
      </c>
      <c r="T21" s="20">
        <f t="shared" si="5"/>
        <v>-1.42314919585E-21</v>
      </c>
      <c r="U21" s="20">
        <f t="shared" si="5"/>
        <v>2.8922346385499998E-24</v>
      </c>
      <c r="V21" s="20">
        <f t="shared" si="5"/>
        <v>-2.00596589997E-22</v>
      </c>
      <c r="W21" s="20">
        <f t="shared" si="5"/>
        <v>-5.0974818767300004E-22</v>
      </c>
      <c r="X21" s="20">
        <f t="shared" si="5"/>
        <v>1.86011972425E-22</v>
      </c>
      <c r="Y21" s="20">
        <f t="shared" si="5"/>
        <v>7.7132625107599997E-22</v>
      </c>
      <c r="Z21" s="132">
        <f>Z$8+AA$8*C21+AB$8*D21+AC$8*C21^2+AD$8*C21*D21+AE$8*D21^2+AF$8*C21^3+AG$8*C21^2*D21+AH$8*C21*D21^2+AI$8*D21^3+AJ$8*C21^4+AK$8*C21^3*D21+AL$8*C21^2*D21^2+AM$8*C21*D21^3+AN$8*D21^4+AO$8*C21^5+AP$8*C21^4*D21+AQ$8*C21^3*D21^2+AR$8*C21^2*D21^3+AS$8*C21*D21^4+AT$8*D21^5</f>
        <v>0.29497908049583188</v>
      </c>
      <c r="AA21" s="20">
        <f>AA$8+2*AC$8*$C21+AD$8*$D21+3*AF$8*$C21^2+2*AG$8*$C21*$D21+AH$8*$D21^2+4*AJ$8*$C21^3+3*AK$8*$C21^2*$D21+2*AL$8*$C21*$D21^2+AM$8*$D21^3+5*AO$8*$C21^4+4*AP$8*$C21^3*$D21+3*AQ$8*$C21^2*$D21^2+2*AR$8*$C21*$D21^3+AS$8*$D21^4</f>
        <v>-1.2000206476103616E-6</v>
      </c>
      <c r="AB21" s="20">
        <f>AB$8+AD$8*$C21+2*AE$8*$D21+$L$8*$C21^2+2*AH$8*$C21*$D21+3*AI$8*$D21^2+AK$8*$C21^3+2*AL$8*$C21^2*$D21+3*AM$8*$C21*$D21^2+4*AN$8*$D21^3+AP$8*$C21^4+2*AQ$8*$C21^3*$D21+3*AR$8*$C21^2*$D21^2+4*AS$8*$C21*$D21^3+5*AT$8*$D21^4</f>
        <v>6.6828110284307068E-5</v>
      </c>
      <c r="AC21" s="20">
        <f>AC$8+3*AF$8*$C21+AG$8*$D21+6*AJ$8*$C21^2+3*AK$8*$C21*$D21+AL$8*$D21^2+10*AO$8*$C21^3+6*AP$8*$C21^2*$D21+3*AQ$8*$C21*$D21^2++AR$8*$D21^3</f>
        <v>3.1924650557675572E-10</v>
      </c>
      <c r="AD21" s="20">
        <f>AD$8+2*AG$8*$C21+2*AH$8*$D21+3*AK$8*$C21^2+4*AL$8*$C21*$D21+3*AM$8*$D21^2+4*AP$8*$C21^3+6*AQ$8*$C21^2*$D21+6*AR$8*$C21*$D21^2+4*AS$8*$D21^3</f>
        <v>-1.7703159460840283E-10</v>
      </c>
      <c r="AE21" s="20">
        <f>AE$8+AH$8*$C21+3*AI$8*$D21+AL$8*$C21^2+3*AM$8*$C21*$D21+6*AN$8*$D21^2+AQ$8*$C21^3+3*AR$8*$C21^2*$D21+6*AS$8*$C21*$D21^2+10*AT$8*$D21^3</f>
        <v>1.2867539404066917E-9</v>
      </c>
      <c r="AF21" s="20">
        <f>AF$8+4*AJ$8*$C21+AK$8*$D21+10*AO$8*$C21^2+4*AP$8*$C21*$D21+AQ$8*$D21^2</f>
        <v>5.5596625735041805E-15</v>
      </c>
      <c r="AG21" s="20">
        <f>AG$8+3*AK$8*$C21+2*AL$8*$D21+6*AP$8*$C21^2+6*AQ$8*$C21*$D21+3*AR$8*$D21^2</f>
        <v>7.1811949283452473E-14</v>
      </c>
      <c r="AH21" s="20">
        <f>AH$8+2*AL$8*$C21+3*AM$8*$D21+3*AQ$8*$C21^2+6*AR$8*$C21*$D21+6*AS$8*$D21^2</f>
        <v>1.7528840779289387E-14</v>
      </c>
      <c r="AI21" s="20">
        <f>AI$8+AM$8*$C21+4*AN$8*$D21+AR$8*$C21^2+4*AS$8*$C21*$D21+10*AT$8*$D21^2</f>
        <v>4.5927830045395991E-14</v>
      </c>
      <c r="AJ21" s="20">
        <f>AJ$8+5*AO$8*$C21+AP$8*$D21</f>
        <v>-3.1115151626727783E-19</v>
      </c>
      <c r="AK21" s="20">
        <f>AK$8+4*AP$8*$C21+2*AQ$8*$D21</f>
        <v>5.8724362046417922E-18</v>
      </c>
      <c r="AL21" s="20">
        <f>AL$8+3*AQ$8*$C21+3*AR$8*$D21</f>
        <v>-7.6302359932669695E-18</v>
      </c>
      <c r="AM21" s="20">
        <f>AM$8+2*AR$8*$C21+4*AS$8*$D21</f>
        <v>1.8475981877257938E-18</v>
      </c>
      <c r="AN21" s="20">
        <f>AN$8+AS$8*$C21+5*AT$8*$D21</f>
        <v>-1.4062277790645555E-17</v>
      </c>
      <c r="AO21" s="20">
        <f t="shared" si="6"/>
        <v>-2.8352454995700001E-22</v>
      </c>
      <c r="AP21" s="20">
        <f t="shared" si="6"/>
        <v>-1.4111760654100001E-21</v>
      </c>
      <c r="AQ21" s="20">
        <f t="shared" si="6"/>
        <v>3.77306479219E-23</v>
      </c>
      <c r="AR21" s="20">
        <f t="shared" si="6"/>
        <v>-9.5460421541399995E-22</v>
      </c>
      <c r="AS21" s="20">
        <f t="shared" si="6"/>
        <v>-1.1432672115400001E-21</v>
      </c>
      <c r="AT21" s="20">
        <f t="shared" si="6"/>
        <v>6.1158069806300002E-21</v>
      </c>
    </row>
    <row r="22" spans="1:46" x14ac:dyDescent="0.2">
      <c r="A22" s="10" t="str">
        <f>SIAF!B5</f>
        <v>NRS2_FULL_OSS</v>
      </c>
      <c r="B22" s="26">
        <v>2</v>
      </c>
      <c r="C22">
        <v>0</v>
      </c>
      <c r="D22">
        <v>0</v>
      </c>
      <c r="E22" s="24">
        <f>E$9+F$9*C22+G$9*D22+H$9*C22^2+I$9*C22*D22+J$9*D22^2+K$9*C22^3+L$9*C22^2*D22+M$9*C22*D22^2+N$9*D22^3+O$9*C22^4+P$9*C22^3*D22+Q$9*C22^2*D22^2+R$9*C22*D22^3+S$9*D22^4+T$9*C22^5+U$9*C22^4*D22+V$9*C22^3*D22^2+W$9*C22^2*D22^3+X$9*C22*D22^4+Y$9*D22^5</f>
        <v>7.1661131709140777E-2</v>
      </c>
      <c r="F22" s="20">
        <f>F$9+2*H$9*$C22+I$9*$D22+3*K$9*$C22^2+2*L$9*$C22*$D22+M$9*$D22^2+4*O$9*$C22^3+3*P$9*$C22^2*$D22+2*Q$9*$C22*$D22^2+R$9*$D22^3+5*T$9*$C22^4+4*U$9*$C22^3*$D22+3*V$9*$C22^2*$D22^2+2*W$9*$C22*$D22^3+X$9*$D22^4</f>
        <v>-6.3729288253466085E-5</v>
      </c>
      <c r="G22" s="20">
        <f>G$9+I$9*$C22+2*J$9*$D22+L$9*$C22^2+2*M$9*$C22*$D22+3*N$9*$D22^2+P$9*$C22^3+2*Q$9*$C22^2*$D22+3*R$9*$C22*$D22^2+4*S$9*$D22^3+U$9*$C22^4+2*V$9*$C22^3*$D22+3*W$9*$C22^2*$D22^2+4*X$9*$C22*$D22^3+5*Y$9*$D22^4</f>
        <v>-1.6015628857349593E-6</v>
      </c>
      <c r="H22" s="20">
        <f>H$9+3*K$9*$C22+L$9*$D22+6*O$9*$C22^2+3*P$9*$C22*$D22+Q$9*$D22^2+10*T$9*$C22^3+6*U$9*$C22^2*$D22+3*V$9*$C22*$D22^2++W$9*$D22^3</f>
        <v>3.0544064881262559E-10</v>
      </c>
      <c r="I22" s="20">
        <f>I$9+2*L$9*$C22+2*M$9*$D22+3*P$9*$C22^2+4*Q$9*$C22*$D22+3*R$9*$D22^2+4*U$9*$C22^3+6*V$9*$C22^2*$D22+6*W$9*$C22*$D22^2+4*X$9*$D22^3</f>
        <v>9.5937335467828663E-10</v>
      </c>
      <c r="J22" s="20">
        <f>J$9+M$9*$C22+3*N$9*$D22+Q$9*$C22^2+3*R$9*$C22*$D22+6*S$9*$D22^2+V$9*$C22^3+3*W$9*$C22^2*$D22+6*X$9*$C22*$D22^2+10*Y$9*$D22^3</f>
        <v>8.8755938710983107E-11</v>
      </c>
      <c r="K22" s="20">
        <f>K$9+4*O$9*$C22+P$9*$D22+10*T$9*$C22^2+4*U$9*$C22*$D22+V$9*$D22^2</f>
        <v>-8.0562249717482794E-14</v>
      </c>
      <c r="L22" s="20">
        <f>L$9+3*P$9*$C22+2*Q$9*$D22+6*U$9*$C22^2+6*V$9*$C22*$D22+3*W$9*$D22^2</f>
        <v>3.3944298692417369E-15</v>
      </c>
      <c r="M22" s="20">
        <f>M$9+2*Q$9*$C22+3*R$9*$D22+3*V$9*$C22^2+6*W$9*$C22*$D22+6*X$9*$D22^2</f>
        <v>-8.9664728228246667E-14</v>
      </c>
      <c r="N22" s="20">
        <f>N$9+R$9*$C22+4*S$9*$D22+W$9*$C22^2+4*X$9*$C22*$D22+10*Y$9*$D22^2</f>
        <v>2.7296895113351728E-15</v>
      </c>
      <c r="O22" s="20">
        <f>O$9+5*T$9*$C22+U$9*$D22</f>
        <v>-7.6429894322595925E-18</v>
      </c>
      <c r="P22" s="20">
        <f>P$9+4*U$9*$C22+2*V$9*$D22</f>
        <v>-2.0886522654872987E-18</v>
      </c>
      <c r="Q22" s="20">
        <f>Q$9+3*V$9*$C22+3*W$9*$D22</f>
        <v>-1.2943605330057468E-18</v>
      </c>
      <c r="R22" s="20">
        <f>R$9+2*W$9*$C22+4*X$9*$D22</f>
        <v>-1.9432240642716415E-18</v>
      </c>
      <c r="S22" s="20">
        <f>S$9+X$9*$C22+5*Y$9*$D22</f>
        <v>-7.9749501450098161E-18</v>
      </c>
      <c r="T22" s="20">
        <f t="shared" ref="T22:Y22" si="7">T$9</f>
        <v>1.42314887815E-21</v>
      </c>
      <c r="U22" s="20">
        <f t="shared" si="7"/>
        <v>-2.9926833411100002E-24</v>
      </c>
      <c r="V22" s="20">
        <f t="shared" si="7"/>
        <v>2.0061973193000001E-22</v>
      </c>
      <c r="W22" s="20">
        <f t="shared" si="7"/>
        <v>5.0972826795099996E-22</v>
      </c>
      <c r="X22" s="20">
        <f t="shared" si="7"/>
        <v>-1.8608487238E-22</v>
      </c>
      <c r="Y22" s="20">
        <f t="shared" si="7"/>
        <v>-7.7132330429800004E-22</v>
      </c>
      <c r="Z22" s="132">
        <f>Z$9+AA$9*C22+AB$9*D22+AC$9*C22^2+AD$9*C22*D22+AE$9*D22^2+AF$9*C22^3+AG$9*C22^2*D22+AH$9*C22*D22^2+AI$9*D22^3+AJ$9*C22^4+AK$9*C22^3*D22+AL$9*C22^2*D22^2+AM$9*C22*D22^3+AN$9*D22^4+AO$9*C22^5+AP$9*C22^4*D22+AQ$9*C22^3*D22^2+AR$9*C22^2*D22^3+AS$9*C22*D22^4+AT$9*D22^5</f>
        <v>0.29391666561953933</v>
      </c>
      <c r="AA22" s="20">
        <f>AA$9+2*AC$9*$C22+AD$9*$D22+3*AF$9*$C22^2+2*AG$9*$C22*$D22+AH$9*$D22^2+4*AJ$9*$C22^3+3*AK$9*$C22^2*$D22+2*AL$9*$C22*$D22^2+AM$9*$D22^3+5*AO$9*$C22^4+4*AP$9*$C22^3*$D22+3*AQ$9*$C22^2*$D22^2+2*AR$9*$C22*$D22^3+AS$9*$D22^4</f>
        <v>-2.3625584795110513E-7</v>
      </c>
      <c r="AB22" s="20">
        <f>AB$9+AD$9*$C22+2*AE$9*$D22+AG$9*$C22^2+2*AH$9*$C22*$D22+3*AI$9*$D22^2+AK$9*$C22^3+2*AL$9*$C22^2*$D22+3*AM$9*$C22*$D22^2+4*AN$9*$D22^3+AP$9*$C22^4+2*AQ$9*$C22^3*$D22+3*AR$9*$C22^2*$D22^2+4*AS$9*$C22*$D22^3+5*AT$9*$D22^4</f>
        <v>-6.6814599733056959E-5</v>
      </c>
      <c r="AC22" s="20">
        <f>AC$9+3*AF$9*$C22+AG$9*$D22+6*AJ$9*$C22^2+3*AK$9*$C22*$D22+AL$9*$D22^2+10*AO$9*$C22^3+6*AP$9*$C22^2*$D22+3*AQ$9*$C22*$D22^2++AR$9*$D22^3</f>
        <v>3.1690191607675327E-10</v>
      </c>
      <c r="AD22" s="20">
        <f>AD$9+2*AG$9*$C22+2*AH$9*$D22+3*AK$9*$C22^2+4*AL$9*$C22*$D22+3*AM$9*$D22^2+4*AP$9*$C22^3+6*AQ$9*$C22^2*$D22+6*AR$9*$C22*$D22^2+4*AS$9*$D22^3</f>
        <v>1.6332938500056853E-10</v>
      </c>
      <c r="AE22" s="20">
        <f>AE$9+AH$9*$C22+3*AI$9*$D22+AL$9*$C22^2+3*AM$9*$C22*$D22+6*AN$9*$D22^2+AQ$9*$C22^3+3*AR$9*$C22^2*$D22+6*AS$9*$C22*$D22^2+10*AT$9*$D22^3</f>
        <v>1.2888686678228308E-9</v>
      </c>
      <c r="AF22" s="20">
        <f>AF$9+4*AJ$9*$C22+AK$9*$D22+10*AO$9*$C22^2+4*AP$9*$C22*$D22+AQ$9*$D22^2</f>
        <v>1.0820479534470368E-14</v>
      </c>
      <c r="AG22" s="20">
        <f>AG$9+3*AK$9*$C22+2*AL$9*$D22+6*AP$9*$C22^2+6*AQ$9*$C22*$D22+3*AR$9*$D22^2</f>
        <v>-6.9703499119525671E-14</v>
      </c>
      <c r="AH22" s="20">
        <f>AH$9+2*AL$9*$C22+3*AM$9*$D22+3*AQ$9*$C22^2+6*AR$9*$C22*$D22+6*AS$9*$D22^2</f>
        <v>1.5410689167217626E-14</v>
      </c>
      <c r="AI22" s="20">
        <f>AI$9+AM$9*$C22+4*AN$9*$D22+AR$9*$C22^2+4*AS$9*$C22*$D22+10*AT$9*$D22^2</f>
        <v>-4.5389483939897799E-14</v>
      </c>
      <c r="AJ22" s="20">
        <f>AJ$9+5*AO$9*$C22+AP$9*$D22</f>
        <v>-3.4217537946596399E-18</v>
      </c>
      <c r="AK22" s="20">
        <f>AK$9+4*AP$9*$C22+2*AQ$9*$D22</f>
        <v>-6.513302974712965E-18</v>
      </c>
      <c r="AL22" s="20">
        <f>AL$9+3*AQ$9*$C22+3*AR$9*$D22</f>
        <v>-7.3815304197163439E-18</v>
      </c>
      <c r="AM22" s="20">
        <f>AM$9+2*AR$9*$C22+4*AS$9*$D22</f>
        <v>-2.3421571538568571E-18</v>
      </c>
      <c r="AN22" s="20">
        <f>AN$9+AS$9*$C22+5*AT$9*$D22</f>
        <v>-1.6572400449659553E-17</v>
      </c>
      <c r="AO22" s="20">
        <f t="shared" ref="AO22:AT22" si="8">AO$9</f>
        <v>2.8354566386199998E-22</v>
      </c>
      <c r="AP22" s="20">
        <f t="shared" si="8"/>
        <v>1.41115330397E-21</v>
      </c>
      <c r="AQ22" s="20">
        <f t="shared" si="8"/>
        <v>-3.7772581494399997E-23</v>
      </c>
      <c r="AR22" s="20">
        <f t="shared" si="8"/>
        <v>9.5467436388700002E-22</v>
      </c>
      <c r="AS22" s="20">
        <f t="shared" si="8"/>
        <v>1.14278133866E-21</v>
      </c>
      <c r="AT22" s="20">
        <f t="shared" si="8"/>
        <v>-6.1158238038100001E-21</v>
      </c>
    </row>
    <row r="23" spans="1:46" x14ac:dyDescent="0.2">
      <c r="A23" s="10" t="str">
        <f>SIAF!B6</f>
        <v>NRS2_FULL</v>
      </c>
      <c r="B23" s="2">
        <v>2</v>
      </c>
      <c r="C23">
        <v>0</v>
      </c>
      <c r="D23">
        <v>0</v>
      </c>
      <c r="E23" s="24">
        <f>E$10+F$10*C23+G$10*D23+H$10*C23^2+I$10*C23*D23+J$10*D23^2+K$10*C23^3+L$10*C23^2*D23+M$10*C23*D23^2+N$10*D23^3+O$10*C23^4+P$10*C23^3*D23+Q$10*C23^2*D23^2+R$10*C23*D23^3+S$10*D23^4+T$10*C23^5+U$10*C23^4*D23+V$10*C23^3*D23^2+W$10*C23^2*D23^3+X$10*C23*D23^4+Y$10*D23^5</f>
        <v>7.1661131709140777E-2</v>
      </c>
      <c r="F23" s="20">
        <f>F$10+2*H$10*$C23+I$10*$D23+3*K$10*$C23^2+2*L$10*$C23*$D23+M$10*$D23^2+4*O$10*$C23^3+3*P$10*$C23^2*$D23+2*Q$10*$C23*$D23^2+R$10*$D23^3+5*T$10*$C23^4+4*U$10*$C23^3*$D23+3*V$10*$C23^2*$D23^2+2*W$10*$C23*$D23^3+X$10*$D23^4</f>
        <v>6.3729288253466085E-5</v>
      </c>
      <c r="G23" s="20">
        <f>G$10+I$10*$C23+2*J$10*$D23+L$10*$C23^2+2*M$10*$C23*$D23+3*N$10*$D23^2+P$10*$C23^3+2*Q$10*$C23^2*$D23+3*R$10*$C23*$D23^2+4*S$10*$D23^3+U$10*$C23^4+2*V$10*$C23^3*$D23+3*W$10*$C23^2*$D23^2+4*X$10*$C23*$D23^3+5*Y$10*$D23^4</f>
        <v>1.6015628857349593E-6</v>
      </c>
      <c r="H23" s="20">
        <f>H$10+3*K$10*$C23+L$10*$D23+6*O$10*$C23^2+3*P$10*$C23*$D23+Q$10*$D23^2+10*T$10*$C23^3+6*U$10*$C23^2*$D23+3*V$10*$C23*$D23^2++W$10*$D23^3</f>
        <v>3.0544064881262559E-10</v>
      </c>
      <c r="I23" s="20">
        <f>I$10+2*L$10*$C23+2*M$10*$D23+3*P$10*$C23^2+4*Q$10*$C23*$D23+3*R$10*$D23^2+4*U$10*$C23^3+6*V$10*$C23^2*$D23+6*W$10*$C23*$D23^2+4*X$10*$D23^3</f>
        <v>9.5937335467828663E-10</v>
      </c>
      <c r="J23" s="20">
        <f>J$10+M$10*$C23+3*N$10*$D23+Q$10*$C23^2+3*R$10*$C23*$D23+6*S$10*$D23^2+V$10*$C23^3+3*W$10*$C23^2*$D23+6*X$10*$C23*$D23^2+10*Y$10*$D23^3</f>
        <v>8.8755938710983107E-11</v>
      </c>
      <c r="K23" s="20">
        <f>K$10+4*O$10*$C23+P$10*$D23+10*T$10*$C23^2+4*U$10*$C23*$D23+V$10*$D23^2</f>
        <v>8.0562249717482794E-14</v>
      </c>
      <c r="L23" s="20">
        <f>L$10+3*P$10*$C23+2*Q$10*$D23+6*U$10*$C23^2+6*V$10*$C23*$D23+3*W$10*$D23^2</f>
        <v>-3.3944298692417369E-15</v>
      </c>
      <c r="M23" s="20">
        <f>M$10+2*Q$10*$C23+3*R$10*$D23+3*V$10*$C23^2+6*W$10*$C23*$D23+6*X$10*$D23^2</f>
        <v>8.9664728228246667E-14</v>
      </c>
      <c r="N23" s="20">
        <f>N$10+R$10*$C23+4*S$10*$D23+W$10*$C23^2+4*X$10*$C23*$D23+10*Y$10*$D23^2</f>
        <v>-2.7296895113351728E-15</v>
      </c>
      <c r="O23" s="20">
        <f>O$10+5*T$10*$C23+U$10*$D23</f>
        <v>-7.6429894322595925E-18</v>
      </c>
      <c r="P23" s="20">
        <f>P$10+4*U$10*$C23+2*V$10*$D23</f>
        <v>-2.0886522654872987E-18</v>
      </c>
      <c r="Q23" s="20">
        <f>Q$10+3*V$10*$C23+3*W$10*$D23</f>
        <v>-1.2943605330057468E-18</v>
      </c>
      <c r="R23" s="20">
        <f>R$10+2*W$10*$C23+4*X$10*$D23</f>
        <v>-1.9432240642716415E-18</v>
      </c>
      <c r="S23" s="20">
        <f>S$10+X$10*$C23+5*Y$10*$D23</f>
        <v>-7.9749501450098161E-18</v>
      </c>
      <c r="T23" s="20">
        <f t="shared" ref="T23:Y23" si="9">T$10</f>
        <v>-1.42314887815E-21</v>
      </c>
      <c r="U23" s="20">
        <f t="shared" si="9"/>
        <v>2.9926833411100002E-24</v>
      </c>
      <c r="V23" s="20">
        <f t="shared" si="9"/>
        <v>-2.0061973193000001E-22</v>
      </c>
      <c r="W23" s="20">
        <f t="shared" si="9"/>
        <v>-5.0972826795099996E-22</v>
      </c>
      <c r="X23" s="20">
        <f t="shared" si="9"/>
        <v>1.8608487238E-22</v>
      </c>
      <c r="Y23" s="20">
        <f t="shared" si="9"/>
        <v>7.7132330429800004E-22</v>
      </c>
      <c r="Z23" s="132">
        <f>Z$10+AA$10*C23+AB$10*D23+AC$10*C23^2+AD$10*C23*D23+AE$10*D23^2+AF$10*C23^3+AG$10*C23^2*D23+AH$10*C23*D23^2+AI$10*D23^3+AJ$10*C23^4+AK$10*C23^3*D23+AL$10*C23^2*D23^2+AM$10*C23*D23^3+AN$10*D23^4+AO$10*C23^5+AP$10*C23^4*D23+AQ$10*C23^3*D23^2+AR$10*C23^2*D23^3+AS$10*C23*D23^4+AT$10*D23^5</f>
        <v>0.29391666561953933</v>
      </c>
      <c r="AA23" s="20">
        <f>AA$10+2*AC$10*$C23+AD$10*$D23+3*AF$10*$C23^2+2*AG$10*$C23*$D23+AH$10*$D23^2+4*AJ$10*$C23^3+3*AK$10*$C23^2*$D23+2*AL$10*$C23*$D23^2+AM$10*$D23^3+5*AO$10*$C23^4+4*AP$10*$C23^3*$D23+3*AQ$10*$C23^2*$D23^2+2*AR$10*$C23*$D23^3+AS$10*$D23^4</f>
        <v>2.3625584795110513E-7</v>
      </c>
      <c r="AB23" s="20">
        <f>AB$10+AD$10*$C23+2*AE$10*$D23+AG$10*$C23^2+2*AH$10*$C23*$D23+3*AI$10*$D23^2+AK$10*$C23^3+2*AL$10*$C23^2*$D23+3*AM$10*$C23*$D23^2+4*AN$10*$D23^3+AP$10*$C23^4+2*AQ$10*$C23^3*$D23+3*AR$10*$C23^2*$D23^2+4*AS$10*$C23*$D23^3+5*AT$10*$D23^4</f>
        <v>6.6814599733056959E-5</v>
      </c>
      <c r="AC23" s="20">
        <f>AC$10+3*AF$10*$C23+AG$10*$D23+6*AJ$10*$C23^2+3*AK$10*$C23*$D23+AL$10*$D23^2+10*AO$10*$C23^3+6*AP$10*$C23^2*$D23+3*AQ$10*$C23*$D23^2++AR$10*$D23^3</f>
        <v>3.1690191607675327E-10</v>
      </c>
      <c r="AD23" s="20">
        <f>AD$10+2*AG$10*$C23+2*AH$10*$D23+3*AK$10*$C23^2+4*AL$10*$C23*$D23+3*AM$10*$D23^2+4*AP$10*$C23^3+6*AQ$10*$C23^2*$D23+6*AR$10*$C23*$D23^2+4*AS$10*$D23^3</f>
        <v>1.6332938500056853E-10</v>
      </c>
      <c r="AE23" s="20">
        <f>AE$10+AH$10*$C23+3*AI$10*$D23+AL$10*$C23^2+3*AM$10*$C23*$D23+6*AN$10*$D23^2+AQ$10*$C23^3+3*AR$10*$C23^2*$D23+6*AS$10*$C23*$D23^2+10*AT$10*$D23^3</f>
        <v>1.2888686678228308E-9</v>
      </c>
      <c r="AF23" s="20">
        <f>AF$10+4*AJ$10*$C23+AK$10*$D23+10*AO$10*$C23^2+4*AP$10*$C23*$D23+AQ$10*$D23^2</f>
        <v>-1.0820479534470368E-14</v>
      </c>
      <c r="AG23" s="20">
        <f>AG$10+3*AK$10*$C23+2*AL$10*$D23+6*AP$10*$C23^2+6*AQ$10*$C23*$D23+3*AR$10*$D23^2</f>
        <v>6.9703499119525671E-14</v>
      </c>
      <c r="AH23" s="20">
        <f>AH$10+2*AL$10*$C23+3*AM$10*$D23+3*AQ$10*$C23^2+6*AR$10*$C23*$D23+6*AS$10*$D23^2</f>
        <v>-1.5410689167217626E-14</v>
      </c>
      <c r="AI23" s="20">
        <f>AI$10+AM$10*$C23+4*AN$10*$D23+AR$10*$C23^2+4*AS$10*$C23*$D23+10*AT$10*$D23^2</f>
        <v>4.5389483939897799E-14</v>
      </c>
      <c r="AJ23" s="20">
        <f>AJ$10+5*AO$10*$C23+AP$10*$D23</f>
        <v>-3.4217537946596399E-18</v>
      </c>
      <c r="AK23" s="20">
        <f>AK$10+4*AP$10*$C23+2*AQ$10*$D23</f>
        <v>-6.513302974712965E-18</v>
      </c>
      <c r="AL23" s="20">
        <f>AL$10+3*AQ$10*$C23+3*AR$10*$D23</f>
        <v>-7.3815304197163439E-18</v>
      </c>
      <c r="AM23" s="20">
        <f>AM$10+2*AR$10*$C23+4*AS$10*$D23</f>
        <v>-2.3421571538568571E-18</v>
      </c>
      <c r="AN23" s="20">
        <f>AN$10+AS$10*$C23+5*AT$10*$D23</f>
        <v>-1.6572400449659553E-17</v>
      </c>
      <c r="AO23" s="20">
        <f t="shared" ref="AO23:AT23" si="10">AO$10</f>
        <v>-2.8354566386199998E-22</v>
      </c>
      <c r="AP23" s="20">
        <f t="shared" si="10"/>
        <v>-1.41115330397E-21</v>
      </c>
      <c r="AQ23" s="20">
        <f t="shared" si="10"/>
        <v>3.7772581494399997E-23</v>
      </c>
      <c r="AR23" s="20">
        <f t="shared" si="10"/>
        <v>-9.5467436388700002E-22</v>
      </c>
      <c r="AS23" s="20">
        <f t="shared" si="10"/>
        <v>-1.14278133866E-21</v>
      </c>
      <c r="AT23" s="20">
        <f t="shared" si="10"/>
        <v>6.1158238038100001E-21</v>
      </c>
    </row>
    <row r="24" spans="1:46" x14ac:dyDescent="0.2">
      <c r="A24" s="10" t="str">
        <f>SIAF!B55</f>
        <v>NRS1_FP1MIMF</v>
      </c>
      <c r="B24" s="2">
        <v>1</v>
      </c>
      <c r="E24" s="24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132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</row>
    <row r="25" spans="1:46" x14ac:dyDescent="0.2">
      <c r="A25" s="10" t="str">
        <f>SIAF!B56</f>
        <v>NRS1_FP2MIMF</v>
      </c>
      <c r="B25" s="2">
        <v>1</v>
      </c>
      <c r="C25">
        <f>SIAF!L56-SIAF!L$4</f>
        <v>109.5</v>
      </c>
      <c r="D25">
        <f>SIAF!M56-SIAF!M$4</f>
        <v>-839.5</v>
      </c>
      <c r="E25" s="24">
        <f>E$8+F$8*C25+G$8*D25+H$8*C25^2+I$8*C25*D25+J$8*D25^2+K$8*C25^3+L$8*C25^2*D25+M$8*C25*D25^2+N$8*D25^3+O$8*C25^4+P$8*C25^3*D25+Q$8*C25^2*D25^2+R$8*C25*D25^3+S$8*D25^4+T$8*C25^5+U$8*C25^4*D25+V$8*C25^3*D25^2+W$8*C25^2*D25^3+X$8*C25*D25^4+Y$8*D25^5</f>
        <v>-6.0432996197747044E-2</v>
      </c>
      <c r="F25" s="20">
        <f>F$8+2*H$8*$C25+I$8*$D25+3*K$8*$C25^2+2*L$8*$C25*$D25+M$8*$D25^2+4*O$8*$C25^3+3*P$8*$C25^2*$D25+2*Q$8*$C25*$D25^2+R$8*$D25^3+5*T$8*$C25^4+4*U$8*$C25^3*$D25+3*V$8*$C25^2*$D25^2+2*W$8*$C25*$D25^3+X$8*$D25^4</f>
        <v>6.2919633238118055E-5</v>
      </c>
      <c r="G25" s="20">
        <f>G$8+I$8*$C25+2*J$8*$D25+$L$8*$C25^2+2*M$8*$C25*$D25+3*N$8*$D25^2+P$8*$C25^3+2*Q$8*$C25^2*$D25+3*R$8*$C25*$D25^2+4*S$8*$D25^3+U$8*$C25^4+2*V$8*$C25^3*$D25+3*W$8*$C25^2*$D25^2+4*X$8*$C25*$D25^3+5*Y$8*$D25^4</f>
        <v>-2.0228935996909074E-7</v>
      </c>
      <c r="H25" s="20">
        <f>H$8+3*K$8*$C25+L$8*$D25+6*O$8*$C25^2+3*P$8*$C25*$D25+Q$8*$D25^2+10*T$8*$C25^3+6*U$8*$C25^2*$D25+3*V$8*$C25*$D25^2++W$8*$D25^3</f>
        <v>-2.7669058239991809E-10</v>
      </c>
      <c r="I25" s="20">
        <f>I$8+2*L$8*$C25+2*M$8*$D25+3*P$8*$C25^2+4*Q$8*$C25*$D25+3*R$8*$D25^2+4*U$8*$C25^3+6*V$8*$C25^2*$D25+6*W$8*$C25*$D25^2+4*X$8*$D25^3</f>
        <v>7.9092470185744135E-10</v>
      </c>
      <c r="J25" s="20">
        <f>J$8+M$8*$C25+3*N$8*$D25+Q$8*$C25^2+3*R$8*$C25*$D25+6*S$8*$D25^2+V$8*$C25^3+3*W$8*$C25^2*$D25+6*X$8*$C25*$D25^2+10*Y$8*$D25^3</f>
        <v>-1.3963393900474907E-10</v>
      </c>
      <c r="K25" s="20">
        <f>K$8+4*O$8*$C25+P$8*$D25+10*T$8*$C25^2+4*U$8*$C25*$D25+V$8*$D25^2</f>
        <v>8.4077713203888076E-14</v>
      </c>
      <c r="L25" s="20">
        <f>L$8+3*P$8*$C25+2*Q$8*$D25+6*U$8*$C25^2+6*V$8*$C25*$D25+3*W$8*$D25^2</f>
        <v>8.7365054771670984E-15</v>
      </c>
      <c r="M25" s="20">
        <f>M$8+2*Q$8*$C25+3*R$8*$D25+3*V$8*$C25^2+6*W$8*$C25*$D25+6*X$8*$D25^2</f>
        <v>9.2772793342717289E-14</v>
      </c>
      <c r="N25" s="20">
        <f>N$8+R$8*$C25+4*S$8*$D25+W$8*$C25^2+4*X$8*$C25*$D25+10*Y$8*$D25^2</f>
        <v>3.2622178951095442E-14</v>
      </c>
      <c r="O25" s="20">
        <f>O$8+5*T$8*$C25+U$8*$D25</f>
        <v>7.188945643738631E-18</v>
      </c>
      <c r="P25" s="20">
        <f>P$8+4*U$8*$C25+2*V$8*$D25</f>
        <v>-1.7764077182084272E-18</v>
      </c>
      <c r="Q25" s="20">
        <f>Q$8+3*V$8*$C25+3*W$8*$D25</f>
        <v>1.2439183996516905E-18</v>
      </c>
      <c r="R25" s="20">
        <f>R$8+2*W$8*$C25+4*X$8*$D25</f>
        <v>-4.4201224624386406E-19</v>
      </c>
      <c r="S25" s="20">
        <f>S$8+X$8*$C25+5*Y$8*$D25</f>
        <v>-1.1600204666324752E-17</v>
      </c>
      <c r="T25" s="20">
        <f t="shared" ref="T25:Y26" si="11">T$8</f>
        <v>-1.42314919585E-21</v>
      </c>
      <c r="U25" s="20">
        <f t="shared" si="11"/>
        <v>2.8922346385499998E-24</v>
      </c>
      <c r="V25" s="20">
        <f t="shared" si="11"/>
        <v>-2.00596589997E-22</v>
      </c>
      <c r="W25" s="20">
        <f t="shared" si="11"/>
        <v>-5.0974818767300004E-22</v>
      </c>
      <c r="X25" s="20">
        <f t="shared" si="11"/>
        <v>1.86011972425E-22</v>
      </c>
      <c r="Y25" s="20">
        <f t="shared" si="11"/>
        <v>7.7132625107599997E-22</v>
      </c>
      <c r="Z25" s="132">
        <f>Z$8+AA$8*C25+AB$8*D25+AC$8*C25^2+AD$8*C25*D25+AE$8*D25^2+AF$8*C25^3+AG$8*C25^2*D25+AH$8*C25*D25^2+AI$8*D25^3+AJ$8*C25^4+AK$8*C25^3*D25+AL$8*C25^2*D25^2+AM$8*C25*D25^3+AN$8*D25^4+AO$8*C25^5+AP$8*C25^4*D25+AQ$8*C25^3*D25^2+AR$8*C25^2*D25^3+AS$8*C25*D25^4+AT$8*D25^5</f>
        <v>0.23963611779825961</v>
      </c>
      <c r="AA25" s="20">
        <f>AA$8+2*AC$8*$C25+AD$8*$D25+3*AF$8*$C25^2+2*AG$8*$C25*$D25+AH$8*$D25^2+4*AJ$8*$C25^3+3*AK$8*$C25^2*$D25+2*AL$8*$C25*$D25^2+AM$8*$D25^3+5*AO$8*$C25^4+4*AP$8*$C25^3*$D25+3*AQ$8*$C25^2*$D25^2+2*AR$8*$C25*$D25^3+AS$8*$D25^4</f>
        <v>-9.8502363044506378E-7</v>
      </c>
      <c r="AB25" s="20">
        <f>AB$8+AD$8*$C25+2*AE$8*$D25+$L$8*$C25^2+2*AH$8*$C25*$D25+3*AI$8*$D25^2+AK$8*$C25^3+2*AL$8*$C25^2*$D25+3*AM$8*$C25*$D25^2+4*AN$8*$D25^3+AP$8*$C25^4+2*AQ$8*$C25^3*$D25+3*AR$8*$C25^2*$D25^2+4*AS$8*$C25*$D25^3+5*AT$8*$D25^4</f>
        <v>6.4791600927062014E-5</v>
      </c>
      <c r="AC25" s="20">
        <f>AC$8+3*AF$8*$C25+AG$8*$D25+6*AJ$8*$C25^2+3*AK$8*$C25*$D25+AL$8*$D25^2+10*AO$8*$C25^3+6*AP$8*$C25^2*$D25+3*AQ$8*$C25*$D25^2++AR$8*$D25^3</f>
        <v>2.5442240456219083E-10</v>
      </c>
      <c r="AD25" s="20">
        <f>AD$8+2*AG$8*$C25+2*AH$8*$D25+3*AK$8*$C25^2+4*AL$8*$C25*$D25+3*AM$8*$D25^2+4*AP$8*$C25^3+6*AQ$8*$C25^2*$D25+6*AR$8*$C25*$D25^2+4*AS$8*$D25^3</f>
        <v>-1.8155853766194489E-10</v>
      </c>
      <c r="AE25" s="20">
        <f>AE$8+AH$8*$C25+3*AI$8*$D25+AL$8*$C25^2+3*AM$8*$C25*$D25+6*AN$8*$D25^2+AQ$8*$C25^3+3*AR$8*$C25^2*$D25+6*AS$8*$C25*$D25^2+10*AT$8*$D25^3</f>
        <v>1.076255461399437E-9</v>
      </c>
      <c r="AF25" s="20">
        <f>AF$8+4*AJ$8*$C25+AK$8*$D25+10*AO$8*$C25^2+4*AP$8*$C25*$D25+AQ$8*$D25^2</f>
        <v>1.0049546245205312E-15</v>
      </c>
      <c r="AG25" s="20">
        <f>AG$8+3*AK$8*$C25+2*AL$8*$D25+6*AP$8*$C25^2+6*AQ$8*$C25*$D25+3*AR$8*$D25^2</f>
        <v>8.4411576974486879E-14</v>
      </c>
      <c r="AH25" s="20">
        <f>AH$8+2*AL$8*$C25+3*AM$8*$D25+3*AQ$8*$C25^2+6*AR$8*$C25*$D25+6*AS$8*$D25^2</f>
        <v>6.8981379326677612E-15</v>
      </c>
      <c r="AI25" s="20">
        <f>AI$8+AM$8*$C25+4*AN$8*$D25+AR$8*$C25^2+4*AS$8*$C25*$D25+10*AT$8*$D25^2</f>
        <v>1.3686198198790177E-13</v>
      </c>
      <c r="AJ25" s="20">
        <f>AJ$8+5*AO$8*$C25+AP$8*$D25</f>
        <v>7.1830109954295977E-19</v>
      </c>
      <c r="AK25" s="20">
        <f>AK$8+4*AP$8*$C25+2*AQ$8*$D25</f>
        <v>5.1909913301313425E-18</v>
      </c>
      <c r="AL25" s="20">
        <f>AL$8+3*AQ$8*$C25+3*AR$8*$D25</f>
        <v>-5.2136707589044665E-18</v>
      </c>
      <c r="AM25" s="20">
        <f>AM$8+2*AR$8*$C25+4*AS$8*$D25</f>
        <v>5.4776311609014485E-18</v>
      </c>
      <c r="AN25" s="20">
        <f>AN$8+AS$8*$C25+5*AT$8*$D25</f>
        <v>-3.9858565351503608E-17</v>
      </c>
      <c r="AO25" s="20">
        <f t="shared" ref="AO25:AT26" si="12">AO$8</f>
        <v>-2.8352454995700001E-22</v>
      </c>
      <c r="AP25" s="20">
        <f t="shared" si="12"/>
        <v>-1.4111760654100001E-21</v>
      </c>
      <c r="AQ25" s="20">
        <f t="shared" si="12"/>
        <v>3.77306479219E-23</v>
      </c>
      <c r="AR25" s="20">
        <f t="shared" si="12"/>
        <v>-9.5460421541399995E-22</v>
      </c>
      <c r="AS25" s="20">
        <f t="shared" si="12"/>
        <v>-1.1432672115400001E-21</v>
      </c>
      <c r="AT25" s="20">
        <f t="shared" si="12"/>
        <v>6.1158069806300002E-21</v>
      </c>
    </row>
    <row r="26" spans="1:46" x14ac:dyDescent="0.2">
      <c r="A26" s="10" t="str">
        <f>SIAF!B57</f>
        <v>NRS1_FP3MIMF</v>
      </c>
      <c r="B26" s="2">
        <v>1</v>
      </c>
      <c r="C26">
        <f>SIAF!L57-SIAF!L$4</f>
        <v>200.5</v>
      </c>
      <c r="D26">
        <f>SIAF!M57-SIAF!M$4</f>
        <v>942.5</v>
      </c>
      <c r="E26" s="24">
        <f>E$8+F$8*C26+G$8*D26+H$8*C26^2+I$8*C26*D26+J$8*D26^2+K$8*C26^3+L$8*C26^2*D26+M$8*C26*D26^2+N$8*D26^3+O$8*C26^4+P$8*C26^3*D26+Q$8*C26^2*D26^2+R$8*C26*D26^3+S$8*D26^4+T$8*C26^5+U$8*C26^4*D26+V$8*C26^3*D26^2+W$8*C26^2*D26^3+X$8*C26*D26^4+Y$8*D26^5</f>
        <v>-5.5276796506676537E-2</v>
      </c>
      <c r="F26" s="20">
        <f>F$8+2*H$8*$C26+I$8*$D26+3*K$8*$C26^2+2*L$8*$C26*$D26+M$8*$D26^2+4*O$8*$C26^3+3*P$8*$C26^2*$D26+2*Q$8*$C26*$D26^2+R$8*$D26^3+5*T$8*$C26^4+4*U$8*$C26^3*$D26+3*V$8*$C26^2*$D26^2+2*W$8*$C26*$D26^3+X$8*$D26^4</f>
        <v>6.4577722945934117E-5</v>
      </c>
      <c r="G26" s="20">
        <f>G$8+I$8*$C26+2*J$8*$D26+$L$8*$C26^2+2*M$8*$C26*$D26+3*N$8*$D26^2+P$8*$C26^3+2*Q$8*$C26^2*$D26+3*R$8*$C26*$D26^2+4*S$8*$D26^3+U$8*$C26^4+2*V$8*$C26^3*$D26+3*W$8*$C26^2*$D26^2+4*X$8*$C26*$D26^3+5*Y$8*$D26^4</f>
        <v>-5.1071977620393471E-7</v>
      </c>
      <c r="H26" s="20">
        <f>H$8+3*K$8*$C26+L$8*$D26+6*O$8*$C26^2+3*P$8*$C26*$D26+Q$8*$D26^2+10*T$8*$C26^3+6*U$8*$C26^2*$D26+3*V$8*$C26*$D26^2++W$8*$D26^3</f>
        <v>-2.3779475266982885E-10</v>
      </c>
      <c r="I26" s="20">
        <f>I$8+2*L$8*$C26+2*M$8*$D26+3*P$8*$C26^2+4*Q$8*$C26*$D26+3*R$8*$D26^2+4*U$8*$C26^3+6*V$8*$C26^2*$D26+6*W$8*$C26*$D26^2+4*X$8*$D26^3</f>
        <v>1.1230176878385417E-9</v>
      </c>
      <c r="J26" s="20">
        <f>J$8+M$8*$C26+3*N$8*$D26+Q$8*$C26^2+3*R$8*$C26*$D26+6*S$8*$D26^2+V$8*$C26^3+3*W$8*$C26^2*$D26+6*X$8*$C26*$D26^2+10*Y$8*$D26^3</f>
        <v>-1.3407106681978765E-10</v>
      </c>
      <c r="K26" s="20">
        <f>K$8+4*O$8*$C26+P$8*$D26+10*T$8*$C26^2+4*U$8*$C26*$D26+V$8*$D26^2</f>
        <v>8.277595663581338E-14</v>
      </c>
      <c r="L26" s="20">
        <f>L$8+3*P$8*$C26+2*Q$8*$D26+6*U$8*$C26^2+6*V$8*$C26*$D26+3*W$8*$D26^2</f>
        <v>7.633687372926166E-15</v>
      </c>
      <c r="M26" s="20">
        <f>M$8+2*Q$8*$C26+3*R$8*$D26+3*V$8*$C26^2+6*W$8*$C26*$D26+6*X$8*$D26^2</f>
        <v>9.3679347784629893E-14</v>
      </c>
      <c r="N26" s="20">
        <f>N$8+R$8*$C26+4*S$8*$D26+W$8*$C26^2+4*X$8*$C26*$D26+10*Y$8*$D26^2</f>
        <v>-2.5494217734509536E-14</v>
      </c>
      <c r="O26" s="20">
        <f>O$8+5*T$8*$C26+U$8*$D26</f>
        <v>6.5465667217527783E-18</v>
      </c>
      <c r="P26" s="20">
        <f>P$8+4*U$8*$C26+2*V$8*$D26</f>
        <v>-2.4902811915493031E-18</v>
      </c>
      <c r="Q26" s="20">
        <f>Q$8+3*V$8*$C26+3*W$8*$D26</f>
        <v>-1.5359582807173486E-18</v>
      </c>
      <c r="R26" s="20">
        <f>R$8+2*W$8*$C26+4*X$8*$D26</f>
        <v>7.9110692304504986E-19</v>
      </c>
      <c r="S26" s="20">
        <f>S$8+X$8*$C26+5*Y$8*$D26</f>
        <v>-4.7107606797469181E-18</v>
      </c>
      <c r="T26" s="20">
        <f t="shared" si="11"/>
        <v>-1.42314919585E-21</v>
      </c>
      <c r="U26" s="20">
        <f t="shared" si="11"/>
        <v>2.8922346385499998E-24</v>
      </c>
      <c r="V26" s="20">
        <f t="shared" si="11"/>
        <v>-2.00596589997E-22</v>
      </c>
      <c r="W26" s="20">
        <f t="shared" si="11"/>
        <v>-5.0974818767300004E-22</v>
      </c>
      <c r="X26" s="20">
        <f t="shared" si="11"/>
        <v>1.86011972425E-22</v>
      </c>
      <c r="Y26" s="20">
        <f t="shared" si="11"/>
        <v>7.7132625107599997E-22</v>
      </c>
      <c r="Z26" s="132">
        <f>Z$8+AA$8*C26+AB$8*D26+AC$8*C26^2+AD$8*C26*D26+AE$8*D26^2+AF$8*C26^3+AG$8*C26^2*D26+AH$8*C26*D26^2+AI$8*D26^3+AJ$8*C26^4+AK$8*C26^3*D26+AL$8*C26^2*D26^2+AM$8*C26*D26^3+AN$8*D26^4+AO$8*C26^5+AP$8*C26^4*D26+AQ$8*C26^3*D26^2+AR$8*C26^2*D26^3+AS$8*C26*D26^4+AT$8*D26^5</f>
        <v>0.35888404036969623</v>
      </c>
      <c r="AA26" s="20">
        <f>AA$8+2*AC$8*$C26+AD$8*$D26+3*AF$8*$C26^2+2*AG$8*$C26*$D26+AH$8*$D26^2+4*AJ$8*$C26^3+3*AK$8*$C26^2*$D26+2*AL$8*$C26*$D26^2+AM$8*$D26^3+5*AO$8*$C26^4+4*AP$8*$C26^3*$D26+3*AQ$8*$C26^2*$D26^2+2*AR$8*$C26*$D26^3+AS$8*$D26^4</f>
        <v>-1.1972502118031286E-6</v>
      </c>
      <c r="AB26" s="20">
        <f>AB$8+AD$8*$C26+2*AE$8*$D26+$L$8*$C26^2+2*AH$8*$C26*$D26+3*AI$8*$D26^2+AK$8*$C26^3+2*AL$8*$C26^2*$D26+3*AM$8*$C26*$D26^2+4*AN$8*$D26^3+AP$8*$C26^4+2*AQ$8*$C26^3*$D26+3*AR$8*$C26^2*$D26^2+4*AS$8*$C26*$D26^3+5*AT$8*$D26^4</f>
        <v>6.9324206102388454E-5</v>
      </c>
      <c r="AC26" s="20">
        <f>AC$8+3*AF$8*$C26+AG$8*$D26+6*AJ$8*$C26^2+3*AK$8*$C26*$D26+AL$8*$D26^2+10*AO$8*$C26^3+6*AP$8*$C26^2*$D26+3*AQ$8*$C26*$D26^2++AR$8*$D26^3</f>
        <v>3.85626812652162E-10</v>
      </c>
      <c r="AD26" s="20">
        <f>AD$8+2*AG$8*$C26+2*AH$8*$D26+3*AK$8*$C26^2+4*AL$8*$C26*$D26+3*AM$8*$D26^2+4*AP$8*$C26^3+6*AQ$8*$C26^2*$D26+6*AR$8*$C26*$D26^2+4*AS$8*$D26^3</f>
        <v>-1.2021454473672255E-10</v>
      </c>
      <c r="AE26" s="20">
        <f>AE$8+AH$8*$C26+3*AI$8*$D26+AL$8*$C26^2+3*AM$8*$C26*$D26+6*AN$8*$D26^2+AQ$8*$C26^3+3*AR$8*$C26^2*$D26+6*AS$8*$C26*$D26^2+10*AT$8*$D26^3</f>
        <v>1.3957938014709903E-9</v>
      </c>
      <c r="AF26" s="20">
        <f>AF$8+4*AJ$8*$C26+AK$8*$D26+10*AO$8*$C26^2+4*AP$8*$C26*$D26+AQ$8*$D26^2</f>
        <v>9.6977421526017596E-15</v>
      </c>
      <c r="AG26" s="20">
        <f>AG$8+3*AK$8*$C26+2*AL$8*$D26+6*AP$8*$C26^2+6*AQ$8*$C26*$D26+3*AR$8*$D26^2</f>
        <v>5.8119684403216157E-14</v>
      </c>
      <c r="AH26" s="20">
        <f>AH$8+2*AL$8*$C26+3*AM$8*$D26+3*AQ$8*$C26^2+6*AR$8*$C26*$D26+6*AS$8*$D26^2</f>
        <v>1.2521965398582741E-14</v>
      </c>
      <c r="AI26" s="20">
        <f>AI$8+AM$8*$C26+4*AN$8*$D26+AR$8*$C26^2+4*AS$8*$C26*$D26+10*AT$8*$D26^2</f>
        <v>4.670802799386824E-14</v>
      </c>
      <c r="AJ26" s="20">
        <f>AJ$8+5*AO$8*$C26+AP$8*$D26</f>
        <v>-1.9254183192480955E-18</v>
      </c>
      <c r="AK26" s="20">
        <f>AK$8+4*AP$8*$C26+2*AQ$8*$D26</f>
        <v>4.8117952715157541E-18</v>
      </c>
      <c r="AL26" s="20">
        <f>AL$8+3*AQ$8*$C26+3*AR$8*$D26</f>
        <v>-1.0306684427625032E-17</v>
      </c>
      <c r="AM26" s="20">
        <f>AM$8+2*AR$8*$C26+4*AS$8*$D26</f>
        <v>-2.8453154901610201E-18</v>
      </c>
      <c r="AN26" s="20">
        <f>AN$8+AS$8*$C26+5*AT$8*$D26</f>
        <v>1.452923752965955E-17</v>
      </c>
      <c r="AO26" s="20">
        <f t="shared" si="12"/>
        <v>-2.8352454995700001E-22</v>
      </c>
      <c r="AP26" s="20">
        <f t="shared" si="12"/>
        <v>-1.4111760654100001E-21</v>
      </c>
      <c r="AQ26" s="20">
        <f t="shared" si="12"/>
        <v>3.77306479219E-23</v>
      </c>
      <c r="AR26" s="20">
        <f t="shared" si="12"/>
        <v>-9.5460421541399995E-22</v>
      </c>
      <c r="AS26" s="20">
        <f t="shared" si="12"/>
        <v>-1.1432672115400001E-21</v>
      </c>
      <c r="AT26" s="20">
        <f t="shared" si="12"/>
        <v>6.1158069806300002E-21</v>
      </c>
    </row>
    <row r="27" spans="1:46" x14ac:dyDescent="0.2">
      <c r="A27" s="10" t="str">
        <f>SIAF!B58</f>
        <v>NRS2_FP4MIMF</v>
      </c>
      <c r="B27" s="2">
        <v>2</v>
      </c>
      <c r="C27">
        <f>SIAF!L58-SIAF!L$6</f>
        <v>-253.5</v>
      </c>
      <c r="D27">
        <f>SIAF!M58-SIAF!M$6</f>
        <v>786.5</v>
      </c>
      <c r="E27" s="24">
        <f>E$10+F$10*C27+G$10*D27+H$10*C27^2+I$10*C27*D27+J$10*D27^2+K$10*C27^3+L$10*C27^2*D27+M$10*C27*D27^2+N$10*D27^3+O$10*C27^4+P$10*C27^3*D27+Q$10*C27^2*D27^2+R$10*C27*D27^3+S$10*D27^4+T$10*C27^5+U$10*C27^4*D27+V$10*C27^3*D27^2+W$10*C27^2*D27^3+X$10*C27*D27^4+Y$10*D27^5</f>
        <v>5.6629100925870673E-2</v>
      </c>
      <c r="F27" s="20">
        <f>F$10+2*H$10*$C27+I$10*$D27+3*K$10*$C27^2+2*L$10*$C27*$D27+M$10*$D27^2+4*O$10*$C27^3+3*P$10*$C27^2*$D27+2*Q$10*$C27*$D27^2+R$10*$D27^3+5*T$10*$C27^4+4*U$10*$C27^3*$D27+3*V$10*$C27^2*$D27^2+2*W$10*$C27*$D27^3+X$10*$D27^4</f>
        <v>6.4401112218598707E-5</v>
      </c>
      <c r="G27" s="20">
        <f>G$10+I$10*$C27+2*J$10*$D27+L$10*$C27^2+2*M$10*$C27*$D27+3*N$10*$D27^2+P$10*$C27^3+2*Q$10*$C27^2*$D27+3*R$10*$C27*$D27^2+4*S$10*$D27^3+U$10*$C27^4+2*V$10*$C27^3*$D27+3*W$10*$C27^2*$D27^2+4*X$10*$C27*$D27^3+5*Y$10*$D27^4</f>
        <v>1.443562668912287E-6</v>
      </c>
      <c r="H27" s="20">
        <f>H$10+3*K$10*$C27+L$10*$D27+6*O$10*$C27^2+3*P$10*$C27*$D27+Q$10*$D27^2+10*T$10*$C27^3+6*U$10*$C27^2*$D27+3*V$10*$C27*$D27^2++W$10*$D27^3</f>
        <v>2.3908416135621797E-10</v>
      </c>
      <c r="I27" s="20">
        <f>I$10+2*L$10*$C27+2*M$10*$D27+3*P$10*$C27^2+4*Q$10*$C27*$D27+3*R$10*$D27^2+4*U$10*$C27^3+6*V$10*$C27^2*$D27+6*W$10*$C27*$D27^2+4*X$10*$D27^3</f>
        <v>1.0999411020638226E-9</v>
      </c>
      <c r="J27" s="20">
        <f>J$10+M$10*$C27+3*N$10*$D27+Q$10*$C27^2+3*R$10*$C27*$D27+6*S$10*$D27^2+V$10*$C27^3+3*W$10*$C27^2*$D27+6*X$10*$C27*$D27^2+10*Y$10*$D27^3</f>
        <v>3.4568882843280298E-11</v>
      </c>
      <c r="K27" s="20">
        <f>K$10+4*O$10*$C27+P$10*$D27+10*T$10*$C27^2+4*U$10*$C27*$D27+V$10*$D27^2</f>
        <v>8.5628482001983593E-14</v>
      </c>
      <c r="L27" s="20">
        <f>L$10+3*P$10*$C27+2*Q$10*$D27+6*U$10*$C27^2+6*V$10*$C27*$D27+3*W$10*$D27^2</f>
        <v>-4.5468169524528192E-15</v>
      </c>
      <c r="M27" s="20">
        <f>M$10+2*Q$10*$C27+3*R$10*$D27+3*V$10*$C27^2+6*W$10*$C27*$D27+6*X$10*$D27^2</f>
        <v>8.6997678658066489E-14</v>
      </c>
      <c r="N27" s="20">
        <f>N$10+R$10*$C27+4*S$10*$D27+W$10*$C27^2+4*X$10*$C27*$D27+10*Y$10*$D27^2</f>
        <v>-2.2736167334786057E-14</v>
      </c>
      <c r="O27" s="20">
        <f>O$10+5*T$10*$C27+U$10*$D27</f>
        <v>-5.8367944837566845E-18</v>
      </c>
      <c r="P27" s="20">
        <f>P$10+4*U$10*$C27+2*V$10*$D27</f>
        <v>-2.4072616847210742E-18</v>
      </c>
      <c r="Q27" s="20">
        <f>Q$10+3*V$10*$C27+3*W$10*$D27</f>
        <v>-2.3444930751033662E-18</v>
      </c>
      <c r="R27" s="20">
        <f>R$10+2*W$10*$C27+4*X$10*$D27</f>
        <v>-1.0993688239130046E-18</v>
      </c>
      <c r="S27" s="20">
        <f>S$10+X$10*$C27+5*Y$10*$D27</f>
        <v>-4.9888937660062613E-18</v>
      </c>
      <c r="T27" s="20">
        <f t="shared" ref="T27:Y28" si="13">T$10</f>
        <v>-1.42314887815E-21</v>
      </c>
      <c r="U27" s="20">
        <f t="shared" si="13"/>
        <v>2.9926833411100002E-24</v>
      </c>
      <c r="V27" s="20">
        <f t="shared" si="13"/>
        <v>-2.0061973193000001E-22</v>
      </c>
      <c r="W27" s="20">
        <f t="shared" si="13"/>
        <v>-5.0972826795099996E-22</v>
      </c>
      <c r="X27" s="20">
        <f t="shared" si="13"/>
        <v>1.8608487238E-22</v>
      </c>
      <c r="Y27" s="20">
        <f t="shared" si="13"/>
        <v>7.7132330429800004E-22</v>
      </c>
      <c r="Z27" s="132">
        <f>Z$10+AA$10*C27+AB$10*D27+AC$10*C27^2+AD$10*C27*D27+AE$10*D27^2+AF$10*C27^3+AG$10*C27^2*D27+AH$10*C27*D27^2+AI$10*D27^3+AJ$10*C27^4+AK$10*C27^3*D27+AL$10*C27^2*D27^2+AM$10*C27*D27^3+AN$10*D27^4+AO$10*C27^5+AP$10*C27^4*D27+AQ$10*C27^3*D27^2+AR$10*C27^2*D27^3+AS$10*C27*D27^4+AT$10*D27^5</f>
        <v>0.34721536809800146</v>
      </c>
      <c r="AA27" s="20">
        <f>AA$10+2*AC$10*$C27+AD$10*$D27+3*AF$10*$C27^2+2*AG$10*$C27*$D27+AH$10*$D27^2+4*AJ$10*$C27^3+3*AK$10*$C27^2*$D27+2*AL$10*$C27*$D27^2+AM$10*$D27^3+5*AO$10*$C27^4+4*AP$10*$C27^3*$D27+3*AQ$10*$C27^2*$D27^2+2*AR$10*$C27*$D27^3+AS$10*$D27^4</f>
        <v>1.6491172292142027E-7</v>
      </c>
      <c r="AB27" s="20">
        <f>AB$10+AD$10*$C27+2*AE$10*$D27+AG$10*$C27^2+2*AH$10*$C27*$D27+3*AI$10*$D27^2+AK$10*$C27^3+2*AL$10*$C27^2*$D27+3*AM$10*$C27*$D27^2+4*AN$10*$D27^3+AP$10*$C27^4+2*AQ$10*$C27^3*$D27+3*AR$10*$C27^2*$D27^2+4*AS$10*$C27*$D27^3+5*AT$10*$D27^4</f>
        <v>6.8875796862160506E-5</v>
      </c>
      <c r="AC27" s="20">
        <f>AC$10+3*AF$10*$C27+AG$10*$D27+6*AJ$10*$C27^2+3*AK$10*$C27*$D27+AL$10*$D27^2+10*AO$10*$C27^3+6*AP$10*$C27^2*$D27+3*AQ$10*$C27*$D27^2++AR$10*$D27^3</f>
        <v>3.7709911554122035E-10</v>
      </c>
      <c r="AD27" s="20">
        <f>AD$10+2*AG$10*$C27+2*AH$10*$D27+3*AK$10*$C27^2+4*AL$10*$C27*$D27+3*AM$10*$D27^2+4*AP$10*$C27^3+6*AQ$10*$C27^2*$D27+6*AR$10*$C27*$D27^2+4*AS$10*$D27^3</f>
        <v>1.0281112527056755E-10</v>
      </c>
      <c r="AE27" s="20">
        <f>AE$10+AH$10*$C27+3*AI$10*$D27+AL$10*$C27^2+3*AM$10*$C27*$D27+6*AN$10*$D27^2+AQ$10*$C27^3+3*AR$10*$C27^2*$D27+6*AS$10*$C27*$D27^2+10*AT$10*$D27^3</f>
        <v>1.3699742049732186E-9</v>
      </c>
      <c r="AF27" s="20">
        <f>AF$10+4*AJ$10*$C27+AK$10*$D27+10*AO$10*$C27^2+4*AP$10*$C27*$D27+AQ$10*$D27^2</f>
        <v>-1.1506971068620864E-14</v>
      </c>
      <c r="AG27" s="20">
        <f>AG$10+3*AK$10*$C27+2*AL$10*$D27+6*AP$10*$C27^2+6*AQ$10*$C27*$D27+3*AR$10*$D27^2</f>
        <v>6.0684795441180913E-14</v>
      </c>
      <c r="AH27" s="20">
        <f>AH$10+2*AL$10*$C27+3*AM$10*$D27+3*AQ$10*$C27^2+6*AR$10*$C27*$D27+6*AS$10*$D27^2</f>
        <v>-2.0286671546152343E-14</v>
      </c>
      <c r="AI27" s="20">
        <f>AI$10+AM$10*$C27+4*AN$10*$D27+AR$10*$C27^2+4*AS$10*$C27*$D27+10*AT$10*$D27^2</f>
        <v>3.2527880620950421E-14</v>
      </c>
      <c r="AJ27" s="20">
        <f>AJ$10+5*AO$10*$C27+AP$10*$D27</f>
        <v>-4.1722317392869603E-18</v>
      </c>
      <c r="AK27" s="20">
        <f>AK$10+4*AP$10*$C27+2*AQ$10*$D27</f>
        <v>-5.0229772537966936E-18</v>
      </c>
      <c r="AL27" s="20">
        <f>AL$10+3*AQ$10*$C27+3*AR$10*$D27</f>
        <v>-9.662810629534211E-18</v>
      </c>
      <c r="AM27" s="20">
        <f>AM$10+2*AR$10*$C27+4*AS$10*$D27</f>
        <v>-5.4533273427905077E-18</v>
      </c>
      <c r="AN27" s="20">
        <f>AN$10+AS$10*$C27+5*AT$10*$D27</f>
        <v>7.7677717281735799E-18</v>
      </c>
      <c r="AO27" s="20">
        <f t="shared" ref="AO27:AT28" si="14">AO$10</f>
        <v>-2.8354566386199998E-22</v>
      </c>
      <c r="AP27" s="20">
        <f t="shared" si="14"/>
        <v>-1.41115330397E-21</v>
      </c>
      <c r="AQ27" s="20">
        <f t="shared" si="14"/>
        <v>3.7772581494399997E-23</v>
      </c>
      <c r="AR27" s="20">
        <f t="shared" si="14"/>
        <v>-9.5467436388700002E-22</v>
      </c>
      <c r="AS27" s="20">
        <f t="shared" si="14"/>
        <v>-1.14278133866E-21</v>
      </c>
      <c r="AT27" s="20">
        <f t="shared" si="14"/>
        <v>6.1158238038100001E-21</v>
      </c>
    </row>
    <row r="28" spans="1:46" x14ac:dyDescent="0.2">
      <c r="A28" s="10" t="str">
        <f>SIAF!B59</f>
        <v>NRS2_FP5MIMF</v>
      </c>
      <c r="B28" s="2">
        <v>2</v>
      </c>
      <c r="C28">
        <f>SIAF!L59-SIAF!L$6</f>
        <v>-224.5</v>
      </c>
      <c r="D28">
        <f>SIAF!M59-SIAF!M$6</f>
        <v>-816.5</v>
      </c>
      <c r="E28" s="24">
        <f>E$10+F$10*C28+G$10*D28+H$10*C28^2+I$10*C28*D28+J$10*D28^2+K$10*C28^3+L$10*C28^2*D28+M$10*C28*D28^2+N$10*D28^3+O$10*C28^4+P$10*C28^3*D28+Q$10*C28^2*D28^2+R$10*C28*D28^3+S$10*D28^4+T$10*C28^5+U$10*C28^4*D28+V$10*C28^3*D28^2+W$10*C28^2*D28^3+X$10*C28*D28^4+Y$10*D28^5</f>
        <v>5.6279800769585435E-2</v>
      </c>
      <c r="F28" s="20">
        <f>F$10+2*H$10*$C28+I$10*$D28+3*K$10*$C28^2+2*L$10*$C28*$D28+M$10*$D28^2+4*O$10*$C28^3+3*P$10*$C28^2*$D28+2*Q$10*$C28*$D28^2+R$10*$D28^3+5*T$10*$C28^4+4*U$10*$C28^3*$D28+3*V$10*$C28^2*$D28^2+2*W$10*$C28*$D28^3+X$10*$D28^4</f>
        <v>6.2881499618420796E-5</v>
      </c>
      <c r="G28" s="20">
        <f>G$10+I$10*$C28+2*J$10*$D28+L$10*$C28^2+2*M$10*$C28*$D28+3*N$10*$D28^2+P$10*$C28^3+2*Q$10*$C28^2*$D28+3*R$10*$C28*$D28^2+4*S$10*$D28^3+U$10*$C28^4+2*V$10*$C28^3*$D28+3*W$10*$C28^2*$D28^2+4*X$10*$C28*$D28^3+5*Y$10*$D28^4</f>
        <v>1.2886033758941804E-6</v>
      </c>
      <c r="H28" s="20">
        <f>H$10+3*K$10*$C28+L$10*$D28+6*O$10*$C28^2+3*P$10*$C28*$D28+Q$10*$D28^2+10*T$10*$C28^3+6*U$10*$C28^2*$D28+3*V$10*$C28*$D28^2++W$10*$D28^3</f>
        <v>2.5015861513444965E-10</v>
      </c>
      <c r="I28" s="20">
        <f>I$10+2*L$10*$C28+2*M$10*$D28+3*P$10*$C28^2+4*Q$10*$C28*$D28+3*R$10*$D28^2+4*U$10*$C28^3+6*V$10*$C28^2*$D28+6*W$10*$C28*$D28^2+4*X$10*$D28^3</f>
        <v>8.0942558624509764E-10</v>
      </c>
      <c r="J28" s="20">
        <f>J$10+M$10*$C28+3*N$10*$D28+Q$10*$C28^2+3*R$10*$C28*$D28+6*S$10*$D28^2+V$10*$C28^3+3*W$10*$C28^2*$D28+6*X$10*$C28*$D28^2+10*Y$10*$D28^3</f>
        <v>3.7978162223326739E-11</v>
      </c>
      <c r="K28" s="20">
        <f>K$10+4*O$10*$C28+P$10*$D28+10*T$10*$C28^2+4*U$10*$C28*$D28+V$10*$D28^2</f>
        <v>8.8282214888183639E-14</v>
      </c>
      <c r="L28" s="20">
        <f>L$10+3*P$10*$C28+2*Q$10*$D28+6*U$10*$C28^2+6*V$10*$C28*$D28+3*W$10*$D28^2</f>
        <v>-1.1132385969365466E-15</v>
      </c>
      <c r="M28" s="20">
        <f>M$10+2*Q$10*$C28+3*R$10*$D28+3*V$10*$C28^2+6*W$10*$C28*$D28+6*X$10*$D28^2</f>
        <v>9.5159223175266897E-14</v>
      </c>
      <c r="N28" s="20">
        <f>N$10+R$10*$C28+4*S$10*$D28+W$10*$C28^2+4*X$10*$C28*$D28+10*Y$10*$D28^2</f>
        <v>2.9005700051968742E-14</v>
      </c>
      <c r="O28" s="20">
        <f>O$10+5*T$10*$C28+U$10*$D28</f>
        <v>-6.0479483424842336E-18</v>
      </c>
      <c r="P28" s="20">
        <f>P$10+4*U$10*$C28+2*V$10*$D28</f>
        <v>-1.7637276728859253E-18</v>
      </c>
      <c r="Q28" s="20">
        <f>Q$10+3*V$10*$C28+3*W$10*$D28</f>
        <v>8.9336248795082568E-20</v>
      </c>
      <c r="R28" s="20">
        <f>R$10+2*W$10*$C28+4*X$10*$D28</f>
        <v>-2.3221092651547224E-18</v>
      </c>
      <c r="S28" s="20">
        <f>S$10+X$10*$C28+5*Y$10*$D28</f>
        <v>-1.116565358865571E-17</v>
      </c>
      <c r="T28" s="20">
        <f t="shared" si="13"/>
        <v>-1.42314887815E-21</v>
      </c>
      <c r="U28" s="20">
        <f t="shared" si="13"/>
        <v>2.9926833411100002E-24</v>
      </c>
      <c r="V28" s="20">
        <f t="shared" si="13"/>
        <v>-2.0061973193000001E-22</v>
      </c>
      <c r="W28" s="20">
        <f t="shared" si="13"/>
        <v>-5.0972826795099996E-22</v>
      </c>
      <c r="X28" s="20">
        <f t="shared" si="13"/>
        <v>1.8608487238E-22</v>
      </c>
      <c r="Y28" s="20">
        <f t="shared" si="13"/>
        <v>7.7132330429800004E-22</v>
      </c>
      <c r="Z28" s="132">
        <f>Z$10+AA$10*C28+AB$10*D28+AC$10*C28^2+AD$10*C28*D28+AE$10*D28^2+AF$10*C28^3+AG$10*C28^2*D28+AH$10*C28*D28^2+AI$10*D28^3+AJ$10*C28^4+AK$10*C28^3*D28+AL$10*C28^2*D28^2+AM$10*C28*D28^3+AN$10*D28^4+AO$10*C28^5+AP$10*C28^4*D28+AQ$10*C28^3*D28^2+AR$10*C28^2*D28^3+AS$10*C28*D28^4+AT$10*D28^5</f>
        <v>0.2401794775334482</v>
      </c>
      <c r="AA28" s="20">
        <f>AA$10+2*AC$10*$C28+AD$10*$D28+3*AF$10*$C28^2+2*AG$10*$C28*$D28+AH$10*$D28^2+4*AJ$10*$C28^3+3*AK$10*$C28^2*$D28+2*AL$10*$C28*$D28^2+AM$10*$D28^3+5*AO$10*$C28^4+4*AP$10*$C28^3*$D28+3*AQ$10*$C28^2*$D28^2+2*AR$10*$C28*$D28^3+AS$10*$D28^4</f>
        <v>-2.2097335874108412E-8</v>
      </c>
      <c r="AB28" s="20">
        <f>AB$10+AD$10*$C28+2*AE$10*$D28+AG$10*$C28^2+2*AH$10*$C28*$D28+3*AI$10*$D28^2+AK$10*$C28^3+2*AL$10*$C28^2*$D28+3*AM$10*$C28*$D28^2+4*AN$10*$D28^3+AP$10*$C28^4+2*AQ$10*$C28^3*$D28+3*AR$10*$C28^2*$D28^2+4*AS$10*$C28*$D28^3+5*AT$10*$D28^4</f>
        <v>6.4812602885963092E-5</v>
      </c>
      <c r="AC28" s="20">
        <f>AC$10+3*AF$10*$C28+AG$10*$D28+6*AJ$10*$C28^2+3*AK$10*$C28*$D28+AL$10*$D28^2+10*AO$10*$C28^3+6*AP$10*$C28^2*$D28+3*AQ$10*$C28*$D28^2++AR$10*$D28^3</f>
        <v>2.5862226589804791E-10</v>
      </c>
      <c r="AD28" s="20">
        <f>AD$10+2*AG$10*$C28+2*AH$10*$D28+3*AK$10*$C28^2+4*AL$10*$C28*$D28+3*AM$10*$D28^2+4*AP$10*$C28^3+6*AQ$10*$C28^2*$D28+6*AR$10*$C28*$D28^2+4*AS$10*$D28^3</f>
        <v>1.4951681890860572E-10</v>
      </c>
      <c r="AE28" s="20">
        <f>AE$10+AH$10*$C28+3*AI$10*$D28+AL$10*$C28^2+3*AM$10*$C28*$D28+6*AN$10*$D28^2+AQ$10*$C28^3+3*AR$10*$C28^2*$D28+6*AS$10*$C28*$D28^2+10*AT$10*$D28^3</f>
        <v>1.0810495687789959E-9</v>
      </c>
      <c r="AF28" s="20">
        <f>AF$10+4*AJ$10*$C28+AK$10*$D28+10*AO$10*$C28^2+4*AP$10*$C28*$D28+AQ$10*$D28^2</f>
        <v>-3.5820401316472734E-15</v>
      </c>
      <c r="AG28" s="20">
        <f>AG$10+3*AK$10*$C28+2*AL$10*$D28+6*AP$10*$C28^2+6*AQ$10*$C28*$D28+3*AR$10*$D28^2</f>
        <v>8.3849691502299926E-14</v>
      </c>
      <c r="AH28" s="20">
        <f>AH$10+2*AL$10*$C28+3*AM$10*$D28+3*AQ$10*$C28^2+6*AR$10*$C28*$D28+6*AS$10*$D28^2</f>
        <v>-1.1974695665155274E-14</v>
      </c>
      <c r="AI28" s="20">
        <f>AI$10+AM$10*$C28+4*AN$10*$D28+AR$10*$C28^2+4*AS$10*$C28*$D28+10*AT$10*$D28^2</f>
        <v>1.3992723571702571E-13</v>
      </c>
      <c r="AJ28" s="20">
        <f>AJ$10+5*AO$10*$C28+AP$10*$D28</f>
        <v>-1.9512671142830398E-18</v>
      </c>
      <c r="AK28" s="20">
        <f>AK$10+4*AP$10*$C28+2*AQ$10*$D28</f>
        <v>-5.3077699333282608E-18</v>
      </c>
      <c r="AL28" s="20">
        <f>AL$10+3*AQ$10*$C28+3*AR$10*$D28</f>
        <v>-5.0684953990116157E-18</v>
      </c>
      <c r="AM28" s="20">
        <f>AM$10+2*AR$10*$C28+4*AS$10*$D28</f>
        <v>1.8188154875919656E-18</v>
      </c>
      <c r="AN28" s="20">
        <f>AN$10+AS$10*$C28+5*AT$10*$D28</f>
        <v>-4.1283696718184709E-17</v>
      </c>
      <c r="AO28" s="20">
        <f t="shared" si="14"/>
        <v>-2.8354566386199998E-22</v>
      </c>
      <c r="AP28" s="20">
        <f t="shared" si="14"/>
        <v>-1.41115330397E-21</v>
      </c>
      <c r="AQ28" s="20">
        <f t="shared" si="14"/>
        <v>3.7772581494399997E-23</v>
      </c>
      <c r="AR28" s="20">
        <f t="shared" si="14"/>
        <v>-9.5467436388700002E-22</v>
      </c>
      <c r="AS28" s="20">
        <f t="shared" si="14"/>
        <v>-1.14278133866E-21</v>
      </c>
      <c r="AT28" s="20">
        <f t="shared" si="14"/>
        <v>6.1158238038100001E-21</v>
      </c>
    </row>
    <row r="30" spans="1:46" s="10" customFormat="1" x14ac:dyDescent="0.2">
      <c r="B30" s="10" t="s">
        <v>168</v>
      </c>
      <c r="C30" s="10" t="s">
        <v>171</v>
      </c>
      <c r="D30" s="10" t="s">
        <v>169</v>
      </c>
      <c r="E30" s="10" t="s">
        <v>170</v>
      </c>
      <c r="F30" s="10" t="s">
        <v>20</v>
      </c>
      <c r="G30" s="10" t="s">
        <v>21</v>
      </c>
      <c r="H30" s="10" t="s">
        <v>172</v>
      </c>
      <c r="I30" s="10" t="s">
        <v>173</v>
      </c>
      <c r="J30" s="10" t="s">
        <v>174</v>
      </c>
      <c r="K30" s="10" t="s">
        <v>175</v>
      </c>
      <c r="L30" s="10" t="s">
        <v>183</v>
      </c>
      <c r="M30" s="10" t="s">
        <v>180</v>
      </c>
      <c r="N30" s="10" t="s">
        <v>181</v>
      </c>
      <c r="O30" s="10" t="s">
        <v>182</v>
      </c>
      <c r="P30" s="10" t="s">
        <v>176</v>
      </c>
      <c r="Q30" s="10" t="s">
        <v>177</v>
      </c>
      <c r="R30" s="10" t="s">
        <v>178</v>
      </c>
      <c r="S30" s="10" t="s">
        <v>179</v>
      </c>
      <c r="Z30" s="131"/>
    </row>
    <row r="31" spans="1:46" x14ac:dyDescent="0.2">
      <c r="A31" s="10" t="str">
        <f t="shared" ref="A31:A39" si="15">A20</f>
        <v>NRS1_FULL_OSS</v>
      </c>
      <c r="B31" s="24">
        <f>-E20</f>
        <v>6.7660242433975351E-2</v>
      </c>
      <c r="C31" s="24">
        <f>-Z20</f>
        <v>-0.29497908049583188</v>
      </c>
      <c r="D31" s="3">
        <f>E$4+F$4*$B31+G$4*$C31+H$4*$B31^2+I$4*$B31*$C31+J$4*$C31^2+K$4*$B31^3+L$4*$B31^2*$C31+M$4*$B31*$C31^2+N$4*$C31^3+O$4*$B31^4+P$4*$B31^3*$C31+Q$4*$B31^2*$C31^2+R$4*$B31*$C31^3+S$4*$C31^4+T$4*$B31^5+U$4*$B31^4*$C31+V$4*$B31^3*$C31^2+W$4*$B31^2*$C31^3+X$4*$B31*$C31^4+Y$4*$C31^5</f>
        <v>8.1681892461124603E-2</v>
      </c>
      <c r="E31" s="3">
        <f>Z$4+AA$4*$B31+AB$4*$C31+AC$4*$B31^2+AD$4*$B31*$C31+AE$4*$C31^2+AF$4*$B31^3+AG$4*$B31^2*$C31+AH$4*$B31*$C31^2+AI$4*$C31^3+AJ$4*$B31^4+AK$4*$B31^3*$C31+AL$4*$B31^2*$C31^2+AM$4*$B31*$C31^3+AN$4*$C31^4+AO$4*$B31^5+AP$4*$B31^4*$C31+AQ$4*$B31^3*$C31^2+AR$4*$B31^2*$C31^3+AS$4*$B31*$C31^4+AT$4*$C31^5</f>
        <v>9.6949753033241243E-3</v>
      </c>
      <c r="F31" s="21">
        <f>3600*D31</f>
        <v>294.05481286004857</v>
      </c>
      <c r="G31" s="21">
        <f>-3600*(E31+0.13)</f>
        <v>-502.90191109196689</v>
      </c>
      <c r="H31" s="3">
        <f>F$4+2*H$4*$B31+I$4*$C31+3*K$4*$B31^2+2*L$4*$B31*$C31+M$4*$C31^2+4*O$4*$B31^3+3*P$4*$B31^2*$C31+2*Q$4*$B31*$C31^2+R$4*$C31^3+5*T$4*$B31^4+4*U$4*$B31^3*$C31+3*V$4*$B31^2*$C31^2+2*W$4*$B31*$C31^3+X$4*$C31^4</f>
        <v>-0.34067229042150332</v>
      </c>
      <c r="I31" s="3">
        <f>G$4+I$4*$B31+2*J$4*$C31+L$4*$B31^2+2*M$4*$B31*$C31+3*N$4*$C31^2+P$4*$B31^3+2*Q$4*$B31^2*$C31+3*R$4*$B31*$C31^2+4*S$4*$C31^3+U$4*$B31^4+2*V$4*$B31^3*$C31+3*W$4*$B31^2*$C31^2+4*X$4*$B31*$C31^3+5*Y$4*$C31^4</f>
        <v>-0.28889095853092506</v>
      </c>
      <c r="J31" s="3">
        <f>AA$4+2*AC$4*$B31+AD$4*$C31+3*AF$4*$B31^2+2*AG$4*$B31*$C31+AH$4*$C31^2+4*AJ$4*$B31^3+3*AK$4*$B31^2*$C31+2*AL$4*$B31*$C31^2+AM$4*$C31^3+5*AO$4*$B31^4+4*AP$4*$B31^3*$C31+3*AQ$4*$B31^2*$C31^2+2*AR$4*$B31*$C31^3+AS$4*$C31^4</f>
        <v>0.29423418564134551</v>
      </c>
      <c r="K31" s="3">
        <f>AB$4+AD$4*$B31+2*AE$4*$C31+AG$4*$B31^2+2*AH$4*$B31*$C31+3*AI$4*$C31^2+AK$4*$B31^3+2*AL$4*$B31^2*$C31+3*AM$4*$B31*$C31^2+4*AN$4*$C31^3+AP$4*$B31^4+2*AQ$4*$B31^3*$C31+3*AR$4*$B31^2*$C31^2+4*AS$4*$B31*$C31^3+5*AT$4*$C31^4</f>
        <v>-0.32904115985890264</v>
      </c>
      <c r="L31" s="3">
        <f>-3600*(H31*F$20+I31*AA$20)</f>
        <v>7.6887961211276237E-2</v>
      </c>
      <c r="M31" s="3">
        <f>-3600*(H31*G$20+I31*AB$20)</f>
        <v>6.8892461221063184E-2</v>
      </c>
      <c r="N31" s="3">
        <f>3600*(J31*F$20+K31*AA$20)</f>
        <v>6.8906512638630291E-2</v>
      </c>
      <c r="O31" s="3">
        <f>3600*(J31*G$20+K31*AB$20)</f>
        <v>-7.9687335812587148E-2</v>
      </c>
      <c r="P31" s="3">
        <f t="shared" ref="P31:Q34" si="16">SQRT(L31^2+N31^2)</f>
        <v>0.10324662736982954</v>
      </c>
      <c r="Q31" s="3">
        <f t="shared" si="16"/>
        <v>0.10533870467213714</v>
      </c>
      <c r="R31" s="7">
        <f t="shared" ref="R31:S34" si="17">DEGREES(ATAN2(N31,L31))</f>
        <v>48.13350214841627</v>
      </c>
      <c r="S31" s="7">
        <f t="shared" si="17"/>
        <v>139.15545003789879</v>
      </c>
      <c r="T31" s="7"/>
    </row>
    <row r="32" spans="1:46" x14ac:dyDescent="0.2">
      <c r="A32" s="10" t="str">
        <f t="shared" si="15"/>
        <v>NRS1_FULL</v>
      </c>
      <c r="B32" s="24">
        <f>-E21</f>
        <v>6.7660242433975351E-2</v>
      </c>
      <c r="C32" s="24">
        <f>-Z21</f>
        <v>-0.29497908049583188</v>
      </c>
      <c r="D32" s="3">
        <f>E$4+F$4*$B32+G$4*$C32+H$4*$B32^2+I$4*$B32*$C32+J$4*$C32^2+K$4*$B32^3+L$4*$B32^2*$C32+M$4*$B32*$C32^2+N$4*$C32^3+O$4*$B32^4+P$4*$B32^3*$C32+Q$4*$B32^2*$C32^2+R$4*$B32*$C32^3+S$4*$C32^4+T$4*$B32^5+U$4*$B32^4*$C32+V$4*$B32^3*$C32^2+W$4*$B32^2*$C32^3+X$4*$B32*$C32^4+Y$4*$C32^5</f>
        <v>8.1681892461124603E-2</v>
      </c>
      <c r="E32" s="3">
        <f>Z$4+AA$4*$B32+AB$4*$C32+AC$4*$B32^2+AD$4*$B32*$C32+AE$4*$C32^2+AF$4*$B32^3+AG$4*$B32^2*$C32+AH$4*$B32*$C32^2+AI$4*$C32^3+AJ$4*$B32^4+AK$4*$B32^3*$C32+AL$4*$B32^2*$C32^2+AM$4*$B32*$C32^3+AN$4*$C32^4+AO$4*$B32^5+AP$4*$B32^4*$C32+AQ$4*$B32^3*$C32^2+AR$4*$B32^2*$C32^3+AS$4*$B32*$C32^4+AT$4*$C32^5</f>
        <v>9.6949753033241243E-3</v>
      </c>
      <c r="F32" s="21">
        <f>3600*D32</f>
        <v>294.05481286004857</v>
      </c>
      <c r="G32" s="21">
        <f>-3600*(E32+0.13)</f>
        <v>-502.90191109196689</v>
      </c>
      <c r="H32" s="3">
        <f>F$4+2*H$4*$B32+I$4*$C32+3*K$4*$B32^2+2*L$4*$B32*$C32+M$4*$C32^2+4*O$4*$B32^3+3*P$4*$B32^2*$C32+2*Q$4*$B32*$C32^2+R$4*$C32^3+5*T$4*$B32^4+4*U$4*$B32^3*$C32+3*V$4*$B32^2*$C32^2+2*W$4*$B32*$C32^3+X$4*$C32^4</f>
        <v>-0.34067229042150332</v>
      </c>
      <c r="I32" s="3">
        <f>G$4+I$4*$B32+2*J$4*$C32+L$4*$B32^2+2*M$4*$B32*$C32+3*N$4*$C32^2+P$4*$B32^3+2*Q$4*$B32^2*$C32+3*R$4*$B32*$C32^2+4*S$4*$C32^3+U$4*$B32^4+2*V$4*$B32^3*$C32+3*W$4*$B32^2*$C32^2+4*X$4*$B32*$C32^3+5*Y$4*$C32^4</f>
        <v>-0.28889095853092506</v>
      </c>
      <c r="J32" s="3">
        <f>AA$4+2*AC$4*$B32+AD$4*$C32+3*AF$4*$B32^2+2*AG$4*$B32*$C32+AH$4*$C32^2+4*AJ$4*$B32^3+3*AK$4*$B32^2*$C32+2*AL$4*$B32*$C32^2+AM$4*$C32^3+5*AO$4*$B32^4+4*AP$4*$B32^3*$C32+3*AQ$4*$B32^2*$C32^2+2*AR$4*$B32*$C32^3+AS$4*$C32^4</f>
        <v>0.29423418564134551</v>
      </c>
      <c r="K32" s="3">
        <f>AB$4+AD$4*$B32+2*AE$4*$C32+AG$4*$B32^2+2*AH$4*$B32*$C32+3*AI$4*$C32^2+AK$4*$B32^3+2*AL$4*$B32^2*$C32+3*AM$4*$B32*$C32^2+4*AN$4*$C32^3+AP$4*$B32^4+2*AQ$4*$B32^3*$C32+3*AR$4*$B32^2*$C32^2+4*AS$4*$B32*$C32^3+5*AT$4*$C32^4</f>
        <v>-0.32904115985890264</v>
      </c>
      <c r="L32" s="3">
        <f>-3600*(H32*F$21+I32*AA$21)</f>
        <v>7.6887961211276237E-2</v>
      </c>
      <c r="M32" s="3">
        <f>-3600*(H32*G$21+I32*AB$21)</f>
        <v>6.8892461221063184E-2</v>
      </c>
      <c r="N32" s="3">
        <f>3600*(J32*F$21+K32*AA$21)</f>
        <v>6.8906512638630291E-2</v>
      </c>
      <c r="O32" s="3">
        <f>3600*(J32*G$21+K32*AB$21)</f>
        <v>-7.9687335812587148E-2</v>
      </c>
      <c r="P32" s="3">
        <f t="shared" si="16"/>
        <v>0.10324662736982954</v>
      </c>
      <c r="Q32" s="3">
        <f t="shared" si="16"/>
        <v>0.10533870467213714</v>
      </c>
      <c r="R32" s="7">
        <f t="shared" si="17"/>
        <v>48.13350214841627</v>
      </c>
      <c r="S32" s="7">
        <f t="shared" si="17"/>
        <v>139.15545003789879</v>
      </c>
      <c r="T32" s="7"/>
    </row>
    <row r="33" spans="1:27" x14ac:dyDescent="0.2">
      <c r="A33" s="10" t="str">
        <f t="shared" si="15"/>
        <v>NRS2_FULL_OSS</v>
      </c>
      <c r="B33" s="24">
        <f>-E22</f>
        <v>-7.1661131709140777E-2</v>
      </c>
      <c r="C33" s="24">
        <f>-Z22</f>
        <v>-0.29391666561953933</v>
      </c>
      <c r="D33" s="3">
        <f>E$4+F$4*$B33+G$4*$C33+H$4*$B33^2+I$4*$B33*$C33+J$4*$C33^2+K$4*$B33^3+L$4*$B33^2*$C33+M$4*$B33*$C33^2+N$4*$C33^3+O$4*$B33^4+P$4*$B33^3*$C33+Q$4*$B33^2*$C33^2+R$4*$B33*$C33^3+S$4*$C33^4+T$4*$B33^5+U$4*$B33^4*$C33+V$4*$B33^3*$C33^2+W$4*$B33^2*$C33^3+X$4*$B33*$C33^4+Y$4*$C33^5</f>
        <v>0.12865700773928418</v>
      </c>
      <c r="E33" s="3">
        <f>Z$4+AA$4*$B33+AB$4*$C33+AC$4*$B33^2+AD$4*$B33*$C33+AE$4*$C33^2+AF$4*$B33^3+AG$4*$B33^2*$C33+AH$4*$B33*$C33^2+AI$4*$C33^3+AJ$4*$B33^4+AK$4*$B33^3*$C33+AL$4*$B33^2*$C33^2+AM$4*$B33*$C33^3+AN$4*$C33^4+AO$4*$B33^5+AP$4*$B33^4*$C33+AQ$4*$B33^3*$C33^2+AR$4*$B33^2*$C33^3+AS$4*$B33*$C33^4+AT$4*$C33^5</f>
        <v>-3.1885423838298184E-2</v>
      </c>
      <c r="F33" s="21">
        <f>3600*D33</f>
        <v>463.16522786142303</v>
      </c>
      <c r="G33" s="21">
        <f>-3600*(E33+0.13)</f>
        <v>-353.21247418212658</v>
      </c>
      <c r="H33" s="3">
        <f>F$4+2*H$4*$B33+I$4*$C33+3*K$4*$B33^2+2*L$4*$B33*$C33+M$4*$C33^2+4*O$4*$B33^3+3*P$4*$B33^2*$C33+2*Q$4*$B33*$C33^2+R$4*$C33^3+5*T$4*$B33^4+4*U$4*$B33^3*$C33+3*V$4*$B33^2*$C33^2+2*W$4*$B33*$C33^3+X$4*$C33^4</f>
        <v>-0.33801401522228375</v>
      </c>
      <c r="I33" s="3">
        <f>G$4+I$4*$B33+2*J$4*$C33+L$4*$B33^2+2*M$4*$B33*$C33+3*N$4*$C33^2+P$4*$B33^3+2*Q$4*$B33^2*$C33+3*R$4*$B33*$C33^2+4*S$4*$C33^3+U$4*$B33^4+2*V$4*$B33^3*$C33+3*W$4*$B33^2*$C33^2+4*X$4*$B33*$C33^3+5*Y$4*$C33^4</f>
        <v>-0.28659849521184305</v>
      </c>
      <c r="J33" s="3">
        <f>AA$4+2*AC$4*$B33+AD$4*$C33+3*AF$4*$B33^2+2*AG$4*$B33*$C33+AH$4*$C33^2+4*AJ$4*$B33^3+3*AK$4*$B33^2*$C33+2*AL$4*$B33*$C33^2+AM$4*$C33^3+5*AO$4*$B33^4+4*AP$4*$B33^3*$C33+3*AQ$4*$B33^2*$C33^2+2*AR$4*$B33*$C33^3+AS$4*$C33^4</f>
        <v>0.29754353869383532</v>
      </c>
      <c r="K33" s="3">
        <f>AB$4+AD$4*$B33+2*AE$4*$C33+AG$4*$B33^2+2*AH$4*$B33*$C33+3*AI$4*$C33^2+AK$4*$B33^3+2*AL$4*$B33^2*$C33+3*AM$4*$B33*$C33^2+4*AN$4*$C33^3+AP$4*$B33^4+2*AQ$4*$B33^3*$C33+3*AR$4*$B33^2*$C33^2+4*AS$4*$B33*$C33^3+5*AT$4*$C33^4</f>
        <v>-0.33121117575792247</v>
      </c>
      <c r="L33" s="3">
        <f>-3600*(H33*F$22+I33*AA$22)</f>
        <v>-7.7792771449152642E-2</v>
      </c>
      <c r="M33" s="3">
        <f>-3600*(H33*G$22+I33*AB$22)</f>
        <v>-7.0885131995930384E-2</v>
      </c>
      <c r="N33" s="3">
        <f>3600*(J33*F$22+K33*AA$22)</f>
        <v>-6.7982354525506314E-2</v>
      </c>
      <c r="O33" s="3">
        <f>3600*(J33*G$22+K33*AB$22)</f>
        <v>7.7951546808906522E-2</v>
      </c>
      <c r="P33" s="3">
        <f t="shared" si="16"/>
        <v>0.10331174094250724</v>
      </c>
      <c r="Q33" s="3">
        <f t="shared" si="16"/>
        <v>0.10536197410822189</v>
      </c>
      <c r="R33" s="7">
        <f t="shared" si="17"/>
        <v>-131.14989737296153</v>
      </c>
      <c r="S33" s="7">
        <f t="shared" si="17"/>
        <v>-42.281772575382426</v>
      </c>
      <c r="T33" s="7"/>
    </row>
    <row r="34" spans="1:27" x14ac:dyDescent="0.2">
      <c r="A34" s="10" t="str">
        <f t="shared" si="15"/>
        <v>NRS2_FULL</v>
      </c>
      <c r="B34" s="24">
        <f>-E23</f>
        <v>-7.1661131709140777E-2</v>
      </c>
      <c r="C34" s="24">
        <f>-Z23</f>
        <v>-0.29391666561953933</v>
      </c>
      <c r="D34" s="3">
        <f>E$4+F$4*$B34+G$4*$C34+H$4*$B34^2+I$4*$B34*$C34+J$4*$C34^2+K$4*$B34^3+L$4*$B34^2*$C34+M$4*$B34*$C34^2+N$4*$C34^3+O$4*$B34^4+P$4*$B34^3*$C34+Q$4*$B34^2*$C34^2+R$4*$B34*$C34^3+S$4*$C34^4+T$4*$B34^5+U$4*$B34^4*$C34+V$4*$B34^3*$C34^2+W$4*$B34^2*$C34^3+X$4*$B34*$C34^4+Y$4*$C34^5</f>
        <v>0.12865700773928418</v>
      </c>
      <c r="E34" s="3">
        <f>Z$4+AA$4*$B34+AB$4*$C34+AC$4*$B34^2+AD$4*$B34*$C34+AE$4*$C34^2+AF$4*$B34^3+AG$4*$B34^2*$C34+AH$4*$B34*$C34^2+AI$4*$C34^3+AJ$4*$B34^4+AK$4*$B34^3*$C34+AL$4*$B34^2*$C34^2+AM$4*$B34*$C34^3+AN$4*$C34^4+AO$4*$B34^5+AP$4*$B34^4*$C34+AQ$4*$B34^3*$C34^2+AR$4*$B34^2*$C34^3+AS$4*$B34*$C34^4+AT$4*$C34^5</f>
        <v>-3.1885423838298184E-2</v>
      </c>
      <c r="F34" s="21">
        <f>3600*D34</f>
        <v>463.16522786142303</v>
      </c>
      <c r="G34" s="21">
        <f>-3600*(E34+0.13)</f>
        <v>-353.21247418212658</v>
      </c>
      <c r="H34" s="3">
        <f>F$4+2*H$4*$B34+I$4*$C34+3*K$4*$B34^2+2*L$4*$B34*$C34+M$4*$C34^2+4*O$4*$B34^3+3*P$4*$B34^2*$C34+2*Q$4*$B34*$C34^2+R$4*$C34^3+5*T$4*$B34^4+4*U$4*$B34^3*$C34+3*V$4*$B34^2*$C34^2+2*W$4*$B34*$C34^3+X$4*$C34^4</f>
        <v>-0.33801401522228375</v>
      </c>
      <c r="I34" s="3">
        <f>G$4+I$4*$B34+2*J$4*$C34+L$4*$B34^2+2*M$4*$B34*$C34+3*N$4*$C34^2+P$4*$B34^3+2*Q$4*$B34^2*$C34+3*R$4*$B34*$C34^2+4*S$4*$C34^3+U$4*$B34^4+2*V$4*$B34^3*$C34+3*W$4*$B34^2*$C34^2+4*X$4*$B34*$C34^3+5*Y$4*$C34^4</f>
        <v>-0.28659849521184305</v>
      </c>
      <c r="J34" s="3">
        <f>AA$4+2*AC$4*$B34+AD$4*$C34+3*AF$4*$B34^2+2*AG$4*$B34*$C34+AH$4*$C34^2+4*AJ$4*$B34^3+3*AK$4*$B34^2*$C34+2*AL$4*$B34*$C34^2+AM$4*$C34^3+5*AO$4*$B34^4+4*AP$4*$B34^3*$C34+3*AQ$4*$B34^2*$C34^2+2*AR$4*$B34*$C34^3+AS$4*$C34^4</f>
        <v>0.29754353869383532</v>
      </c>
      <c r="K34" s="3">
        <f>AB$4+AD$4*$B34+2*AE$4*$C34+AG$4*$B34^2+2*AH$4*$B34*$C34+3*AI$4*$C34^2+AK$4*$B34^3+2*AL$4*$B34^2*$C34+3*AM$4*$B34*$C34^2+4*AN$4*$C34^3+AP$4*$B34^4+2*AQ$4*$B34^3*$C34+3*AR$4*$B34^2*$C34^2+4*AS$4*$B34*$C34^3+5*AT$4*$C34^4</f>
        <v>-0.33121117575792247</v>
      </c>
      <c r="L34" s="3">
        <f>-3600*(H34*F$23+I34*AA$23)</f>
        <v>7.7792771449152642E-2</v>
      </c>
      <c r="M34" s="3">
        <f>-3600*(H34*G$23+I34*AB$23)</f>
        <v>7.0885131995930384E-2</v>
      </c>
      <c r="N34" s="3">
        <f>3600*(J34*F$23+K34*AA$23)</f>
        <v>6.7982354525506314E-2</v>
      </c>
      <c r="O34" s="3">
        <f>3600*(J34*G$23+K34*AB$23)</f>
        <v>-7.7951546808906522E-2</v>
      </c>
      <c r="P34" s="3">
        <f t="shared" si="16"/>
        <v>0.10331174094250724</v>
      </c>
      <c r="Q34" s="3">
        <f t="shared" si="16"/>
        <v>0.10536197410822189</v>
      </c>
      <c r="R34" s="7">
        <f t="shared" si="17"/>
        <v>48.850102627038467</v>
      </c>
      <c r="S34" s="7">
        <f t="shared" si="17"/>
        <v>137.7182274246176</v>
      </c>
    </row>
    <row r="35" spans="1:27" x14ac:dyDescent="0.2">
      <c r="A35" s="10" t="str">
        <f t="shared" si="15"/>
        <v>NRS1_FP1MIMF</v>
      </c>
      <c r="B35" s="24"/>
      <c r="C35" s="24"/>
      <c r="D35" s="3"/>
      <c r="E35" s="3"/>
      <c r="F35" s="21"/>
      <c r="G35" s="21"/>
      <c r="H35" s="3"/>
      <c r="I35" s="3"/>
      <c r="J35" s="3"/>
      <c r="K35" s="3"/>
      <c r="L35" s="3"/>
      <c r="M35" s="3"/>
      <c r="N35" s="3"/>
      <c r="O35" s="3"/>
      <c r="P35" s="3"/>
      <c r="Q35" s="3"/>
      <c r="R35" s="7"/>
      <c r="S35" s="7"/>
    </row>
    <row r="36" spans="1:27" x14ac:dyDescent="0.2">
      <c r="A36" s="10" t="str">
        <f t="shared" si="15"/>
        <v>NRS1_FP2MIMF</v>
      </c>
      <c r="B36" s="24">
        <f>-E25</f>
        <v>6.0432996197747044E-2</v>
      </c>
      <c r="C36" s="24">
        <f>-Z25</f>
        <v>-0.23963611779825961</v>
      </c>
      <c r="D36" s="3">
        <f t="shared" ref="D36:D39" si="18">E$4+F$4*$B36+G$4*$C36+H$4*$B36^2+I$4*$B36*$C36+J$4*$C36^2+K$4*$B36^3+L$4*$B36^2*$C36+M$4*$B36*$C36^2+N$4*$C36^3+O$4*$B36^4+P$4*$B36^3*$C36+Q$4*$B36^2*$C36^2+R$4*$B36*$C36^3+S$4*$C36^4+T$4*$B36^5+U$4*$B36^4*$C36+V$4*$B36^3*$C36^2+W$4*$B36^2*$C36^3+X$4*$B36*$C36^4+Y$4*$C36^5</f>
        <v>6.8085781672069384E-2</v>
      </c>
      <c r="E36" s="3">
        <f t="shared" ref="E36:E39" si="19">Z$4+AA$4*$B36+AB$4*$C36+AC$4*$B36^2+AD$4*$B36*$C36+AE$4*$C36^2+AF$4*$B36^3+AG$4*$B36^2*$C36+AH$4*$B36*$C36^2+AI$4*$C36^3+AJ$4*$B36^4+AK$4*$B36^3*$C36+AL$4*$B36^2*$C36^2+AM$4*$B36*$C36^3+AN$4*$C36^4+AO$4*$B36^5+AP$4*$B36^4*$C36+AQ$4*$B36^3*$C36^2+AR$4*$B36^2*$C36^3+AS$4*$B36*$C36^4+AT$4*$C36^5</f>
        <v>-1.0758385380330908E-2</v>
      </c>
      <c r="F36" s="27">
        <f t="shared" ref="F36:F39" si="20">3600*D36</f>
        <v>245.1088140194498</v>
      </c>
      <c r="G36" s="27">
        <f t="shared" ref="G36:G39" si="21">-3600*(E36+0.13)</f>
        <v>-429.2698126308087</v>
      </c>
      <c r="H36" s="3">
        <f t="shared" ref="H36:H39" si="22">F$4+2*H$4*$B36+I$4*$C36+3*K$4*$B36^2+2*L$4*$B36*$C36+M$4*$C36^2+4*O$4*$B36^3+3*P$4*$B36^2*$C36+2*Q$4*$B36*$C36^2+R$4*$C36^3+5*T$4*$B36^4+4*U$4*$B36^3*$C36+3*V$4*$B36^2*$C36^2+2*W$4*$B36*$C36^3+X$4*$C36^4</f>
        <v>-0.3413673401066174</v>
      </c>
      <c r="I36" s="3">
        <f t="shared" ref="I36:I39" si="23">G$4+I$4*$B36+2*J$4*$C36+L$4*$B36^2+2*M$4*$B36*$C36+3*N$4*$C36^2+P$4*$B36^3+2*Q$4*$B36^2*$C36+3*R$4*$B36*$C36^2+4*S$4*$C36^3+U$4*$B36^4+2*V$4*$B36^3*$C36+3*W$4*$B36^2*$C36^2+4*X$4*$B36*$C36^3+5*Y$4*$C36^4</f>
        <v>-0.29145246659057922</v>
      </c>
      <c r="J36" s="3">
        <f t="shared" ref="J36:J39" si="24">AA$4+2*AC$4*$B36+AD$4*$C36+3*AF$4*$B36^2+2*AG$4*$B36*$C36+AH$4*$C36^2+4*AJ$4*$B36^3+3*AK$4*$B36^2*$C36+2*AL$4*$B36*$C36^2+AM$4*$C36^3+5*AO$4*$B36^4+4*AP$4*$B36^3*$C36+3*AQ$4*$B36^2*$C36^2+2*AR$4*$B36*$C36^3+AS$4*$C36^4</f>
        <v>0.29540221274561307</v>
      </c>
      <c r="K36" s="3">
        <f t="shared" ref="K36:K39" si="25">AB$4+AD$4*$B36+2*AE$4*$C36+AG$4*$B36^2+2*AH$4*$B36*$C36+3*AI$4*$C36^2+AK$4*$B36^3+2*AL$4*$B36^2*$C36+3*AM$4*$B36*$C36^2+4*AN$4*$C36^3+AP$4*$B36^4+2*AQ$4*$B36^3*$C36+3*AR$4*$B36^2*$C36^2+4*AS$4*$B36*$C36^3+5*AT$4*$C36^4</f>
        <v>-0.33308421416854417</v>
      </c>
      <c r="L36" s="3">
        <f t="shared" ref="L36:L39" si="26">-3600*(H36*F$23+I36*AA$23)</f>
        <v>7.8566237883379492E-2</v>
      </c>
      <c r="M36" s="3">
        <f t="shared" ref="M36:M39" si="27">-3600*(H36*G$23+I36*AB$23)</f>
        <v>7.2072004171602699E-2</v>
      </c>
      <c r="N36" s="3">
        <f t="shared" ref="N36:N39" si="28">3600*(J36*F$23+K36*AA$23)</f>
        <v>6.7489486823949743E-2</v>
      </c>
      <c r="O36" s="3">
        <f t="shared" ref="O36:O39" si="29">3600*(J36*G$23+K36*AB$23)</f>
        <v>-7.841441961638547E-2</v>
      </c>
      <c r="P36" s="3">
        <f t="shared" ref="P36:P39" si="30">SQRT(L36^2+N36^2)</f>
        <v>0.10357357079345995</v>
      </c>
      <c r="Q36" s="3">
        <f t="shared" ref="Q36:Q39" si="31">SQRT(M36^2+O36^2)</f>
        <v>0.10650443647607406</v>
      </c>
      <c r="R36" s="7">
        <f t="shared" ref="R36:R39" si="32">DEGREES(ATAN2(N36,L36))</f>
        <v>49.336964671181136</v>
      </c>
      <c r="S36" s="7">
        <f t="shared" ref="S36:S39" si="33">DEGREES(ATAN2(O36,M36))</f>
        <v>137.41336522061829</v>
      </c>
    </row>
    <row r="37" spans="1:27" x14ac:dyDescent="0.2">
      <c r="A37" s="10" t="str">
        <f t="shared" si="15"/>
        <v>NRS1_FP3MIMF</v>
      </c>
      <c r="B37" s="24">
        <f>-E26</f>
        <v>5.5276796506676537E-2</v>
      </c>
      <c r="C37" s="24">
        <f>-Z26</f>
        <v>-0.35888404036969623</v>
      </c>
      <c r="D37" s="3">
        <f t="shared" si="18"/>
        <v>0.10424667815136544</v>
      </c>
      <c r="E37" s="3">
        <f t="shared" si="19"/>
        <v>2.693806448384577E-2</v>
      </c>
      <c r="F37" s="27">
        <f t="shared" si="20"/>
        <v>375.2880413449156</v>
      </c>
      <c r="G37" s="27">
        <f t="shared" si="21"/>
        <v>-564.9770321418448</v>
      </c>
      <c r="H37" s="3">
        <f t="shared" si="22"/>
        <v>-0.33943434852419296</v>
      </c>
      <c r="I37" s="3">
        <f t="shared" si="23"/>
        <v>-0.28547033616703454</v>
      </c>
      <c r="J37" s="3">
        <f t="shared" si="24"/>
        <v>0.29319034757921214</v>
      </c>
      <c r="K37" s="3">
        <f t="shared" si="25"/>
        <v>-0.32423248335241994</v>
      </c>
      <c r="L37" s="3">
        <f t="shared" si="26"/>
        <v>7.8117672515622447E-2</v>
      </c>
      <c r="M37" s="3">
        <f t="shared" si="27"/>
        <v>7.0621962125045762E-2</v>
      </c>
      <c r="N37" s="3">
        <f t="shared" si="28"/>
        <v>6.6989557273398503E-2</v>
      </c>
      <c r="O37" s="3">
        <f t="shared" si="29"/>
        <v>-7.6298042939430211E-2</v>
      </c>
      <c r="P37" s="3">
        <f t="shared" si="30"/>
        <v>0.10290758739249489</v>
      </c>
      <c r="Q37" s="3">
        <f t="shared" si="31"/>
        <v>0.10396563321972571</v>
      </c>
      <c r="R37" s="7">
        <f t="shared" si="32"/>
        <v>49.385367245170549</v>
      </c>
      <c r="S37" s="7">
        <f t="shared" si="33"/>
        <v>137.21245443700323</v>
      </c>
    </row>
    <row r="38" spans="1:27" x14ac:dyDescent="0.2">
      <c r="A38" s="10" t="str">
        <f t="shared" si="15"/>
        <v>NRS2_FP4MIMF</v>
      </c>
      <c r="B38" s="24">
        <f>-E27</f>
        <v>-5.6629100925870673E-2</v>
      </c>
      <c r="C38" s="24">
        <f>-Z27</f>
        <v>-0.34721536809800146</v>
      </c>
      <c r="D38" s="3">
        <f t="shared" si="18"/>
        <v>0.13878311164469756</v>
      </c>
      <c r="E38" s="3">
        <f t="shared" si="19"/>
        <v>-9.8681779521903375E-3</v>
      </c>
      <c r="F38" s="21">
        <f t="shared" si="20"/>
        <v>499.61920192091122</v>
      </c>
      <c r="G38" s="21">
        <f t="shared" si="21"/>
        <v>-432.47455937211481</v>
      </c>
      <c r="H38" s="3">
        <f t="shared" si="22"/>
        <v>-0.33709924987076051</v>
      </c>
      <c r="I38" s="3">
        <f t="shared" si="23"/>
        <v>-0.2837936499620658</v>
      </c>
      <c r="J38" s="3">
        <f t="shared" si="24"/>
        <v>0.29644501316396865</v>
      </c>
      <c r="K38" s="3">
        <f t="shared" si="25"/>
        <v>-0.32738302164864996</v>
      </c>
      <c r="L38" s="3">
        <f t="shared" si="26"/>
        <v>7.7580515428040925E-2</v>
      </c>
      <c r="M38" s="3">
        <f t="shared" si="27"/>
        <v>7.0205201195042907E-2</v>
      </c>
      <c r="N38" s="3">
        <f t="shared" si="28"/>
        <v>6.7733580750640954E-2</v>
      </c>
      <c r="O38" s="3">
        <f t="shared" si="29"/>
        <v>-7.7037084792391131E-2</v>
      </c>
      <c r="P38" s="3">
        <f t="shared" si="30"/>
        <v>0.10298822425590265</v>
      </c>
      <c r="Q38" s="3">
        <f t="shared" si="31"/>
        <v>0.10422803225690541</v>
      </c>
      <c r="R38" s="7">
        <f t="shared" si="32"/>
        <v>48.876613702666646</v>
      </c>
      <c r="S38" s="7">
        <f t="shared" si="33"/>
        <v>137.65655719821081</v>
      </c>
    </row>
    <row r="39" spans="1:27" x14ac:dyDescent="0.2">
      <c r="A39" s="10" t="str">
        <f t="shared" si="15"/>
        <v>NRS2_FP5MIMF</v>
      </c>
      <c r="B39" s="24">
        <f>-E28</f>
        <v>-5.6279800769585435E-2</v>
      </c>
      <c r="C39" s="24">
        <f>-Z28</f>
        <v>-0.2401794775334482</v>
      </c>
      <c r="D39" s="3">
        <f t="shared" si="18"/>
        <v>0.10795477678831128</v>
      </c>
      <c r="E39" s="3">
        <f t="shared" si="19"/>
        <v>-4.5191487169699861E-2</v>
      </c>
      <c r="F39" s="21">
        <f t="shared" si="20"/>
        <v>388.63719643792058</v>
      </c>
      <c r="G39" s="21">
        <f t="shared" si="21"/>
        <v>-305.3106461890805</v>
      </c>
      <c r="H39" s="3">
        <f t="shared" si="22"/>
        <v>-0.33934356980861874</v>
      </c>
      <c r="I39" s="3">
        <f t="shared" si="23"/>
        <v>-0.28987746573892326</v>
      </c>
      <c r="J39" s="3">
        <f t="shared" si="24"/>
        <v>0.29794260328017669</v>
      </c>
      <c r="K39" s="3">
        <f t="shared" si="25"/>
        <v>-0.33447960789846065</v>
      </c>
      <c r="L39" s="3">
        <f t="shared" si="26"/>
        <v>7.8100593925549397E-2</v>
      </c>
      <c r="M39" s="3">
        <f t="shared" si="27"/>
        <v>7.1681496882830584E-2</v>
      </c>
      <c r="N39" s="3">
        <f t="shared" si="28"/>
        <v>6.8071130222558632E-2</v>
      </c>
      <c r="O39" s="3">
        <f t="shared" si="29"/>
        <v>-7.8735410298405709E-2</v>
      </c>
      <c r="P39" s="3">
        <f t="shared" si="30"/>
        <v>0.10360203444575834</v>
      </c>
      <c r="Q39" s="3">
        <f t="shared" si="31"/>
        <v>0.10647770578962312</v>
      </c>
      <c r="R39" s="7">
        <f t="shared" si="32"/>
        <v>48.925155075113658</v>
      </c>
      <c r="S39" s="7">
        <f t="shared" si="33"/>
        <v>137.68496134058788</v>
      </c>
    </row>
    <row r="41" spans="1:27" s="10" customFormat="1" x14ac:dyDescent="0.2">
      <c r="E41" s="10" t="s">
        <v>64</v>
      </c>
      <c r="M41" s="10" t="s">
        <v>184</v>
      </c>
      <c r="X41" s="10" t="s">
        <v>81</v>
      </c>
      <c r="Z41" s="131"/>
    </row>
    <row r="42" spans="1:27" s="10" customFormat="1" ht="21" thickBot="1" x14ac:dyDescent="0.3">
      <c r="A42" s="11"/>
      <c r="B42" s="10" t="s">
        <v>55</v>
      </c>
      <c r="C42" s="10" t="s">
        <v>56</v>
      </c>
      <c r="D42" s="10" t="s">
        <v>57</v>
      </c>
      <c r="E42" s="10" t="s">
        <v>58</v>
      </c>
      <c r="F42" s="10" t="s">
        <v>59</v>
      </c>
      <c r="G42" s="10" t="s">
        <v>60</v>
      </c>
      <c r="H42" s="10" t="s">
        <v>61</v>
      </c>
      <c r="I42" s="10" t="s">
        <v>62</v>
      </c>
      <c r="J42" s="10" t="s">
        <v>65</v>
      </c>
      <c r="K42" s="10" t="s">
        <v>66</v>
      </c>
      <c r="L42" s="10" t="s">
        <v>67</v>
      </c>
      <c r="M42" s="10" t="s">
        <v>68</v>
      </c>
      <c r="N42" s="10" t="s">
        <v>69</v>
      </c>
      <c r="O42" s="10" t="s">
        <v>70</v>
      </c>
      <c r="P42" s="10" t="s">
        <v>71</v>
      </c>
      <c r="Q42" s="10" t="s">
        <v>80</v>
      </c>
      <c r="R42" s="10" t="s">
        <v>72</v>
      </c>
      <c r="S42" s="10" t="s">
        <v>73</v>
      </c>
      <c r="T42" s="10" t="s">
        <v>74</v>
      </c>
      <c r="U42" s="10" t="s">
        <v>75</v>
      </c>
      <c r="V42" s="10" t="s">
        <v>72</v>
      </c>
      <c r="W42" s="10" t="s">
        <v>76</v>
      </c>
      <c r="X42" s="10" t="s">
        <v>77</v>
      </c>
      <c r="Y42" s="10" t="s">
        <v>78</v>
      </c>
      <c r="Z42" s="131" t="s">
        <v>79</v>
      </c>
      <c r="AA42" s="10" t="s">
        <v>76</v>
      </c>
    </row>
    <row r="43" spans="1:27" ht="17" thickTop="1" x14ac:dyDescent="0.2">
      <c r="A43" s="10" t="str">
        <f>SIAF!B3</f>
        <v>NRS1_FULL_OSS</v>
      </c>
      <c r="B43">
        <f>-SIAF!L3+0.5</f>
        <v>-1024</v>
      </c>
      <c r="C43" s="30">
        <f>-SIAF!L3+SIAF!J3+0.5</f>
        <v>1024</v>
      </c>
      <c r="D43">
        <f>C43</f>
        <v>1024</v>
      </c>
      <c r="E43">
        <f>B43</f>
        <v>-1024</v>
      </c>
      <c r="F43">
        <f>-SIAF!M3+0.5</f>
        <v>-1024</v>
      </c>
      <c r="G43">
        <f>B43</f>
        <v>-1024</v>
      </c>
      <c r="H43" s="30">
        <f>-SIAF!M3+SIAF!K3+0.5</f>
        <v>1024</v>
      </c>
      <c r="I43">
        <f>H43</f>
        <v>1024</v>
      </c>
      <c r="J43" s="22">
        <f t="shared" ref="J43:M46" si="34">$E20+$F20*B43+$G20*F43+$H20*B43^2+$I20*B43*F43+$J20*F43^2+$K20*B43^3+$L20*B43^2*F43+$M20*B43*F43^2+$N20*F43^3+$O20*B43^4+$P20*B43^3*F43+$Q20*B43^2*F43^2+$R20*B43*F43^3+$S20*F43^4+$T20*B43^5+$U20*B43^4*F43+$V20*B43^3*F43^2+$W20*B43^2*F43^3+$X20*B43*F43^4+$Y20*F43^5</f>
        <v>-0.13202412104231434</v>
      </c>
      <c r="K43" s="22">
        <f t="shared" si="34"/>
        <v>-3.1552422547036236E-3</v>
      </c>
      <c r="L43" s="22">
        <f t="shared" si="34"/>
        <v>-2.1759470407456375E-3</v>
      </c>
      <c r="M43" s="22">
        <f t="shared" si="34"/>
        <v>-0.13499618133803062</v>
      </c>
      <c r="N43" s="22">
        <f t="shared" ref="N43:Q46" si="35">$Z20+$AA20*B43+$AB20*F43+$AC20*B43^2+$AD20*B43*F43+$AE20*F43^2+$AF20*B43^3+$AG20*B43^2*F43+$AH20*B43*F43^2+$AI20*F43^3+$AJ20*B43^4+$AK20*B43^3*F43+$AL20*B43^2*F43^2+$AM20*B43*F43^3+$AN20*F43^4+$AO20*B43^5+$AP20*B43^4*F43+$AQ20*B43^3*F43^2+$AR20*B43^2*F43^3+$AS20*B43*F43^4+$AT20*F43^5</f>
        <v>0.22910472270383289</v>
      </c>
      <c r="O43" s="22">
        <f t="shared" si="35"/>
        <v>0.22704782034091078</v>
      </c>
      <c r="P43" s="22">
        <f t="shared" si="35"/>
        <v>0.36381879313588977</v>
      </c>
      <c r="Q43" s="22">
        <f t="shared" si="35"/>
        <v>0.3665842667538794</v>
      </c>
      <c r="R43" s="8">
        <f t="shared" ref="R43:U45" si="36">3600*($E$4+$F$4*(-J43)+$G$4*(-N43)+$H$4*(-J43)^2+$I$4*(-J43)*(-N43)+$J$4*(-N43)^2+$K$4*(-J43)^3+$L$4*(-J43)^2*(-N43)+$M$4*(-J43)*(-N43)^2+$N$4*(-N43)^3+$O$4*(-J43)^4+$P$4*(-J43)^3*(-N43)+$Q$4*(-J43)^2*(-N43)^2+$R$4*(-J43)*(-N43)^3+$S$4*(-N43)^4+$T$4*(-J43)^5+$U$4*(-J43)^4*(-N43)+$V$4*(-J43)^3*(-N43)^2+$W$4*(-J43)^2*(-N43)^3+$X$4*(-J43)*(-N43)^4+$Y$4*(-N43)^5)</f>
        <v>145.5649404236834</v>
      </c>
      <c r="S43" s="8">
        <f t="shared" si="36"/>
        <v>302.18010853435931</v>
      </c>
      <c r="T43" s="8">
        <f t="shared" si="36"/>
        <v>445.12127717455218</v>
      </c>
      <c r="U43" s="8">
        <f t="shared" si="36"/>
        <v>285.62797616199902</v>
      </c>
      <c r="V43" s="9">
        <f t="shared" ref="V43:V46" si="37">R43</f>
        <v>145.5649404236834</v>
      </c>
      <c r="W43" s="8">
        <f t="shared" ref="W43:Z45" si="38">-3600*($Z$4+$AA$4*(-J43)+$AB$4*(-N43)+$AC$4*(-J43)^2+$AD$4*(-J43)*(-N43)+$AE$4*(-N43)^2+$AF$4*(-J43)^3+$AG$4*(-J43)^2*(-N43)+$AH$4*(-J43)*(-N43)^2+$AI$4*(-N43)^3+$AJ$4*(-J43)^4+$AK$4*(-J43)^3*(-N43)+$AL$4*(-J43)^2*(-N43)^2+$AM$4*(-J43)*(-N43)^3+$AN$4*(-N43)^4+$AO$4*(-J43)^5+$AP$4*(-J43)^4*(-N43)+$AQ$4*(-J43)^3*(-N43)^2+$AR$4*(-J43)^2*(-N43)^3+$AS$4*(-J43)*(-N43)^4+$AT$4*(-N43)^5+0.13)</f>
        <v>-492.48942360674124</v>
      </c>
      <c r="X43" s="8">
        <f t="shared" si="38"/>
        <v>-353.09332994460766</v>
      </c>
      <c r="Y43" s="8">
        <f t="shared" si="38"/>
        <v>-514.55497226326759</v>
      </c>
      <c r="Z43" s="133">
        <f t="shared" si="38"/>
        <v>-657.52076038601751</v>
      </c>
      <c r="AA43" s="8">
        <f>W43</f>
        <v>-492.48942360674124</v>
      </c>
    </row>
    <row r="44" spans="1:27" x14ac:dyDescent="0.2">
      <c r="A44" s="10" t="str">
        <f>SIAF!B4</f>
        <v>NRS1_FULL</v>
      </c>
      <c r="B44">
        <f>-SIAF!L4+0.5</f>
        <v>-1024</v>
      </c>
      <c r="C44" s="30">
        <f>-SIAF!L4+SIAF!J4+0.5</f>
        <v>1024</v>
      </c>
      <c r="D44">
        <f t="shared" ref="D44:D46" si="39">C44</f>
        <v>1024</v>
      </c>
      <c r="E44">
        <f t="shared" ref="E44:E46" si="40">B44</f>
        <v>-1024</v>
      </c>
      <c r="F44">
        <f>-SIAF!M4+0.5</f>
        <v>-1024</v>
      </c>
      <c r="G44">
        <f t="shared" ref="G44:G46" si="41">F44</f>
        <v>-1024</v>
      </c>
      <c r="H44" s="30">
        <f>-SIAF!M4+SIAF!K4+0.5</f>
        <v>1024</v>
      </c>
      <c r="I44">
        <f t="shared" ref="I44:I46" si="42">H44</f>
        <v>1024</v>
      </c>
      <c r="J44" s="22">
        <f t="shared" si="34"/>
        <v>-0.13202412104231434</v>
      </c>
      <c r="K44" s="22">
        <f t="shared" si="34"/>
        <v>-3.1552422547036236E-3</v>
      </c>
      <c r="L44" s="22">
        <f t="shared" si="34"/>
        <v>-2.1759470407456375E-3</v>
      </c>
      <c r="M44" s="22">
        <f t="shared" si="34"/>
        <v>-0.13499618133803062</v>
      </c>
      <c r="N44" s="22">
        <f t="shared" si="35"/>
        <v>0.22910472270383289</v>
      </c>
      <c r="O44" s="22">
        <f t="shared" si="35"/>
        <v>0.22704782034091078</v>
      </c>
      <c r="P44" s="22">
        <f t="shared" si="35"/>
        <v>0.36381879313588977</v>
      </c>
      <c r="Q44" s="22">
        <f t="shared" si="35"/>
        <v>0.3665842667538794</v>
      </c>
      <c r="R44" s="8">
        <f t="shared" si="36"/>
        <v>145.5649404236834</v>
      </c>
      <c r="S44" s="8">
        <f t="shared" si="36"/>
        <v>302.18010853435931</v>
      </c>
      <c r="T44" s="8">
        <f t="shared" si="36"/>
        <v>445.12127717455218</v>
      </c>
      <c r="U44" s="8">
        <f t="shared" si="36"/>
        <v>285.62797616199902</v>
      </c>
      <c r="V44" s="9">
        <f t="shared" si="37"/>
        <v>145.5649404236834</v>
      </c>
      <c r="W44" s="8">
        <f t="shared" si="38"/>
        <v>-492.48942360674124</v>
      </c>
      <c r="X44" s="8">
        <f t="shared" si="38"/>
        <v>-353.09332994460766</v>
      </c>
      <c r="Y44" s="8">
        <f t="shared" si="38"/>
        <v>-514.55497226326759</v>
      </c>
      <c r="Z44" s="133">
        <f t="shared" si="38"/>
        <v>-657.52076038601751</v>
      </c>
      <c r="AA44" s="8">
        <f>W44</f>
        <v>-492.48942360674124</v>
      </c>
    </row>
    <row r="45" spans="1:27" x14ac:dyDescent="0.2">
      <c r="A45" s="10" t="str">
        <f>SIAF!B5</f>
        <v>NRS2_FULL_OSS</v>
      </c>
      <c r="B45">
        <f>-SIAF!L5+0.5</f>
        <v>-1024</v>
      </c>
      <c r="C45" s="30">
        <f>-SIAF!L5+SIAF!J5+0.5</f>
        <v>1024</v>
      </c>
      <c r="D45">
        <f t="shared" si="39"/>
        <v>1024</v>
      </c>
      <c r="E45">
        <f t="shared" si="40"/>
        <v>-1024</v>
      </c>
      <c r="F45">
        <f>-SIAF!M5+0.5</f>
        <v>-1024</v>
      </c>
      <c r="G45">
        <f t="shared" si="41"/>
        <v>-1024</v>
      </c>
      <c r="H45" s="30">
        <f>-SIAF!M5+SIAF!K5+0.5</f>
        <v>1024</v>
      </c>
      <c r="I45">
        <f t="shared" si="42"/>
        <v>1024</v>
      </c>
      <c r="J45" s="22">
        <f t="shared" si="34"/>
        <v>0.14013109917984889</v>
      </c>
      <c r="K45" s="22">
        <f t="shared" si="34"/>
        <v>7.2481090014385047E-3</v>
      </c>
      <c r="L45" s="22">
        <f t="shared" si="34"/>
        <v>5.9837494188012281E-3</v>
      </c>
      <c r="M45" s="22">
        <f t="shared" si="34"/>
        <v>0.13486056847781636</v>
      </c>
      <c r="N45" s="22">
        <f t="shared" si="35"/>
        <v>0.36449001433213329</v>
      </c>
      <c r="O45" s="22">
        <f t="shared" si="35"/>
        <v>0.36374256692431933</v>
      </c>
      <c r="P45" s="22">
        <f t="shared" si="35"/>
        <v>0.22697371531495011</v>
      </c>
      <c r="Q45" s="22">
        <f t="shared" si="35"/>
        <v>0.22707505635546119</v>
      </c>
      <c r="R45" s="8">
        <f t="shared" si="36"/>
        <v>618.3299012093496</v>
      </c>
      <c r="S45" s="8">
        <f t="shared" si="36"/>
        <v>456.51229974582708</v>
      </c>
      <c r="T45" s="8">
        <f t="shared" si="36"/>
        <v>313.29830747804994</v>
      </c>
      <c r="U45" s="8">
        <f t="shared" si="36"/>
        <v>470.83842888160484</v>
      </c>
      <c r="V45" s="9">
        <f t="shared" si="37"/>
        <v>618.3299012093496</v>
      </c>
      <c r="W45" s="8">
        <f t="shared" si="38"/>
        <v>-363.71036608643089</v>
      </c>
      <c r="X45" s="8">
        <f t="shared" si="38"/>
        <v>-504.46434077611474</v>
      </c>
      <c r="Y45" s="8">
        <f t="shared" si="38"/>
        <v>-343.24168209375222</v>
      </c>
      <c r="Z45" s="133">
        <f t="shared" si="38"/>
        <v>-204.88659610572526</v>
      </c>
      <c r="AA45" s="8">
        <f>W45</f>
        <v>-363.71036608643089</v>
      </c>
    </row>
    <row r="46" spans="1:27" x14ac:dyDescent="0.2">
      <c r="A46" s="10" t="str">
        <f>SIAF!B6</f>
        <v>NRS2_FULL</v>
      </c>
      <c r="B46">
        <f>-SIAF!L6+0.5</f>
        <v>-1024</v>
      </c>
      <c r="C46" s="30">
        <f>-SIAF!L6+SIAF!J6+0.5</f>
        <v>1024</v>
      </c>
      <c r="D46">
        <f t="shared" si="39"/>
        <v>1024</v>
      </c>
      <c r="E46">
        <f t="shared" si="40"/>
        <v>-1024</v>
      </c>
      <c r="F46">
        <f>-SIAF!M6+0.5</f>
        <v>-1024</v>
      </c>
      <c r="G46">
        <f t="shared" si="41"/>
        <v>-1024</v>
      </c>
      <c r="H46" s="30">
        <f>-SIAF!M6+SIAF!K6+0.5</f>
        <v>1024</v>
      </c>
      <c r="I46">
        <f t="shared" si="42"/>
        <v>1024</v>
      </c>
      <c r="J46" s="22">
        <f t="shared" si="34"/>
        <v>5.9837494188012281E-3</v>
      </c>
      <c r="K46" s="22">
        <f t="shared" si="34"/>
        <v>0.13486056847781636</v>
      </c>
      <c r="L46" s="22">
        <f t="shared" si="34"/>
        <v>0.14013109917984889</v>
      </c>
      <c r="M46" s="22">
        <f t="shared" si="34"/>
        <v>7.2481090014385047E-3</v>
      </c>
      <c r="N46" s="22">
        <f t="shared" si="35"/>
        <v>0.22697371531495011</v>
      </c>
      <c r="O46" s="22">
        <f t="shared" si="35"/>
        <v>0.22707505635546119</v>
      </c>
      <c r="P46" s="22">
        <f t="shared" si="35"/>
        <v>0.36449001433213329</v>
      </c>
      <c r="Q46" s="22">
        <f t="shared" si="35"/>
        <v>0.36374256692431933</v>
      </c>
      <c r="R46" s="8">
        <f t="shared" ref="R46" si="43">3600*($E$4+$F$4*(-J46)+$G$4*(-N46)+$H$4*(-J46)^2+$I$4*(-J46)*(-N46)+$J$4*(-N46)^2+$K$4*(-J46)^3+$L$4*(-J46)^2*(-N46)+$M$4*(-J46)*(-N46)^2+$N$4*(-N46)^3+$O$4*(-J46)^4+$P$4*(-J46)^3*(-N46)+$Q$4*(-J46)^2*(-N46)^2+$R$4*(-J46)*(-N46)^3+$S$4*(-N46)^4+$T$4*(-J46)^5+$U$4*(-J46)^4*(-N46)+$V$4*(-J46)^3*(-N46)^2+$W$4*(-J46)^2*(-N46)^3+$X$4*(-J46)*(-N46)^4+$Y$4*(-N46)^5)</f>
        <v>313.29830747804994</v>
      </c>
      <c r="S46" s="8">
        <f t="shared" ref="S46" si="44">3600*($E$4+$F$4*(-K46)+$G$4*(-O46)+$H$4*(-K46)^2+$I$4*(-K46)*(-O46)+$J$4*(-O46)^2+$K$4*(-K46)^3+$L$4*(-K46)^2*(-O46)+$M$4*(-K46)*(-O46)^2+$N$4*(-O46)^3+$O$4*(-K46)^4+$P$4*(-K46)^3*(-O46)+$Q$4*(-K46)^2*(-O46)^2+$R$4*(-K46)*(-O46)^3+$S$4*(-O46)^4+$T$4*(-K46)^5+$U$4*(-K46)^4*(-O46)+$V$4*(-K46)^3*(-O46)^2+$W$4*(-K46)^2*(-O46)^3+$X$4*(-K46)*(-O46)^4+$Y$4*(-O46)^5)</f>
        <v>470.83842888160484</v>
      </c>
      <c r="T46" s="8">
        <f t="shared" ref="T46" si="45">3600*($E$4+$F$4*(-L46)+$G$4*(-P46)+$H$4*(-L46)^2+$I$4*(-L46)*(-P46)+$J$4*(-P46)^2+$K$4*(-L46)^3+$L$4*(-L46)^2*(-P46)+$M$4*(-L46)*(-P46)^2+$N$4*(-P46)^3+$O$4*(-L46)^4+$P$4*(-L46)^3*(-P46)+$Q$4*(-L46)^2*(-P46)^2+$R$4*(-L46)*(-P46)^3+$S$4*(-P46)^4+$T$4*(-L46)^5+$U$4*(-L46)^4*(-P46)+$V$4*(-L46)^3*(-P46)^2+$W$4*(-L46)^2*(-P46)^3+$X$4*(-L46)*(-P46)^4+$Y$4*(-P46)^5)</f>
        <v>618.3299012093496</v>
      </c>
      <c r="U46" s="8">
        <f t="shared" ref="U46" si="46">3600*($E$4+$F$4*(-M46)+$G$4*(-Q46)+$H$4*(-M46)^2+$I$4*(-M46)*(-Q46)+$J$4*(-Q46)^2+$K$4*(-M46)^3+$L$4*(-M46)^2*(-Q46)+$M$4*(-M46)*(-Q46)^2+$N$4*(-Q46)^3+$O$4*(-M46)^4+$P$4*(-M46)^3*(-Q46)+$Q$4*(-M46)^2*(-Q46)^2+$R$4*(-M46)*(-Q46)^3+$S$4*(-Q46)^4+$T$4*(-M46)^5+$U$4*(-M46)^4*(-Q46)+$V$4*(-M46)^3*(-Q46)^2+$W$4*(-M46)^2*(-Q46)^3+$X$4*(-M46)*(-Q46)^4+$Y$4*(-Q46)^5)</f>
        <v>456.51229974582708</v>
      </c>
      <c r="V46" s="9">
        <f t="shared" si="37"/>
        <v>313.29830747804994</v>
      </c>
      <c r="W46" s="8">
        <f t="shared" ref="W46" si="47">-3600*($Z$4+$AA$4*(-J46)+$AB$4*(-N46)+$AC$4*(-J46)^2+$AD$4*(-J46)*(-N46)+$AE$4*(-N46)^2+$AF$4*(-J46)^3+$AG$4*(-J46)^2*(-N46)+$AH$4*(-J46)*(-N46)^2+$AI$4*(-N46)^3+$AJ$4*(-J46)^4+$AK$4*(-J46)^3*(-N46)+$AL$4*(-J46)^2*(-N46)^2+$AM$4*(-J46)*(-N46)^3+$AN$4*(-N46)^4+$AO$4*(-J46)^5+$AP$4*(-J46)^4*(-N46)+$AQ$4*(-J46)^3*(-N46)^2+$AR$4*(-J46)^2*(-N46)^3+$AS$4*(-J46)*(-N46)^4+$AT$4*(-N46)^5+0.13)</f>
        <v>-343.24168209375222</v>
      </c>
      <c r="X46" s="8">
        <f t="shared" ref="X46" si="48">-3600*($Z$4+$AA$4*(-K46)+$AB$4*(-O46)+$AC$4*(-K46)^2+$AD$4*(-K46)*(-O46)+$AE$4*(-O46)^2+$AF$4*(-K46)^3+$AG$4*(-K46)^2*(-O46)+$AH$4*(-K46)*(-O46)^2+$AI$4*(-O46)^3+$AJ$4*(-K46)^4+$AK$4*(-K46)^3*(-O46)+$AL$4*(-K46)^2*(-O46)^2+$AM$4*(-K46)*(-O46)^3+$AN$4*(-O46)^4+$AO$4*(-K46)^5+$AP$4*(-K46)^4*(-O46)+$AQ$4*(-K46)^3*(-O46)^2+$AR$4*(-K46)^2*(-O46)^3+$AS$4*(-K46)*(-O46)^4+$AT$4*(-O46)^5+0.13)</f>
        <v>-204.88659610572526</v>
      </c>
      <c r="Y46" s="8">
        <f t="shared" ref="Y46" si="49">-3600*($Z$4+$AA$4*(-L46)+$AB$4*(-P46)+$AC$4*(-L46)^2+$AD$4*(-L46)*(-P46)+$AE$4*(-P46)^2+$AF$4*(-L46)^3+$AG$4*(-L46)^2*(-P46)+$AH$4*(-L46)*(-P46)^2+$AI$4*(-P46)^3+$AJ$4*(-L46)^4+$AK$4*(-L46)^3*(-P46)+$AL$4*(-L46)^2*(-P46)^2+$AM$4*(-L46)*(-P46)^3+$AN$4*(-P46)^4+$AO$4*(-L46)^5+$AP$4*(-L46)^4*(-P46)+$AQ$4*(-L46)^3*(-P46)^2+$AR$4*(-L46)^2*(-P46)^3+$AS$4*(-L46)*(-P46)^4+$AT$4*(-P46)^5+0.13)</f>
        <v>-363.71036608643089</v>
      </c>
      <c r="Z46" s="133">
        <f t="shared" ref="Z46" si="50">-3600*($Z$4+$AA$4*(-M46)+$AB$4*(-Q46)+$AC$4*(-M46)^2+$AD$4*(-M46)*(-Q46)+$AE$4*(-Q46)^2+$AF$4*(-M46)^3+$AG$4*(-M46)^2*(-Q46)+$AH$4*(-M46)*(-Q46)^2+$AI$4*(-Q46)^3+$AJ$4*(-M46)^4+$AK$4*(-M46)^3*(-Q46)+$AL$4*(-M46)^2*(-Q46)^2+$AM$4*(-M46)*(-Q46)^3+$AN$4*(-Q46)^4+$AO$4*(-M46)^5+$AP$4*(-M46)^4*(-Q46)+$AQ$4*(-M46)^3*(-Q46)^2+$AR$4*(-M46)^2*(-Q46)^3+$AS$4*(-M46)*(-Q46)^4+$AT$4*(-Q46)^5+0.13)</f>
        <v>-504.46434077611474</v>
      </c>
      <c r="AA46" s="8">
        <f t="shared" ref="AA46" si="51">W46</f>
        <v>-343.24168209375222</v>
      </c>
    </row>
    <row r="47" spans="1:27" x14ac:dyDescent="0.2">
      <c r="A47" s="10" t="str">
        <f>SIAF!B55</f>
        <v>NRS1_FP1MIMF</v>
      </c>
      <c r="J47" s="22"/>
      <c r="K47" s="22"/>
      <c r="L47" s="22"/>
      <c r="M47" s="22"/>
      <c r="N47" s="22"/>
      <c r="O47" s="22"/>
      <c r="P47" s="22"/>
      <c r="Q47" s="22"/>
      <c r="R47" s="8"/>
      <c r="S47" s="8"/>
      <c r="T47" s="8"/>
      <c r="U47" s="8"/>
      <c r="V47" s="32"/>
      <c r="W47" s="8"/>
      <c r="X47" s="8"/>
      <c r="Y47" s="8"/>
      <c r="Z47" s="133"/>
      <c r="AA47" s="8"/>
    </row>
    <row r="48" spans="1:27" x14ac:dyDescent="0.2">
      <c r="A48" s="10" t="str">
        <f>SIAF!B56</f>
        <v>NRS1_FP2MIMF</v>
      </c>
      <c r="B48">
        <f>-SIAF!L56+0.5</f>
        <v>-1133.5</v>
      </c>
      <c r="C48" s="30">
        <f>-SIAF!L56+SIAF!J56+0.5</f>
        <v>914.5</v>
      </c>
      <c r="D48">
        <f t="shared" ref="D48:D51" si="52">C48</f>
        <v>914.5</v>
      </c>
      <c r="E48">
        <f t="shared" ref="E48:E51" si="53">B48</f>
        <v>-1133.5</v>
      </c>
      <c r="F48">
        <f>-SIAF!M56+0.5</f>
        <v>-184.5</v>
      </c>
      <c r="G48">
        <f t="shared" ref="G48:G51" si="54">F48</f>
        <v>-184.5</v>
      </c>
      <c r="H48" s="30">
        <f>-SIAF!M56+SIAF!K56+0.5</f>
        <v>1863.5</v>
      </c>
      <c r="I48">
        <f t="shared" ref="I48:I51" si="55">H48</f>
        <v>1863.5</v>
      </c>
      <c r="J48" s="22">
        <f t="shared" ref="J48:M51" si="56">$E25+$F25*B48+$G25*F48+$H25*B48^2+$I25*B48*F48+$J25*F48^2+$K25*B48^3+$L25*B48^2*F48+$M25*B48*F48^2+$N25*F48^3+$O25*B48^4+$P25*B48^3*F48+$Q25*B48^2*F48^2+$R25*B48*F48^3+$S25*F48^4+$T25*B48^5+$U25*B48^4*F48+$V25*B48^3*F48^2+$W25*B48^2*F48^3+$X25*B48*F48^4+$Y25*F48^5</f>
        <v>-0.13202412104231429</v>
      </c>
      <c r="K48" s="22">
        <f t="shared" si="56"/>
        <v>-3.1552422547036362E-3</v>
      </c>
      <c r="L48" s="22">
        <f t="shared" si="56"/>
        <v>-2.1759470407456509E-3</v>
      </c>
      <c r="M48" s="22">
        <f t="shared" si="56"/>
        <v>-0.13499618133803057</v>
      </c>
      <c r="N48" s="22">
        <f t="shared" ref="N48:Q51" si="57">$Z25+$AA25*B48+$AB25*F48+$AC25*B48^2+$AD25*B48*F48+$AE25*F48^2+$AF25*B48^3+$AG25*B48^2*F48+$AH25*B48*F48^2+$AI25*F48^3+$AJ25*B48^4+$AK25*B48^3*F48+$AL25*B48^2*F48^2+$AM25*B48*F48^3+$AN25*F48^4+$AO25*B48^5+$AP25*B48^4*F48+$AQ25*B48^3*F48^2+$AR25*B48^2*F48^3+$AS25*B48*F48^4+$AT25*F48^5</f>
        <v>0.22910485846718712</v>
      </c>
      <c r="O48" s="22">
        <f t="shared" si="57"/>
        <v>0.22704795610426512</v>
      </c>
      <c r="P48" s="22">
        <f t="shared" si="57"/>
        <v>0.36381742188921901</v>
      </c>
      <c r="Q48" s="22">
        <f t="shared" si="57"/>
        <v>0.36658289550720857</v>
      </c>
      <c r="R48" s="8">
        <f t="shared" ref="R48:R51" si="58">3600*($E$4+$F$4*(-J48)+$G$4*(-N48)+$H$4*(-J48)^2+$I$4*(-J48)*(-N48)+$J$4*(-N48)^2+$K$4*(-J48)^3+$L$4*(-J48)^2*(-N48)+$M$4*(-J48)*(-N48)^2+$N$4*(-N48)^3+$O$4*(-J48)^4+$P$4*(-J48)^3*(-N48)+$Q$4*(-J48)^2*(-N48)^2+$R$4*(-J48)*(-N48)^3+$S$4*(-N48)^4+$T$4*(-J48)^5+$U$4*(-J48)^4*(-N48)+$V$4*(-J48)^3*(-N48)^2+$W$4*(-J48)^2*(-N48)^3+$X$4*(-J48)*(-N48)^4+$Y$4*(-N48)^5)</f>
        <v>145.56508427251487</v>
      </c>
      <c r="S48" s="8">
        <f t="shared" ref="S48:S51" si="59">3600*($E$4+$F$4*(-K48)+$G$4*(-O48)+$H$4*(-K48)^2+$I$4*(-K48)*(-O48)+$J$4*(-O48)^2+$K$4*(-K48)^3+$L$4*(-K48)^2*(-O48)+$M$4*(-K48)*(-O48)^2+$N$4*(-O48)^3+$O$4*(-K48)^4+$P$4*(-K48)^3*(-O48)+$Q$4*(-K48)^2*(-O48)^2+$R$4*(-K48)*(-O48)^3+$S$4*(-O48)^4+$T$4*(-K48)^5+$U$4*(-K48)^4*(-O48)+$V$4*(-K48)^3*(-O48)^2+$W$4*(-K48)^2*(-O48)^3+$X$4*(-K48)*(-O48)^4+$Y$4*(-O48)^5)</f>
        <v>302.18025086124123</v>
      </c>
      <c r="T48" s="8">
        <f t="shared" ref="T48:T51" si="60">3600*($E$4+$F$4*(-L48)+$G$4*(-P48)+$H$4*(-L48)^2+$I$4*(-L48)*(-P48)+$J$4*(-P48)^2+$K$4*(-L48)^3+$L$4*(-L48)^2*(-P48)+$M$4*(-L48)*(-P48)^2+$N$4*(-P48)^3+$O$4*(-L48)^4+$P$4*(-L48)^3*(-P48)+$Q$4*(-L48)^2*(-P48)^2+$R$4*(-L48)*(-P48)^3+$S$4*(-P48)^4+$T$4*(-L48)^5+$U$4*(-L48)^4*(-P48)+$V$4*(-L48)^3*(-P48)^2+$W$4*(-L48)^2*(-P48)^3+$X$4*(-L48)*(-P48)^4+$Y$4*(-P48)^5)</f>
        <v>445.11987436041306</v>
      </c>
      <c r="U48" s="8">
        <f t="shared" ref="U48:U51" si="61">3600*($E$4+$F$4*(-M48)+$G$4*(-Q48)+$H$4*(-M48)^2+$I$4*(-M48)*(-Q48)+$J$4*(-Q48)^2+$K$4*(-M48)^3+$L$4*(-M48)^2*(-Q48)+$M$4*(-M48)*(-Q48)^2+$N$4*(-Q48)^3+$O$4*(-M48)^4+$P$4*(-M48)^3*(-Q48)+$Q$4*(-M48)^2*(-Q48)^2+$R$4*(-M48)*(-Q48)^3+$S$4*(-Q48)^4+$T$4*(-M48)^5+$U$4*(-M48)^4*(-Q48)+$V$4*(-M48)^3*(-Q48)^2+$W$4*(-M48)^2*(-Q48)^3+$X$4*(-M48)*(-Q48)^4+$Y$4*(-Q48)^5)</f>
        <v>285.62656135463914</v>
      </c>
      <c r="V48" s="9">
        <f t="shared" ref="V48:V51" si="62">R48</f>
        <v>145.56508427251487</v>
      </c>
      <c r="W48" s="8">
        <f t="shared" ref="W48:W51" si="63">-3600*($Z$4+$AA$4*(-J48)+$AB$4*(-N48)+$AC$4*(-J48)^2+$AD$4*(-J48)*(-N48)+$AE$4*(-N48)^2+$AF$4*(-J48)^3+$AG$4*(-J48)^2*(-N48)+$AH$4*(-J48)*(-N48)^2+$AI$4*(-N48)^3+$AJ$4*(-J48)^4+$AK$4*(-J48)^3*(-N48)+$AL$4*(-J48)^2*(-N48)^2+$AM$4*(-J48)*(-N48)^3+$AN$4*(-N48)^4+$AO$4*(-J48)^5+$AP$4*(-J48)^4*(-N48)+$AQ$4*(-J48)^3*(-N48)^2+$AR$4*(-J48)^2*(-N48)^3+$AS$4*(-J48)*(-N48)^4+$AT$4*(-N48)^5+0.13)</f>
        <v>-492.48958598397172</v>
      </c>
      <c r="X48" s="8">
        <f t="shared" ref="X48:X51" si="64">-3600*($Z$4+$AA$4*(-K48)+$AB$4*(-O48)+$AC$4*(-K48)^2+$AD$4*(-K48)*(-O48)+$AE$4*(-O48)^2+$AF$4*(-K48)^3+$AG$4*(-K48)^2*(-O48)+$AH$4*(-K48)*(-O48)^2+$AI$4*(-O48)^3+$AJ$4*(-K48)^4+$AK$4*(-K48)^3*(-O48)+$AL$4*(-K48)^2*(-O48)^2+$AM$4*(-K48)*(-O48)^3+$AN$4*(-O48)^4+$AO$4*(-K48)^5+$AP$4*(-K48)^4*(-O48)+$AQ$4*(-K48)^3*(-O48)^2+$AR$4*(-K48)^2*(-O48)^3+$AS$4*(-K48)*(-O48)^4+$AT$4*(-O48)^5+0.13)</f>
        <v>-353.09349353745699</v>
      </c>
      <c r="Y48" s="8">
        <f t="shared" ref="Y48:Y51" si="65">-3600*($Z$4+$AA$4*(-L48)+$AB$4*(-P48)+$AC$4*(-L48)^2+$AD$4*(-L48)*(-P48)+$AE$4*(-P48)^2+$AF$4*(-L48)^3+$AG$4*(-L48)^2*(-P48)+$AH$4*(-L48)*(-P48)^2+$AI$4*(-P48)^3+$AJ$4*(-L48)^4+$AK$4*(-L48)^3*(-P48)+$AL$4*(-L48)^2*(-P48)^2+$AM$4*(-L48)*(-P48)^3+$AN$4*(-P48)^4+$AO$4*(-L48)^5+$AP$4*(-L48)^4*(-P48)+$AQ$4*(-L48)^3*(-P48)^2+$AR$4*(-L48)^2*(-P48)^3+$AS$4*(-L48)*(-P48)^4+$AT$4*(-P48)^5+0.13)</f>
        <v>-514.55336758131227</v>
      </c>
      <c r="Z48" s="133">
        <f t="shared" ref="Z48:Z51" si="66">-3600*($Z$4+$AA$4*(-M48)+$AB$4*(-Q48)+$AC$4*(-M48)^2+$AD$4*(-M48)*(-Q48)+$AE$4*(-Q48)^2+$AF$4*(-M48)^3+$AG$4*(-M48)^2*(-Q48)+$AH$4*(-M48)*(-Q48)^2+$AI$4*(-Q48)^3+$AJ$4*(-M48)^4+$AK$4*(-M48)^3*(-Q48)+$AL$4*(-M48)^2*(-Q48)^2+$AM$4*(-M48)*(-Q48)^3+$AN$4*(-Q48)^4+$AO$4*(-M48)^5+$AP$4*(-M48)^4*(-Q48)+$AQ$4*(-M48)^3*(-Q48)^2+$AR$4*(-M48)^2*(-Q48)^3+$AS$4*(-M48)*(-Q48)^4+$AT$4*(-Q48)^5+0.13)</f>
        <v>-657.51917691316635</v>
      </c>
      <c r="AA48" s="8">
        <f t="shared" ref="AA48:AA51" si="67">W48</f>
        <v>-492.48958598397172</v>
      </c>
    </row>
    <row r="49" spans="1:42" x14ac:dyDescent="0.2">
      <c r="A49" s="10" t="str">
        <f>SIAF!B57</f>
        <v>NRS1_FP3MIMF</v>
      </c>
      <c r="B49">
        <f>-SIAF!L57+0.5</f>
        <v>-1224.5</v>
      </c>
      <c r="C49" s="30">
        <f>-SIAF!L57+SIAF!J57+0.5</f>
        <v>823.5</v>
      </c>
      <c r="D49">
        <f t="shared" si="52"/>
        <v>823.5</v>
      </c>
      <c r="E49">
        <f t="shared" si="53"/>
        <v>-1224.5</v>
      </c>
      <c r="F49">
        <f>-SIAF!M57+0.5</f>
        <v>-1966.5</v>
      </c>
      <c r="G49">
        <f t="shared" si="54"/>
        <v>-1966.5</v>
      </c>
      <c r="H49" s="30">
        <f>-SIAF!M57+SIAF!K57+0.5</f>
        <v>81.5</v>
      </c>
      <c r="I49">
        <f t="shared" si="55"/>
        <v>81.5</v>
      </c>
      <c r="J49" s="22">
        <f t="shared" si="56"/>
        <v>-0.13202412104231434</v>
      </c>
      <c r="K49" s="22">
        <f t="shared" si="56"/>
        <v>-3.1552422547036227E-3</v>
      </c>
      <c r="L49" s="22">
        <f t="shared" si="56"/>
        <v>-2.1759470407456379E-3</v>
      </c>
      <c r="M49" s="22">
        <f t="shared" si="56"/>
        <v>-0.13499618133803057</v>
      </c>
      <c r="N49" s="22">
        <f t="shared" si="57"/>
        <v>0.22910957425543957</v>
      </c>
      <c r="O49" s="22">
        <f t="shared" si="57"/>
        <v>0.22705267189251746</v>
      </c>
      <c r="P49" s="22">
        <f t="shared" si="57"/>
        <v>0.3638185920672623</v>
      </c>
      <c r="Q49" s="22">
        <f t="shared" si="57"/>
        <v>0.36658406568525187</v>
      </c>
      <c r="R49" s="8">
        <f t="shared" si="58"/>
        <v>145.57008091043852</v>
      </c>
      <c r="S49" s="8">
        <f t="shared" si="59"/>
        <v>302.1851946345306</v>
      </c>
      <c r="T49" s="8">
        <f t="shared" si="60"/>
        <v>445.12107147714988</v>
      </c>
      <c r="U49" s="8">
        <f t="shared" si="61"/>
        <v>285.62776870600635</v>
      </c>
      <c r="V49" s="9">
        <f t="shared" si="62"/>
        <v>145.57008091043852</v>
      </c>
      <c r="W49" s="8">
        <f t="shared" si="63"/>
        <v>-492.49522621213583</v>
      </c>
      <c r="X49" s="8">
        <f t="shared" si="64"/>
        <v>-353.0991759903925</v>
      </c>
      <c r="Y49" s="8">
        <f t="shared" si="65"/>
        <v>-514.5547369655975</v>
      </c>
      <c r="Z49" s="133">
        <f t="shared" si="66"/>
        <v>-657.52052819829771</v>
      </c>
      <c r="AA49" s="8">
        <f t="shared" si="67"/>
        <v>-492.49522621213583</v>
      </c>
    </row>
    <row r="50" spans="1:42" x14ac:dyDescent="0.2">
      <c r="A50" s="10" t="str">
        <f>SIAF!B58</f>
        <v>NRS2_FP4MIMF</v>
      </c>
      <c r="B50">
        <f>-SIAF!L58+0.5</f>
        <v>-770.5</v>
      </c>
      <c r="C50" s="30">
        <f>-SIAF!L58+SIAF!J58+0.5</f>
        <v>1277.5</v>
      </c>
      <c r="D50">
        <f t="shared" si="52"/>
        <v>1277.5</v>
      </c>
      <c r="E50">
        <f t="shared" si="53"/>
        <v>-770.5</v>
      </c>
      <c r="F50">
        <f>-SIAF!M58+0.5</f>
        <v>-1810.5</v>
      </c>
      <c r="G50">
        <f t="shared" si="54"/>
        <v>-1810.5</v>
      </c>
      <c r="H50" s="30">
        <f>-SIAF!M58+SIAF!K58+0.5</f>
        <v>237.5</v>
      </c>
      <c r="I50">
        <f t="shared" si="55"/>
        <v>237.5</v>
      </c>
      <c r="J50" s="22">
        <f t="shared" si="56"/>
        <v>5.9837494188012237E-3</v>
      </c>
      <c r="K50" s="22">
        <f t="shared" si="56"/>
        <v>0.13486056847781633</v>
      </c>
      <c r="L50" s="22">
        <f t="shared" si="56"/>
        <v>0.14013109917984892</v>
      </c>
      <c r="M50" s="22">
        <f t="shared" si="56"/>
        <v>7.2481090014384986E-3</v>
      </c>
      <c r="N50" s="22">
        <f t="shared" si="57"/>
        <v>0.22697371531495014</v>
      </c>
      <c r="O50" s="22">
        <f t="shared" si="57"/>
        <v>0.22707505635546119</v>
      </c>
      <c r="P50" s="22">
        <f t="shared" si="57"/>
        <v>0.36449001433213318</v>
      </c>
      <c r="Q50" s="22">
        <f t="shared" si="57"/>
        <v>0.36374256692431939</v>
      </c>
      <c r="R50" s="8">
        <f t="shared" si="58"/>
        <v>313.29830747804994</v>
      </c>
      <c r="S50" s="8">
        <f t="shared" si="59"/>
        <v>470.83842888160473</v>
      </c>
      <c r="T50" s="8">
        <f t="shared" si="60"/>
        <v>618.3299012093496</v>
      </c>
      <c r="U50" s="8">
        <f t="shared" si="61"/>
        <v>456.51229974582714</v>
      </c>
      <c r="V50" s="9">
        <f t="shared" si="62"/>
        <v>313.29830747804994</v>
      </c>
      <c r="W50" s="8">
        <f t="shared" si="63"/>
        <v>-343.24168209375222</v>
      </c>
      <c r="X50" s="8">
        <f t="shared" si="64"/>
        <v>-204.88659610572526</v>
      </c>
      <c r="Y50" s="8">
        <f t="shared" si="65"/>
        <v>-363.71036608643072</v>
      </c>
      <c r="Z50" s="133">
        <f t="shared" si="66"/>
        <v>-504.4643407761148</v>
      </c>
      <c r="AA50" s="8">
        <f t="shared" si="67"/>
        <v>-343.24168209375222</v>
      </c>
      <c r="AB50" s="22"/>
      <c r="AC50" s="22"/>
      <c r="AD50" s="22"/>
      <c r="AE50" s="22"/>
      <c r="AF50" s="22"/>
      <c r="AG50" s="8"/>
      <c r="AH50" s="8"/>
      <c r="AI50" s="8"/>
      <c r="AJ50" s="8"/>
      <c r="AK50" s="9"/>
      <c r="AL50" s="8"/>
      <c r="AM50" s="8"/>
      <c r="AN50" s="8"/>
      <c r="AO50" s="8"/>
      <c r="AP50" s="8"/>
    </row>
    <row r="51" spans="1:42" x14ac:dyDescent="0.2">
      <c r="A51" s="10" t="str">
        <f>SIAF!B59</f>
        <v>NRS2_FP5MIMF</v>
      </c>
      <c r="B51">
        <f>-SIAF!L59+0.5</f>
        <v>-799.5</v>
      </c>
      <c r="C51" s="30">
        <f>-SIAF!L59+SIAF!J59+0.5</f>
        <v>1248.5</v>
      </c>
      <c r="D51">
        <f t="shared" si="52"/>
        <v>1248.5</v>
      </c>
      <c r="E51">
        <f t="shared" si="53"/>
        <v>-799.5</v>
      </c>
      <c r="F51">
        <f>-SIAF!M59+0.5</f>
        <v>-207.5</v>
      </c>
      <c r="G51">
        <f t="shared" si="54"/>
        <v>-207.5</v>
      </c>
      <c r="H51" s="30">
        <f>-SIAF!M59+SIAF!K59+0.5</f>
        <v>1840.5</v>
      </c>
      <c r="I51">
        <f t="shared" si="55"/>
        <v>1840.5</v>
      </c>
      <c r="J51" s="22">
        <f t="shared" si="56"/>
        <v>5.9837494188012099E-3</v>
      </c>
      <c r="K51" s="22">
        <f t="shared" si="56"/>
        <v>0.13486056847781636</v>
      </c>
      <c r="L51" s="22">
        <f t="shared" si="56"/>
        <v>0.14013109917984889</v>
      </c>
      <c r="M51" s="22">
        <f t="shared" si="56"/>
        <v>7.2481090014384847E-3</v>
      </c>
      <c r="N51" s="22">
        <f t="shared" si="57"/>
        <v>0.22697371531495009</v>
      </c>
      <c r="O51" s="22">
        <f t="shared" si="57"/>
        <v>0.22707505635546127</v>
      </c>
      <c r="P51" s="22">
        <f t="shared" si="57"/>
        <v>0.36449001433213324</v>
      </c>
      <c r="Q51" s="22">
        <f t="shared" si="57"/>
        <v>0.3637425669243195</v>
      </c>
      <c r="R51" s="8">
        <f t="shared" si="58"/>
        <v>313.29830747804982</v>
      </c>
      <c r="S51" s="8">
        <f t="shared" si="59"/>
        <v>470.83842888160507</v>
      </c>
      <c r="T51" s="8">
        <f t="shared" si="60"/>
        <v>618.32990120934971</v>
      </c>
      <c r="U51" s="8">
        <f t="shared" si="61"/>
        <v>456.51229974582725</v>
      </c>
      <c r="V51" s="9">
        <f t="shared" si="62"/>
        <v>313.29830747804982</v>
      </c>
      <c r="W51" s="8">
        <f t="shared" si="63"/>
        <v>-343.24168209375222</v>
      </c>
      <c r="X51" s="8">
        <f t="shared" si="64"/>
        <v>-204.88659610572535</v>
      </c>
      <c r="Y51" s="8">
        <f t="shared" si="65"/>
        <v>-363.71036608643084</v>
      </c>
      <c r="Z51" s="133">
        <f t="shared" si="66"/>
        <v>-504.46434077611502</v>
      </c>
      <c r="AA51" s="8">
        <f t="shared" si="67"/>
        <v>-343.24168209375222</v>
      </c>
      <c r="AB51" s="22"/>
      <c r="AC51" s="22"/>
      <c r="AD51" s="22"/>
      <c r="AE51" s="22"/>
      <c r="AF51" s="22"/>
      <c r="AG51" s="8"/>
      <c r="AH51" s="8"/>
      <c r="AI51" s="8"/>
      <c r="AJ51" s="8"/>
      <c r="AK51" s="9"/>
      <c r="AL51" s="8"/>
      <c r="AM51" s="8"/>
      <c r="AN51" s="8"/>
      <c r="AO51" s="8"/>
      <c r="AP51" s="8"/>
    </row>
    <row r="52" spans="1:42" x14ac:dyDescent="0.2">
      <c r="J52" s="22"/>
      <c r="K52" s="22"/>
      <c r="L52" s="22"/>
      <c r="M52" s="22"/>
      <c r="N52" s="22"/>
      <c r="O52" s="22"/>
      <c r="P52" s="22"/>
      <c r="Q52" s="22"/>
      <c r="R52" s="8"/>
      <c r="S52" s="8"/>
      <c r="T52" s="8"/>
      <c r="U52" s="8"/>
      <c r="V52" s="32"/>
      <c r="W52" s="8"/>
      <c r="X52" s="8"/>
      <c r="Y52" s="8"/>
      <c r="Z52" s="133"/>
      <c r="AA52" s="8"/>
    </row>
    <row r="53" spans="1:42" x14ac:dyDescent="0.2">
      <c r="A53" s="10" t="s">
        <v>288</v>
      </c>
      <c r="B53" s="97" t="s">
        <v>299</v>
      </c>
      <c r="C53" s="96">
        <v>42951</v>
      </c>
    </row>
    <row r="54" spans="1:42" s="10" customFormat="1" x14ac:dyDescent="0.2">
      <c r="A54" t="s">
        <v>300</v>
      </c>
      <c r="B54" t="s">
        <v>278</v>
      </c>
      <c r="C54" t="s">
        <v>279</v>
      </c>
      <c r="D54" t="s">
        <v>280</v>
      </c>
      <c r="E54" t="s">
        <v>281</v>
      </c>
      <c r="F54" t="s">
        <v>282</v>
      </c>
      <c r="G54" t="s">
        <v>283</v>
      </c>
      <c r="H54" t="s">
        <v>284</v>
      </c>
      <c r="I54" t="s">
        <v>285</v>
      </c>
      <c r="J54" t="s">
        <v>286</v>
      </c>
      <c r="K54" t="s">
        <v>287</v>
      </c>
      <c r="L54" t="s">
        <v>301</v>
      </c>
      <c r="M54" s="10" t="s">
        <v>289</v>
      </c>
      <c r="N54" s="10" t="s">
        <v>290</v>
      </c>
      <c r="O54" s="10" t="s">
        <v>291</v>
      </c>
      <c r="P54" s="10" t="s">
        <v>292</v>
      </c>
      <c r="Q54" s="10" t="s">
        <v>293</v>
      </c>
      <c r="R54" s="10" t="s">
        <v>294</v>
      </c>
      <c r="S54" s="10" t="s">
        <v>295</v>
      </c>
      <c r="T54" s="10" t="s">
        <v>296</v>
      </c>
      <c r="U54" s="10" t="s">
        <v>297</v>
      </c>
      <c r="Z54" s="131"/>
    </row>
    <row r="55" spans="1:42" x14ac:dyDescent="0.2">
      <c r="A55" t="s">
        <v>200</v>
      </c>
      <c r="B55">
        <v>333.21844499999997</v>
      </c>
      <c r="C55">
        <v>-480.31268299999999</v>
      </c>
      <c r="D55">
        <v>331.05993699999999</v>
      </c>
      <c r="E55">
        <v>-477.85049400000003</v>
      </c>
      <c r="F55">
        <v>330.91607699999997</v>
      </c>
      <c r="G55">
        <v>-477.97876000000002</v>
      </c>
      <c r="H55">
        <v>333.07455399999998</v>
      </c>
      <c r="I55">
        <v>-480.44094799999999</v>
      </c>
      <c r="J55">
        <v>332.136078</v>
      </c>
      <c r="K55">
        <v>-479.22421300000002</v>
      </c>
      <c r="L55">
        <v>138.76059000000001</v>
      </c>
      <c r="M55" s="3">
        <f>RADIANS(L55)</f>
        <v>2.4218291675099186</v>
      </c>
      <c r="N55" s="81">
        <f>(-1)*((B55-$J55)*COS($M55)-(C55-$K55)*SIN($M55))</f>
        <v>9.6371617725611758E-2</v>
      </c>
      <c r="O55" s="81">
        <f>(-1)*((D55-$J55)*COS($M55)-(E55-$K55)*SIN($M55))</f>
        <v>9.6348187771894245E-2</v>
      </c>
      <c r="P55" s="81">
        <f>(-1)*((F55-$J55)*COS($M55)-(G55-$K55)*SIN($M55))</f>
        <v>-9.6382841558737331E-2</v>
      </c>
      <c r="Q55" s="81">
        <f>(-1)*((H55-$J55)*COS($M55)-(I55-$K55)*SIN($M55))</f>
        <v>-9.6382063209679236E-2</v>
      </c>
      <c r="R55" s="81">
        <f>(B55-$J55)*SIN($M55)+(C55-$K55)*COS($M55)</f>
        <v>1.5319914408657243</v>
      </c>
      <c r="S55" s="81">
        <f>(D55-$J55)*SIN($M55)+(E55-$K55)*COS($M55)</f>
        <v>-1.7423835311305806</v>
      </c>
      <c r="T55" s="81">
        <f>(F55-$J55)*SIN($M55)+(G55-$K55)*COS($M55)</f>
        <v>-1.7407659127703294</v>
      </c>
      <c r="U55" s="81">
        <f>(H55-$J55)*SIN($M55)+(I55-$K55)*COS($M55)</f>
        <v>1.5335878718522584</v>
      </c>
    </row>
    <row r="56" spans="1:42" x14ac:dyDescent="0.2">
      <c r="A56" t="s">
        <v>202</v>
      </c>
      <c r="B56">
        <v>316.07492100000002</v>
      </c>
      <c r="C56">
        <v>-490.54974399999998</v>
      </c>
      <c r="D56">
        <v>313.90048200000001</v>
      </c>
      <c r="E56">
        <v>-488.06304899999998</v>
      </c>
      <c r="F56">
        <v>313.75573700000001</v>
      </c>
      <c r="G56">
        <v>-488.19235200000003</v>
      </c>
      <c r="H56">
        <v>315.93014499999998</v>
      </c>
      <c r="I56">
        <v>-490.67907700000001</v>
      </c>
      <c r="J56">
        <v>314.98486300000002</v>
      </c>
      <c r="K56">
        <v>-489.45056199999999</v>
      </c>
      <c r="L56">
        <v>138.83282500000001</v>
      </c>
      <c r="M56" s="3">
        <f t="shared" ref="M56:M102" si="68">RADIANS(L56)</f>
        <v>2.4230899060950968</v>
      </c>
      <c r="N56" s="81">
        <f t="shared" ref="N56:N102" si="69">(-1)*((B56-$J56)*COS($M56)-(C56-$K56)*SIN($M56))</f>
        <v>9.7041442977280457E-2</v>
      </c>
      <c r="O56" s="81">
        <f t="shared" ref="O56:O102" si="70">(-1)*((D56-$J56)*COS($M56)-(E56-$K56)*SIN($M56))</f>
        <v>9.7028429163465657E-2</v>
      </c>
      <c r="P56" s="81">
        <f t="shared" ref="P56:P102" si="71">(-1)*((F56-$J56)*COS($M56)-(G56-$K56)*SIN($M56))</f>
        <v>-9.7049242505614752E-2</v>
      </c>
      <c r="Q56" s="81">
        <f t="shared" ref="Q56:Q102" si="72">(-1)*((H56-$J56)*COS($M56)-(I56-$K56)*SIN($M56))</f>
        <v>-9.7079312997217282E-2</v>
      </c>
      <c r="R56" s="81">
        <f t="shared" ref="R56:R102" si="73">(B56-$J56)*SIN($M56)+(C56-$K56)*COS($M56)</f>
        <v>1.5449952979970041</v>
      </c>
      <c r="S56" s="81">
        <f t="shared" ref="S56:S102" si="74">(D56-$J56)*SIN($M56)+(E56-$K56)*COS($M56)</f>
        <v>-1.7583116794994345</v>
      </c>
      <c r="T56" s="81">
        <f t="shared" ref="T56:T102" si="75">(F56-$J56)*SIN($M56)+(G56-$K56)*COS($M56)</f>
        <v>-1.7562529921696965</v>
      </c>
      <c r="U56" s="81">
        <f t="shared" ref="U56:U102" si="76">(H56-$J56)*SIN($M56)+(I56-$K56)*COS($M56)</f>
        <v>1.5470561630842488</v>
      </c>
    </row>
    <row r="57" spans="1:42" x14ac:dyDescent="0.2">
      <c r="A57" t="s">
        <v>201</v>
      </c>
      <c r="B57">
        <v>323.18826300000001</v>
      </c>
      <c r="C57">
        <v>-479.14230300000003</v>
      </c>
      <c r="D57">
        <v>320.71118200000001</v>
      </c>
      <c r="E57">
        <v>-476.31454500000001</v>
      </c>
      <c r="F57">
        <v>320.41659499999997</v>
      </c>
      <c r="G57">
        <v>-476.57730099999998</v>
      </c>
      <c r="H57">
        <v>322.89361600000001</v>
      </c>
      <c r="I57">
        <v>-479.40515099999999</v>
      </c>
      <c r="J57">
        <v>321.87158199999999</v>
      </c>
      <c r="K57">
        <v>-477.93875100000002</v>
      </c>
      <c r="L57">
        <v>138.78276099999999</v>
      </c>
      <c r="M57" s="3">
        <f t="shared" si="68"/>
        <v>2.422216124458378</v>
      </c>
      <c r="N57" s="81">
        <f t="shared" si="69"/>
        <v>0.1973899769522478</v>
      </c>
      <c r="O57" s="81">
        <f t="shared" si="70"/>
        <v>0.19734277278794188</v>
      </c>
      <c r="P57" s="81">
        <f t="shared" si="71"/>
        <v>-0.19738456916018854</v>
      </c>
      <c r="Q57" s="81">
        <f t="shared" si="72"/>
        <v>-0.19744311825222716</v>
      </c>
      <c r="R57" s="81">
        <f t="shared" si="73"/>
        <v>1.7729138358825678</v>
      </c>
      <c r="S57" s="81">
        <f t="shared" si="74"/>
        <v>-1.9863607729877202</v>
      </c>
      <c r="T57" s="81">
        <f t="shared" si="75"/>
        <v>-1.9828193575125863</v>
      </c>
      <c r="U57" s="81">
        <f t="shared" si="76"/>
        <v>1.776484920344322</v>
      </c>
    </row>
    <row r="58" spans="1:42" x14ac:dyDescent="0.2">
      <c r="A58" t="s">
        <v>203</v>
      </c>
      <c r="B58">
        <v>322.657104</v>
      </c>
      <c r="C58">
        <v>-473.749908</v>
      </c>
      <c r="D58">
        <v>321.60046399999999</v>
      </c>
      <c r="E58">
        <v>-472.54422</v>
      </c>
      <c r="F58">
        <v>320.40692100000001</v>
      </c>
      <c r="G58">
        <v>-473.60855099999998</v>
      </c>
      <c r="H58">
        <v>321.46346999999997</v>
      </c>
      <c r="I58">
        <v>-474.81436200000002</v>
      </c>
      <c r="J58">
        <v>321.53195199999999</v>
      </c>
      <c r="K58">
        <v>-473.67919899999998</v>
      </c>
      <c r="L58">
        <v>138.77143899999999</v>
      </c>
      <c r="M58" s="3">
        <f t="shared" si="68"/>
        <v>2.422018518280467</v>
      </c>
      <c r="N58" s="81">
        <f t="shared" si="69"/>
        <v>0.79960980763367095</v>
      </c>
      <c r="O58" s="81">
        <f t="shared" si="70"/>
        <v>0.79955125255697712</v>
      </c>
      <c r="P58" s="81">
        <f t="shared" si="71"/>
        <v>-0.79955900810195768</v>
      </c>
      <c r="Q58" s="81">
        <f t="shared" si="72"/>
        <v>-0.7996499578207541</v>
      </c>
      <c r="R58" s="81">
        <f t="shared" si="73"/>
        <v>0.79472696023293343</v>
      </c>
      <c r="S58" s="81">
        <f t="shared" si="74"/>
        <v>-0.80844852595544969</v>
      </c>
      <c r="T58" s="81">
        <f t="shared" si="75"/>
        <v>-0.79460133616044604</v>
      </c>
      <c r="U58" s="81">
        <f t="shared" si="76"/>
        <v>0.80860668179922057</v>
      </c>
    </row>
    <row r="59" spans="1:42" x14ac:dyDescent="0.2">
      <c r="A59" t="s">
        <v>204</v>
      </c>
      <c r="B59">
        <v>441.59146099999998</v>
      </c>
      <c r="C59">
        <v>-365.60122699999999</v>
      </c>
      <c r="D59">
        <v>439.38928199999998</v>
      </c>
      <c r="E59">
        <v>-363.14187600000002</v>
      </c>
      <c r="F59">
        <v>439.238068</v>
      </c>
      <c r="G59">
        <v>-363.27441399999998</v>
      </c>
      <c r="H59">
        <v>441.44021600000002</v>
      </c>
      <c r="I59">
        <v>-365.73379499999999</v>
      </c>
      <c r="J59">
        <v>440.48492399999998</v>
      </c>
      <c r="K59">
        <v>-364.51617399999998</v>
      </c>
      <c r="L59">
        <v>138.15811199999999</v>
      </c>
      <c r="M59" s="3">
        <f t="shared" si="68"/>
        <v>2.4113139427390879</v>
      </c>
      <c r="N59" s="81">
        <f t="shared" si="69"/>
        <v>0.10054312779091412</v>
      </c>
      <c r="O59" s="81">
        <f t="shared" si="70"/>
        <v>0.10052229487623066</v>
      </c>
      <c r="P59" s="81">
        <f t="shared" si="71"/>
        <v>-0.10054348844302752</v>
      </c>
      <c r="Q59" s="81">
        <f t="shared" si="72"/>
        <v>-0.10056576249106985</v>
      </c>
      <c r="R59" s="81">
        <f t="shared" si="73"/>
        <v>1.546497728621695</v>
      </c>
      <c r="S59" s="81">
        <f t="shared" si="74"/>
        <v>-1.7547141229273455</v>
      </c>
      <c r="T59" s="81">
        <f t="shared" si="75"/>
        <v>-1.7568462622744354</v>
      </c>
      <c r="U59" s="81">
        <f t="shared" si="76"/>
        <v>1.5443672595337197</v>
      </c>
    </row>
    <row r="60" spans="1:42" x14ac:dyDescent="0.2">
      <c r="A60" t="s">
        <v>215</v>
      </c>
      <c r="B60">
        <v>302.34231599999998</v>
      </c>
      <c r="C60">
        <v>-498.37725799999998</v>
      </c>
      <c r="D60">
        <v>300.24301100000002</v>
      </c>
      <c r="E60">
        <v>-495.97183200000001</v>
      </c>
      <c r="F60">
        <v>297.93515000000002</v>
      </c>
      <c r="G60">
        <v>-498.03656000000001</v>
      </c>
      <c r="H60">
        <v>300.03433200000001</v>
      </c>
      <c r="I60">
        <v>-500.44278000000003</v>
      </c>
      <c r="J60">
        <v>300.15011600000003</v>
      </c>
      <c r="K60">
        <v>-498.12496900000002</v>
      </c>
      <c r="L60">
        <v>138.89297500000001</v>
      </c>
      <c r="M60" s="3">
        <f t="shared" si="68"/>
        <v>2.4241397216401714</v>
      </c>
      <c r="N60" s="81">
        <f t="shared" si="69"/>
        <v>1.4859131119388571</v>
      </c>
      <c r="O60" s="81">
        <f t="shared" si="70"/>
        <v>1.4856126742054514</v>
      </c>
      <c r="P60" s="81">
        <f t="shared" si="71"/>
        <v>-1.6108126970408709</v>
      </c>
      <c r="Q60" s="81">
        <f t="shared" si="72"/>
        <v>-1.611126966992209</v>
      </c>
      <c r="R60" s="81">
        <f t="shared" si="73"/>
        <v>1.6313959676574459</v>
      </c>
      <c r="S60" s="81">
        <f t="shared" si="74"/>
        <v>-1.5612762100391437</v>
      </c>
      <c r="T60" s="81">
        <f t="shared" si="75"/>
        <v>-1.5228831168178782</v>
      </c>
      <c r="U60" s="81">
        <f t="shared" si="76"/>
        <v>1.6703064576919762</v>
      </c>
    </row>
    <row r="61" spans="1:42" s="99" customFormat="1" x14ac:dyDescent="0.2">
      <c r="A61" s="99" t="s">
        <v>241</v>
      </c>
      <c r="B61" s="99">
        <v>301.19601399999999</v>
      </c>
      <c r="C61" s="99">
        <v>-499.406586</v>
      </c>
      <c r="D61" s="99">
        <v>299.09329200000002</v>
      </c>
      <c r="E61" s="99">
        <v>-496.99679600000002</v>
      </c>
      <c r="F61" s="99">
        <v>299.01623499999999</v>
      </c>
      <c r="G61" s="99">
        <v>-497.06573500000002</v>
      </c>
      <c r="H61" s="99">
        <v>301.11892699999999</v>
      </c>
      <c r="I61" s="99">
        <v>-499.47555499999999</v>
      </c>
      <c r="J61" s="99">
        <v>300.108093</v>
      </c>
      <c r="K61" s="99">
        <v>-498.23413099999999</v>
      </c>
      <c r="L61" s="99">
        <v>138.89312699999999</v>
      </c>
      <c r="M61" s="102">
        <f t="shared" si="68"/>
        <v>2.4241423745406339</v>
      </c>
      <c r="N61" s="107">
        <f t="shared" si="69"/>
        <v>4.8882771751681542E-2</v>
      </c>
      <c r="O61" s="107">
        <f t="shared" si="70"/>
        <v>4.8868387571157301E-2</v>
      </c>
      <c r="P61" s="107">
        <f t="shared" si="71"/>
        <v>-5.4517893364154579E-2</v>
      </c>
      <c r="Q61" s="107">
        <f t="shared" si="72"/>
        <v>-5.454583768859389E-2</v>
      </c>
      <c r="R61" s="107">
        <f t="shared" si="73"/>
        <v>1.5986973772080484</v>
      </c>
      <c r="S61" s="107">
        <f t="shared" si="74"/>
        <v>-1.5995095662490058</v>
      </c>
      <c r="T61" s="107">
        <f t="shared" si="75"/>
        <v>-1.598227425707329</v>
      </c>
      <c r="U61" s="107">
        <f t="shared" si="76"/>
        <v>1.5999823983165609</v>
      </c>
      <c r="Z61" s="127"/>
    </row>
    <row r="62" spans="1:42" x14ac:dyDescent="0.2">
      <c r="A62" t="s">
        <v>242</v>
      </c>
      <c r="B62">
        <v>301.27304099999998</v>
      </c>
      <c r="C62">
        <v>-499.33764600000001</v>
      </c>
      <c r="D62">
        <v>299.17031900000001</v>
      </c>
      <c r="E62">
        <v>-496.927887</v>
      </c>
      <c r="F62">
        <v>299.09329200000002</v>
      </c>
      <c r="G62">
        <v>-496.99679600000002</v>
      </c>
      <c r="H62">
        <v>301.19601399999999</v>
      </c>
      <c r="I62">
        <v>-499.406586</v>
      </c>
      <c r="J62">
        <v>300.185181</v>
      </c>
      <c r="K62">
        <v>-498.16516100000001</v>
      </c>
      <c r="L62">
        <v>138.89276100000001</v>
      </c>
      <c r="M62" s="3">
        <f t="shared" si="68"/>
        <v>2.4241359866355721</v>
      </c>
      <c r="N62" s="81">
        <f t="shared" si="69"/>
        <v>4.8806873009976881E-2</v>
      </c>
      <c r="O62" s="81">
        <f t="shared" si="70"/>
        <v>4.8792537087869237E-2</v>
      </c>
      <c r="P62" s="81">
        <f t="shared" si="71"/>
        <v>-5.4551423512119168E-2</v>
      </c>
      <c r="Q62" s="81">
        <f t="shared" si="72"/>
        <v>-5.4557469173918016E-2</v>
      </c>
      <c r="R62" s="81">
        <f t="shared" si="73"/>
        <v>1.598680188146437</v>
      </c>
      <c r="S62" s="81">
        <f t="shared" si="74"/>
        <v>-1.599503397447017</v>
      </c>
      <c r="T62" s="81">
        <f t="shared" si="75"/>
        <v>-1.5982247976235211</v>
      </c>
      <c r="U62" s="81">
        <f t="shared" si="76"/>
        <v>1.5999821458601655</v>
      </c>
    </row>
    <row r="63" spans="1:42" x14ac:dyDescent="0.2">
      <c r="A63" t="s">
        <v>243</v>
      </c>
      <c r="B63">
        <v>301.11892699999999</v>
      </c>
      <c r="C63">
        <v>-499.47555499999999</v>
      </c>
      <c r="D63">
        <v>299.01623499999999</v>
      </c>
      <c r="E63">
        <v>-497.06573500000002</v>
      </c>
      <c r="F63">
        <v>298.93914799999999</v>
      </c>
      <c r="G63">
        <v>-497.13476600000001</v>
      </c>
      <c r="H63">
        <v>301.041809</v>
      </c>
      <c r="I63">
        <v>-499.544556</v>
      </c>
      <c r="J63">
        <v>300.03097500000001</v>
      </c>
      <c r="K63">
        <v>-498.30313100000001</v>
      </c>
      <c r="L63">
        <v>138.893494</v>
      </c>
      <c r="M63" s="3">
        <f t="shared" si="68"/>
        <v>2.4241487798989891</v>
      </c>
      <c r="N63" s="81">
        <f t="shared" si="69"/>
        <v>4.8936751416377766E-2</v>
      </c>
      <c r="O63" s="81">
        <f t="shared" si="70"/>
        <v>4.8944210060798521E-2</v>
      </c>
      <c r="P63" s="81">
        <f t="shared" si="71"/>
        <v>-5.4525153716534103E-2</v>
      </c>
      <c r="Q63" s="81">
        <f t="shared" si="72"/>
        <v>-5.4536246687659662E-2</v>
      </c>
      <c r="R63" s="81">
        <f t="shared" si="73"/>
        <v>1.5986940871976421</v>
      </c>
      <c r="S63" s="81">
        <f t="shared" si="74"/>
        <v>-1.5995157369396322</v>
      </c>
      <c r="T63" s="81">
        <f t="shared" si="75"/>
        <v>-1.5981833370318395</v>
      </c>
      <c r="U63" s="81">
        <f t="shared" si="76"/>
        <v>1.5999835011581154</v>
      </c>
    </row>
    <row r="64" spans="1:42" x14ac:dyDescent="0.2">
      <c r="A64" t="s">
        <v>244</v>
      </c>
      <c r="B64">
        <v>301.34997600000003</v>
      </c>
      <c r="C64">
        <v>-499.26876800000002</v>
      </c>
      <c r="D64">
        <v>299.24728399999998</v>
      </c>
      <c r="E64">
        <v>-496.85906999999997</v>
      </c>
      <c r="F64">
        <v>299.17031900000001</v>
      </c>
      <c r="G64">
        <v>-496.927887</v>
      </c>
      <c r="H64">
        <v>301.27304099999998</v>
      </c>
      <c r="I64">
        <v>-499.33764600000001</v>
      </c>
      <c r="J64">
        <v>300.26220699999999</v>
      </c>
      <c r="K64">
        <v>-498.09625199999999</v>
      </c>
      <c r="L64">
        <v>138.89239499999999</v>
      </c>
      <c r="M64" s="3">
        <f t="shared" si="68"/>
        <v>2.4241295987305094</v>
      </c>
      <c r="N64" s="81">
        <f t="shared" si="69"/>
        <v>4.8707712730709396E-2</v>
      </c>
      <c r="O64" s="81">
        <f t="shared" si="70"/>
        <v>4.8696304794617395E-2</v>
      </c>
      <c r="P64" s="81">
        <f t="shared" si="71"/>
        <v>-5.4540460726601458E-2</v>
      </c>
      <c r="Q64" s="81">
        <f t="shared" si="72"/>
        <v>-5.4546554497611699E-2</v>
      </c>
      <c r="R64" s="81">
        <f t="shared" si="73"/>
        <v>1.5986440273987497</v>
      </c>
      <c r="S64" s="81">
        <f t="shared" si="74"/>
        <v>-1.5994738719192685</v>
      </c>
      <c r="T64" s="81">
        <f t="shared" si="75"/>
        <v>-1.5982244885849672</v>
      </c>
      <c r="U64" s="81">
        <f t="shared" si="76"/>
        <v>1.5999590970348119</v>
      </c>
    </row>
    <row r="65" spans="1:21" x14ac:dyDescent="0.2">
      <c r="A65" t="s">
        <v>245</v>
      </c>
      <c r="B65">
        <v>301.041809</v>
      </c>
      <c r="C65">
        <v>-499.544556</v>
      </c>
      <c r="D65">
        <v>298.93914799999999</v>
      </c>
      <c r="E65">
        <v>-497.13476600000001</v>
      </c>
      <c r="F65">
        <v>298.86203</v>
      </c>
      <c r="G65">
        <v>-497.20385700000003</v>
      </c>
      <c r="H65">
        <v>300.96460000000002</v>
      </c>
      <c r="I65">
        <v>-499.61355600000002</v>
      </c>
      <c r="J65">
        <v>299.95379600000001</v>
      </c>
      <c r="K65">
        <v>-498.37219199999998</v>
      </c>
      <c r="L65">
        <v>138.89385999999999</v>
      </c>
      <c r="M65" s="3">
        <f t="shared" si="68"/>
        <v>2.4241551678040509</v>
      </c>
      <c r="N65" s="81">
        <f t="shared" si="69"/>
        <v>4.9032374150629887E-2</v>
      </c>
      <c r="O65" s="81">
        <f t="shared" si="70"/>
        <v>4.9023037535620873E-2</v>
      </c>
      <c r="P65" s="81">
        <f t="shared" si="71"/>
        <v>-5.4509123369318124E-2</v>
      </c>
      <c r="Q65" s="81">
        <f t="shared" si="72"/>
        <v>-5.4508526116325173E-2</v>
      </c>
      <c r="R65" s="81">
        <f t="shared" si="73"/>
        <v>1.5986886698010241</v>
      </c>
      <c r="S65" s="81">
        <f t="shared" si="74"/>
        <v>-1.5994781683945405</v>
      </c>
      <c r="T65" s="81">
        <f t="shared" si="75"/>
        <v>-1.5981202790936675</v>
      </c>
      <c r="U65" s="81">
        <f t="shared" si="76"/>
        <v>1.5999181627485584</v>
      </c>
    </row>
    <row r="66" spans="1:21" x14ac:dyDescent="0.2">
      <c r="A66" t="s">
        <v>246</v>
      </c>
      <c r="B66">
        <v>301.42681900000002</v>
      </c>
      <c r="C66">
        <v>-499.19988999999998</v>
      </c>
      <c r="D66">
        <v>299.32421900000003</v>
      </c>
      <c r="E66">
        <v>-496.790344</v>
      </c>
      <c r="F66">
        <v>299.24728399999998</v>
      </c>
      <c r="G66">
        <v>-496.85906999999997</v>
      </c>
      <c r="H66">
        <v>301.34997600000003</v>
      </c>
      <c r="I66">
        <v>-499.26876800000002</v>
      </c>
      <c r="J66">
        <v>300.33917200000002</v>
      </c>
      <c r="K66">
        <v>-498.02737400000001</v>
      </c>
      <c r="L66">
        <v>138.89202900000001</v>
      </c>
      <c r="M66" s="3">
        <f t="shared" si="68"/>
        <v>2.4241232108254476</v>
      </c>
      <c r="N66" s="81">
        <f t="shared" si="69"/>
        <v>4.8605577167891378E-2</v>
      </c>
      <c r="O66" s="81">
        <f t="shared" si="70"/>
        <v>4.8583980951497852E-2</v>
      </c>
      <c r="P66" s="81">
        <f t="shared" si="71"/>
        <v>-5.4570357703798922E-2</v>
      </c>
      <c r="Q66" s="81">
        <f t="shared" si="72"/>
        <v>-5.457937904122423E-2</v>
      </c>
      <c r="R66" s="81">
        <f t="shared" si="73"/>
        <v>1.5985641259371244</v>
      </c>
      <c r="S66" s="81">
        <f t="shared" si="74"/>
        <v>-1.5993787574880121</v>
      </c>
      <c r="T66" s="81">
        <f t="shared" si="75"/>
        <v>-1.598178875163931</v>
      </c>
      <c r="U66" s="81">
        <f t="shared" si="76"/>
        <v>1.5999390241617095</v>
      </c>
    </row>
    <row r="67" spans="1:21" x14ac:dyDescent="0.2">
      <c r="A67" t="s">
        <v>247</v>
      </c>
      <c r="B67">
        <v>300.96460000000002</v>
      </c>
      <c r="C67">
        <v>-499.61355600000002</v>
      </c>
      <c r="D67">
        <v>298.86203</v>
      </c>
      <c r="E67">
        <v>-497.20385700000003</v>
      </c>
      <c r="F67">
        <v>298.78488199999998</v>
      </c>
      <c r="G67">
        <v>-497.27298000000002</v>
      </c>
      <c r="H67">
        <v>300.88732900000002</v>
      </c>
      <c r="I67">
        <v>-499.68261699999999</v>
      </c>
      <c r="J67">
        <v>299.87655599999999</v>
      </c>
      <c r="K67">
        <v>-498.44131499999997</v>
      </c>
      <c r="L67">
        <v>138.89424099999999</v>
      </c>
      <c r="M67" s="3">
        <f t="shared" si="68"/>
        <v>2.4241618175085011</v>
      </c>
      <c r="N67" s="81">
        <f t="shared" si="69"/>
        <v>4.9147229844682894E-2</v>
      </c>
      <c r="O67" s="81">
        <f t="shared" si="70"/>
        <v>4.9125366581231678E-2</v>
      </c>
      <c r="P67" s="81">
        <f t="shared" si="71"/>
        <v>-5.4450428642815352E-2</v>
      </c>
      <c r="Q67" s="81">
        <f t="shared" si="72"/>
        <v>-5.448048358776536E-2</v>
      </c>
      <c r="R67" s="81">
        <f t="shared" si="73"/>
        <v>1.5986160445259352</v>
      </c>
      <c r="S67" s="81">
        <f t="shared" si="74"/>
        <v>-1.5994223972416126</v>
      </c>
      <c r="T67" s="81">
        <f t="shared" si="75"/>
        <v>-1.5980594310980858</v>
      </c>
      <c r="U67" s="81">
        <f t="shared" si="76"/>
        <v>1.5998514273647877</v>
      </c>
    </row>
    <row r="68" spans="1:21" x14ac:dyDescent="0.2">
      <c r="A68" t="s">
        <v>248</v>
      </c>
      <c r="B68">
        <v>301.503601</v>
      </c>
      <c r="C68">
        <v>-499.13107300000001</v>
      </c>
      <c r="D68">
        <v>299.40112299999998</v>
      </c>
      <c r="E68">
        <v>-496.72164900000001</v>
      </c>
      <c r="F68">
        <v>299.32421900000003</v>
      </c>
      <c r="G68">
        <v>-496.790344</v>
      </c>
      <c r="H68">
        <v>301.42681900000002</v>
      </c>
      <c r="I68">
        <v>-499.19988999999998</v>
      </c>
      <c r="J68">
        <v>300.41607699999997</v>
      </c>
      <c r="K68">
        <v>-497.95855699999998</v>
      </c>
      <c r="L68">
        <v>138.89166299999999</v>
      </c>
      <c r="M68" s="3">
        <f t="shared" si="68"/>
        <v>2.4241168229203849</v>
      </c>
      <c r="N68" s="81">
        <f t="shared" si="69"/>
        <v>4.8502689160108137E-2</v>
      </c>
      <c r="O68" s="81">
        <f t="shared" si="70"/>
        <v>4.8513231006031776E-2</v>
      </c>
      <c r="P68" s="81">
        <f t="shared" si="71"/>
        <v>-5.4597375780640722E-2</v>
      </c>
      <c r="Q68" s="81">
        <f t="shared" si="72"/>
        <v>-5.4596207719782686E-2</v>
      </c>
      <c r="R68" s="81">
        <f t="shared" si="73"/>
        <v>1.5984835657511072</v>
      </c>
      <c r="S68" s="81">
        <f t="shared" si="74"/>
        <v>-1.5992871815272145</v>
      </c>
      <c r="T68" s="81">
        <f t="shared" si="75"/>
        <v>-1.5980909336113203</v>
      </c>
      <c r="U68" s="81">
        <f t="shared" si="76"/>
        <v>1.599851949886524</v>
      </c>
    </row>
    <row r="69" spans="1:21" x14ac:dyDescent="0.2">
      <c r="A69" t="s">
        <v>249</v>
      </c>
      <c r="B69">
        <v>300.88732900000002</v>
      </c>
      <c r="C69">
        <v>-499.68261699999999</v>
      </c>
      <c r="D69">
        <v>298.78488199999998</v>
      </c>
      <c r="E69">
        <v>-497.27298000000002</v>
      </c>
      <c r="F69">
        <v>298.70770299999998</v>
      </c>
      <c r="G69">
        <v>-497.34216300000003</v>
      </c>
      <c r="H69">
        <v>300.80999800000001</v>
      </c>
      <c r="I69">
        <v>-499.75167800000003</v>
      </c>
      <c r="J69">
        <v>299.79931599999998</v>
      </c>
      <c r="K69">
        <v>-498.51043700000002</v>
      </c>
      <c r="L69">
        <v>138.89460800000001</v>
      </c>
      <c r="M69" s="3">
        <f t="shared" si="68"/>
        <v>2.4241682228668564</v>
      </c>
      <c r="N69" s="81">
        <f t="shared" si="69"/>
        <v>4.9174215220834205E-2</v>
      </c>
      <c r="O69" s="81">
        <f t="shared" si="70"/>
        <v>4.9183786400746943E-2</v>
      </c>
      <c r="P69" s="81">
        <f t="shared" si="71"/>
        <v>-5.4454805407708196E-2</v>
      </c>
      <c r="Q69" s="81">
        <f t="shared" si="72"/>
        <v>-5.4498700387945909E-2</v>
      </c>
      <c r="R69" s="81">
        <f t="shared" si="73"/>
        <v>1.5985493852635404</v>
      </c>
      <c r="S69" s="81">
        <f t="shared" si="74"/>
        <v>-1.5993614733262427</v>
      </c>
      <c r="T69" s="81">
        <f t="shared" si="75"/>
        <v>-1.5979730144820941</v>
      </c>
      <c r="U69" s="81">
        <f t="shared" si="76"/>
        <v>1.5997459851054772</v>
      </c>
    </row>
    <row r="70" spans="1:21" x14ac:dyDescent="0.2">
      <c r="A70" t="s">
        <v>250</v>
      </c>
      <c r="B70">
        <v>301.58032200000002</v>
      </c>
      <c r="C70">
        <v>-499.06228599999997</v>
      </c>
      <c r="D70">
        <v>299.47796599999998</v>
      </c>
      <c r="E70">
        <v>-496.65304600000002</v>
      </c>
      <c r="F70">
        <v>299.40112299999998</v>
      </c>
      <c r="G70">
        <v>-496.72164900000001</v>
      </c>
      <c r="H70">
        <v>301.503601</v>
      </c>
      <c r="I70">
        <v>-499.13107300000001</v>
      </c>
      <c r="J70">
        <v>300.49288899999999</v>
      </c>
      <c r="K70">
        <v>-497.88980099999998</v>
      </c>
      <c r="L70">
        <v>138.89128099999999</v>
      </c>
      <c r="M70" s="3">
        <f t="shared" si="68"/>
        <v>2.4241101557626421</v>
      </c>
      <c r="N70" s="81">
        <f t="shared" si="69"/>
        <v>4.8443848839634707E-2</v>
      </c>
      <c r="O70" s="81">
        <f t="shared" si="70"/>
        <v>4.8446655112093784E-2</v>
      </c>
      <c r="P70" s="81">
        <f t="shared" si="71"/>
        <v>-5.4557509311813579E-2</v>
      </c>
      <c r="Q70" s="81">
        <f t="shared" si="72"/>
        <v>-5.4589371199734171E-2</v>
      </c>
      <c r="R70" s="81">
        <f t="shared" si="73"/>
        <v>1.5984007001448859</v>
      </c>
      <c r="S70" s="81">
        <f t="shared" si="74"/>
        <v>-1.5991511959669014</v>
      </c>
      <c r="T70" s="81">
        <f t="shared" si="75"/>
        <v>-1.5979848472490663</v>
      </c>
      <c r="U70" s="81">
        <f t="shared" si="76"/>
        <v>1.5997858998878995</v>
      </c>
    </row>
    <row r="71" spans="1:21" x14ac:dyDescent="0.2">
      <c r="A71" t="s">
        <v>251</v>
      </c>
      <c r="B71">
        <v>300.80999800000001</v>
      </c>
      <c r="C71">
        <v>-499.75167800000003</v>
      </c>
      <c r="D71">
        <v>298.70770299999998</v>
      </c>
      <c r="E71">
        <v>-497.34216300000003</v>
      </c>
      <c r="F71">
        <v>298.630493</v>
      </c>
      <c r="G71">
        <v>-497.411407</v>
      </c>
      <c r="H71">
        <v>300.73263500000002</v>
      </c>
      <c r="I71">
        <v>-499.82074</v>
      </c>
      <c r="J71">
        <v>299.72198500000002</v>
      </c>
      <c r="K71">
        <v>-498.57961999999998</v>
      </c>
      <c r="L71">
        <v>138.89497399999999</v>
      </c>
      <c r="M71" s="3">
        <f t="shared" si="68"/>
        <v>2.4241746107719182</v>
      </c>
      <c r="N71" s="81">
        <f t="shared" si="69"/>
        <v>4.9264634445660649E-2</v>
      </c>
      <c r="O71" s="81">
        <f t="shared" si="70"/>
        <v>4.9288102700513869E-2</v>
      </c>
      <c r="P71" s="81">
        <f t="shared" si="71"/>
        <v>-5.441394283600165E-2</v>
      </c>
      <c r="Q71" s="81">
        <f t="shared" si="72"/>
        <v>-5.4433043141704052E-2</v>
      </c>
      <c r="R71" s="81">
        <f t="shared" si="73"/>
        <v>1.5984571434123684</v>
      </c>
      <c r="S71" s="81">
        <f t="shared" si="74"/>
        <v>-1.599261856390358</v>
      </c>
      <c r="T71" s="81">
        <f t="shared" si="75"/>
        <v>-1.5978471523453144</v>
      </c>
      <c r="U71" s="81">
        <f t="shared" si="76"/>
        <v>1.5996341208896454</v>
      </c>
    </row>
    <row r="72" spans="1:21" x14ac:dyDescent="0.2">
      <c r="A72" t="s">
        <v>252</v>
      </c>
      <c r="B72">
        <v>301.65692100000001</v>
      </c>
      <c r="C72">
        <v>-498.99353000000002</v>
      </c>
      <c r="D72">
        <v>299.55474900000002</v>
      </c>
      <c r="E72">
        <v>-496.58453400000002</v>
      </c>
      <c r="F72">
        <v>299.47796599999998</v>
      </c>
      <c r="G72">
        <v>-496.65304600000002</v>
      </c>
      <c r="H72">
        <v>301.58032200000002</v>
      </c>
      <c r="I72">
        <v>-499.06228599999997</v>
      </c>
      <c r="J72">
        <v>300.56967200000003</v>
      </c>
      <c r="K72">
        <v>-497.82110599999999</v>
      </c>
      <c r="L72">
        <v>138.89091500000001</v>
      </c>
      <c r="M72" s="3">
        <f t="shared" si="68"/>
        <v>2.4241037678575803</v>
      </c>
      <c r="N72" s="81">
        <f t="shared" si="69"/>
        <v>4.8335109101772744E-2</v>
      </c>
      <c r="O72" s="81">
        <f t="shared" si="70"/>
        <v>4.8336548802468071E-2</v>
      </c>
      <c r="P72" s="81">
        <f t="shared" si="71"/>
        <v>-5.4562583501084672E-2</v>
      </c>
      <c r="Q72" s="81">
        <f t="shared" si="72"/>
        <v>-5.4585815431485885E-2</v>
      </c>
      <c r="R72" s="81">
        <f t="shared" si="73"/>
        <v>1.5982340695296076</v>
      </c>
      <c r="S72" s="81">
        <f t="shared" si="74"/>
        <v>-1.5990130034376848</v>
      </c>
      <c r="T72" s="81">
        <f t="shared" si="75"/>
        <v>-1.5978764277996316</v>
      </c>
      <c r="U72" s="81">
        <f t="shared" si="76"/>
        <v>1.5996754682289906</v>
      </c>
    </row>
    <row r="73" spans="1:21" x14ac:dyDescent="0.2">
      <c r="A73" t="s">
        <v>253</v>
      </c>
      <c r="B73">
        <v>300.73263500000002</v>
      </c>
      <c r="C73">
        <v>-499.82074</v>
      </c>
      <c r="D73">
        <v>298.630493</v>
      </c>
      <c r="E73">
        <v>-497.411407</v>
      </c>
      <c r="F73">
        <v>298.55328400000002</v>
      </c>
      <c r="G73">
        <v>-497.48071299999998</v>
      </c>
      <c r="H73">
        <v>300.65521200000001</v>
      </c>
      <c r="I73">
        <v>-499.88983200000001</v>
      </c>
      <c r="J73">
        <v>299.64465300000001</v>
      </c>
      <c r="K73">
        <v>-498.64883400000002</v>
      </c>
      <c r="L73">
        <v>138.89534</v>
      </c>
      <c r="M73" s="3">
        <f t="shared" si="68"/>
        <v>2.4241809986769809</v>
      </c>
      <c r="N73" s="81">
        <f t="shared" si="69"/>
        <v>4.935141678252486E-2</v>
      </c>
      <c r="O73" s="81">
        <f t="shared" si="70"/>
        <v>4.9350091881413705E-2</v>
      </c>
      <c r="P73" s="81">
        <f t="shared" si="71"/>
        <v>-5.4391952171105151E-2</v>
      </c>
      <c r="Q73" s="81">
        <f t="shared" si="72"/>
        <v>-5.4411186975760306E-2</v>
      </c>
      <c r="R73" s="81">
        <f t="shared" si="73"/>
        <v>1.5983219146409557</v>
      </c>
      <c r="S73" s="81">
        <f t="shared" si="74"/>
        <v>-1.5991593586507775</v>
      </c>
      <c r="T73" s="81">
        <f t="shared" si="75"/>
        <v>-1.5976966171151155</v>
      </c>
      <c r="U73" s="81">
        <f t="shared" si="76"/>
        <v>1.599482713634901</v>
      </c>
    </row>
    <row r="74" spans="1:21" x14ac:dyDescent="0.2">
      <c r="A74" t="s">
        <v>254</v>
      </c>
      <c r="B74">
        <v>301.73345899999998</v>
      </c>
      <c r="C74">
        <v>-498.92483499999997</v>
      </c>
      <c r="D74">
        <v>299.63146999999998</v>
      </c>
      <c r="E74">
        <v>-496.51611300000002</v>
      </c>
      <c r="F74">
        <v>299.55474900000002</v>
      </c>
      <c r="G74">
        <v>-496.58453400000002</v>
      </c>
      <c r="H74">
        <v>301.65692100000001</v>
      </c>
      <c r="I74">
        <v>-498.99353000000002</v>
      </c>
      <c r="J74">
        <v>300.64639299999999</v>
      </c>
      <c r="K74">
        <v>-497.75250199999999</v>
      </c>
      <c r="L74">
        <v>138.89054899999999</v>
      </c>
      <c r="M74" s="3">
        <f t="shared" si="68"/>
        <v>2.4240973799525176</v>
      </c>
      <c r="N74" s="81">
        <f t="shared" si="69"/>
        <v>4.8246849935919767E-2</v>
      </c>
      <c r="O74" s="81">
        <f t="shared" si="70"/>
        <v>4.8226440729304265E-2</v>
      </c>
      <c r="P74" s="81">
        <f t="shared" si="71"/>
        <v>-5.4566152167749626E-2</v>
      </c>
      <c r="Q74" s="81">
        <f t="shared" si="72"/>
        <v>-5.4588015579208893E-2</v>
      </c>
      <c r="R74" s="81">
        <f t="shared" si="73"/>
        <v>1.5980454914414044</v>
      </c>
      <c r="S74" s="81">
        <f t="shared" si="74"/>
        <v>-1.5988748123804251</v>
      </c>
      <c r="T74" s="81">
        <f t="shared" si="75"/>
        <v>-1.5977666934810872</v>
      </c>
      <c r="U74" s="81">
        <f t="shared" si="76"/>
        <v>1.599480379411776</v>
      </c>
    </row>
    <row r="75" spans="1:21" x14ac:dyDescent="0.2">
      <c r="A75" t="s">
        <v>255</v>
      </c>
      <c r="B75">
        <v>300.65521200000001</v>
      </c>
      <c r="C75">
        <v>-499.88983200000001</v>
      </c>
      <c r="D75">
        <v>298.55328400000002</v>
      </c>
      <c r="E75">
        <v>-497.48071299999998</v>
      </c>
      <c r="F75">
        <v>298.476044</v>
      </c>
      <c r="G75">
        <v>-497.550049</v>
      </c>
      <c r="H75">
        <v>300.57772799999998</v>
      </c>
      <c r="I75">
        <v>-499.95892300000003</v>
      </c>
      <c r="J75">
        <v>299.56729100000001</v>
      </c>
      <c r="K75">
        <v>-498.71807899999999</v>
      </c>
      <c r="L75">
        <v>138.89570599999999</v>
      </c>
      <c r="M75" s="3">
        <f t="shared" si="68"/>
        <v>2.4241873865820431</v>
      </c>
      <c r="N75" s="81">
        <f t="shared" si="69"/>
        <v>4.9416249401645573E-2</v>
      </c>
      <c r="O75" s="81">
        <f t="shared" si="70"/>
        <v>4.9415060928268861E-2</v>
      </c>
      <c r="P75" s="81">
        <f t="shared" si="71"/>
        <v>-5.4370055667741446E-2</v>
      </c>
      <c r="Q75" s="81">
        <f t="shared" si="72"/>
        <v>-5.4391653869281131E-2</v>
      </c>
      <c r="R75" s="81">
        <f t="shared" si="73"/>
        <v>1.5981662083604191</v>
      </c>
      <c r="S75" s="81">
        <f t="shared" si="74"/>
        <v>-1.5990131224472366</v>
      </c>
      <c r="T75" s="81">
        <f t="shared" si="75"/>
        <v>-1.597547493176863</v>
      </c>
      <c r="U75" s="81">
        <f t="shared" si="76"/>
        <v>1.5992868133309903</v>
      </c>
    </row>
    <row r="76" spans="1:21" x14ac:dyDescent="0.2">
      <c r="A76" t="s">
        <v>256</v>
      </c>
      <c r="B76">
        <v>301.80990600000001</v>
      </c>
      <c r="C76">
        <v>-498.856201</v>
      </c>
      <c r="D76">
        <v>299.70816000000002</v>
      </c>
      <c r="E76">
        <v>-496.44775399999997</v>
      </c>
      <c r="F76">
        <v>299.63146999999998</v>
      </c>
      <c r="G76">
        <v>-496.51611300000002</v>
      </c>
      <c r="H76">
        <v>301.73345899999998</v>
      </c>
      <c r="I76">
        <v>-498.92483499999997</v>
      </c>
      <c r="J76">
        <v>300.72302200000001</v>
      </c>
      <c r="K76">
        <v>-497.68392899999998</v>
      </c>
      <c r="L76">
        <v>138.89018200000001</v>
      </c>
      <c r="M76" s="3">
        <f t="shared" si="68"/>
        <v>2.4240909745941632</v>
      </c>
      <c r="N76" s="81">
        <f t="shared" si="69"/>
        <v>4.8139593613166887E-2</v>
      </c>
      <c r="O76" s="81">
        <f t="shared" si="70"/>
        <v>4.8141936655453632E-2</v>
      </c>
      <c r="P76" s="81">
        <f t="shared" si="71"/>
        <v>-5.4586541094096108E-2</v>
      </c>
      <c r="Q76" s="81">
        <f t="shared" si="72"/>
        <v>-5.4586609307657241E-2</v>
      </c>
      <c r="R76" s="81">
        <f t="shared" si="73"/>
        <v>1.5978801741578756</v>
      </c>
      <c r="S76" s="81">
        <f t="shared" si="74"/>
        <v>-1.5986731572163388</v>
      </c>
      <c r="T76" s="81">
        <f t="shared" si="75"/>
        <v>-1.5975920280507676</v>
      </c>
      <c r="U76" s="81">
        <f t="shared" si="76"/>
        <v>1.5993282758362075</v>
      </c>
    </row>
    <row r="77" spans="1:21" x14ac:dyDescent="0.2">
      <c r="A77" t="s">
        <v>257</v>
      </c>
      <c r="B77">
        <v>300.57772799999998</v>
      </c>
      <c r="C77">
        <v>-499.95892300000003</v>
      </c>
      <c r="D77">
        <v>298.476044</v>
      </c>
      <c r="E77">
        <v>-497.550049</v>
      </c>
      <c r="F77">
        <v>298.39877300000001</v>
      </c>
      <c r="G77">
        <v>-497.61944599999998</v>
      </c>
      <c r="H77">
        <v>300.50021400000003</v>
      </c>
      <c r="I77">
        <v>-500.02804600000002</v>
      </c>
      <c r="J77">
        <v>299.489868</v>
      </c>
      <c r="K77">
        <v>-498.78735399999999</v>
      </c>
      <c r="L77">
        <v>138.89608799999999</v>
      </c>
      <c r="M77" s="3">
        <f t="shared" si="68"/>
        <v>2.4241940537397855</v>
      </c>
      <c r="N77" s="81">
        <f t="shared" si="69"/>
        <v>4.9501906509802018E-2</v>
      </c>
      <c r="O77" s="81">
        <f t="shared" si="70"/>
        <v>4.9502190912743549E-2</v>
      </c>
      <c r="P77" s="81">
        <f t="shared" si="71"/>
        <v>-5.4346378011472019E-2</v>
      </c>
      <c r="Q77" s="81">
        <f t="shared" si="72"/>
        <v>-5.4349632496953793E-2</v>
      </c>
      <c r="R77" s="81">
        <f t="shared" si="73"/>
        <v>1.5979871284252964</v>
      </c>
      <c r="S77" s="81">
        <f t="shared" si="74"/>
        <v>-1.598847178155504</v>
      </c>
      <c r="T77" s="81">
        <f t="shared" si="75"/>
        <v>-1.5973552725320848</v>
      </c>
      <c r="U77" s="81">
        <f t="shared" si="76"/>
        <v>1.5991128152908911</v>
      </c>
    </row>
    <row r="78" spans="1:21" x14ac:dyDescent="0.2">
      <c r="A78" t="s">
        <v>258</v>
      </c>
      <c r="B78">
        <v>301.88626099999999</v>
      </c>
      <c r="C78">
        <v>-498.787598</v>
      </c>
      <c r="D78">
        <v>299.78476000000001</v>
      </c>
      <c r="E78">
        <v>-496.37948599999999</v>
      </c>
      <c r="F78">
        <v>299.70816000000002</v>
      </c>
      <c r="G78">
        <v>-496.44775399999997</v>
      </c>
      <c r="H78">
        <v>301.80990600000001</v>
      </c>
      <c r="I78">
        <v>-498.856201</v>
      </c>
      <c r="J78">
        <v>300.79956099999998</v>
      </c>
      <c r="K78">
        <v>-497.61541699999998</v>
      </c>
      <c r="L78">
        <v>138.889816</v>
      </c>
      <c r="M78" s="3">
        <f t="shared" si="68"/>
        <v>2.4240845866891005</v>
      </c>
      <c r="N78" s="81">
        <f t="shared" si="69"/>
        <v>4.8050585677882007E-2</v>
      </c>
      <c r="O78" s="81">
        <f t="shared" si="70"/>
        <v>4.8037676826313103E-2</v>
      </c>
      <c r="P78" s="81">
        <f t="shared" si="71"/>
        <v>-5.4563164303891853E-2</v>
      </c>
      <c r="Q78" s="81">
        <f t="shared" si="72"/>
        <v>-5.4585926625387193E-2</v>
      </c>
      <c r="R78" s="81">
        <f t="shared" si="73"/>
        <v>1.5976909363131164</v>
      </c>
      <c r="S78" s="81">
        <f t="shared" si="74"/>
        <v>-1.5984489006430791</v>
      </c>
      <c r="T78" s="81">
        <f t="shared" si="75"/>
        <v>-1.5973778155061109</v>
      </c>
      <c r="U78" s="81">
        <f t="shared" si="76"/>
        <v>1.5991755157879184</v>
      </c>
    </row>
    <row r="79" spans="1:21" x14ac:dyDescent="0.2">
      <c r="A79" t="s">
        <v>259</v>
      </c>
      <c r="B79">
        <v>300.50021400000003</v>
      </c>
      <c r="C79">
        <v>-500.02804600000002</v>
      </c>
      <c r="D79">
        <v>298.39877300000001</v>
      </c>
      <c r="E79">
        <v>-497.61944599999998</v>
      </c>
      <c r="F79">
        <v>298.32153299999999</v>
      </c>
      <c r="G79">
        <v>-497.688873</v>
      </c>
      <c r="H79">
        <v>300.42266799999999</v>
      </c>
      <c r="I79">
        <v>-500.09716800000001</v>
      </c>
      <c r="J79">
        <v>299.41244499999999</v>
      </c>
      <c r="K79">
        <v>-498.856628</v>
      </c>
      <c r="L79">
        <v>138.89645400000001</v>
      </c>
      <c r="M79" s="3">
        <f t="shared" si="68"/>
        <v>2.4242004416448482</v>
      </c>
      <c r="N79" s="81">
        <f t="shared" si="69"/>
        <v>4.9542814436838056E-2</v>
      </c>
      <c r="O79" s="81">
        <f t="shared" si="70"/>
        <v>4.9525650187639103E-2</v>
      </c>
      <c r="P79" s="81">
        <f t="shared" si="71"/>
        <v>-5.4319272656914497E-2</v>
      </c>
      <c r="Q79" s="81">
        <f t="shared" si="72"/>
        <v>-5.4332172681807234E-2</v>
      </c>
      <c r="R79" s="81">
        <f t="shared" si="73"/>
        <v>1.5978132048593157</v>
      </c>
      <c r="S79" s="81">
        <f t="shared" si="74"/>
        <v>-1.5986548829192335</v>
      </c>
      <c r="T79" s="81">
        <f t="shared" si="75"/>
        <v>-1.5971193281614964</v>
      </c>
      <c r="U79" s="81">
        <f t="shared" si="76"/>
        <v>1.5989177640956684</v>
      </c>
    </row>
    <row r="80" spans="1:21" x14ac:dyDescent="0.2">
      <c r="A80" t="s">
        <v>260</v>
      </c>
      <c r="B80">
        <v>301.96252399999997</v>
      </c>
      <c r="C80">
        <v>-498.71905500000003</v>
      </c>
      <c r="D80">
        <v>299.86132800000001</v>
      </c>
      <c r="E80">
        <v>-496.31130999999999</v>
      </c>
      <c r="F80">
        <v>299.78476000000001</v>
      </c>
      <c r="G80">
        <v>-496.37948599999999</v>
      </c>
      <c r="H80">
        <v>301.88626099999999</v>
      </c>
      <c r="I80">
        <v>-498.787598</v>
      </c>
      <c r="J80">
        <v>300.87606799999998</v>
      </c>
      <c r="K80">
        <v>-497.54699699999998</v>
      </c>
      <c r="L80">
        <v>138.88945000000001</v>
      </c>
      <c r="M80" s="3">
        <f t="shared" si="68"/>
        <v>2.4240781987840387</v>
      </c>
      <c r="N80" s="81">
        <f t="shared" si="69"/>
        <v>4.7937414069748274E-2</v>
      </c>
      <c r="O80" s="81">
        <f t="shared" si="70"/>
        <v>4.7933414134080921E-2</v>
      </c>
      <c r="P80" s="81">
        <f t="shared" si="71"/>
        <v>-5.4582832394228009E-2</v>
      </c>
      <c r="Q80" s="81">
        <f t="shared" si="72"/>
        <v>-5.4590340180502017E-2</v>
      </c>
      <c r="R80" s="81">
        <f t="shared" si="73"/>
        <v>1.5974381364022889</v>
      </c>
      <c r="S80" s="81">
        <f t="shared" si="74"/>
        <v>-1.598224645467067</v>
      </c>
      <c r="T80" s="81">
        <f t="shared" si="75"/>
        <v>-1.5972024919817571</v>
      </c>
      <c r="U80" s="81">
        <f t="shared" si="76"/>
        <v>1.5989373449916897</v>
      </c>
    </row>
    <row r="81" spans="1:26" x14ac:dyDescent="0.2">
      <c r="A81" t="s">
        <v>261</v>
      </c>
      <c r="B81">
        <v>300.42266799999999</v>
      </c>
      <c r="C81">
        <v>-500.09716800000001</v>
      </c>
      <c r="D81">
        <v>298.32153299999999</v>
      </c>
      <c r="E81">
        <v>-497.688873</v>
      </c>
      <c r="F81">
        <v>298.24426299999999</v>
      </c>
      <c r="G81">
        <v>-497.75836199999998</v>
      </c>
      <c r="H81">
        <v>300.34506199999998</v>
      </c>
      <c r="I81">
        <v>-500.16629</v>
      </c>
      <c r="J81">
        <v>299.334991</v>
      </c>
      <c r="K81">
        <v>-498.92596400000002</v>
      </c>
      <c r="L81">
        <v>138.89681999999999</v>
      </c>
      <c r="M81" s="3">
        <f t="shared" si="68"/>
        <v>2.42420682954991</v>
      </c>
      <c r="N81" s="81">
        <f t="shared" si="69"/>
        <v>4.9624383892220458E-2</v>
      </c>
      <c r="O81" s="81">
        <f t="shared" si="70"/>
        <v>4.9616867935593723E-2</v>
      </c>
      <c r="P81" s="81">
        <f t="shared" si="71"/>
        <v>-5.4291410763253056E-2</v>
      </c>
      <c r="Q81" s="81">
        <f t="shared" si="72"/>
        <v>-5.4295807782808514E-2</v>
      </c>
      <c r="R81" s="81">
        <f t="shared" si="73"/>
        <v>1.5975911512236975</v>
      </c>
      <c r="S81" s="81">
        <f t="shared" si="74"/>
        <v>-1.5984459410506637</v>
      </c>
      <c r="T81" s="81">
        <f t="shared" si="75"/>
        <v>-1.5968827267853667</v>
      </c>
      <c r="U81" s="81">
        <f t="shared" si="76"/>
        <v>1.598656928979489</v>
      </c>
    </row>
    <row r="82" spans="1:26" x14ac:dyDescent="0.2">
      <c r="A82" t="s">
        <v>262</v>
      </c>
      <c r="B82">
        <v>302.03869600000002</v>
      </c>
      <c r="C82">
        <v>-498.65057400000001</v>
      </c>
      <c r="D82">
        <v>299.93780500000003</v>
      </c>
      <c r="E82">
        <v>-496.243225</v>
      </c>
      <c r="F82">
        <v>299.86132800000001</v>
      </c>
      <c r="G82">
        <v>-496.31130999999999</v>
      </c>
      <c r="H82">
        <v>301.96252399999997</v>
      </c>
      <c r="I82">
        <v>-498.71905500000003</v>
      </c>
      <c r="J82">
        <v>300.95245399999999</v>
      </c>
      <c r="K82">
        <v>-497.47863799999999</v>
      </c>
      <c r="L82">
        <v>138.889084</v>
      </c>
      <c r="M82" s="3">
        <f t="shared" si="68"/>
        <v>2.4240718108789761</v>
      </c>
      <c r="N82" s="81">
        <f t="shared" si="69"/>
        <v>4.7846191318628661E-2</v>
      </c>
      <c r="O82" s="81">
        <f t="shared" si="70"/>
        <v>4.7832026158747709E-2</v>
      </c>
      <c r="P82" s="81">
        <f t="shared" si="71"/>
        <v>-5.4555829815510104E-2</v>
      </c>
      <c r="Q82" s="81">
        <f t="shared" si="72"/>
        <v>-5.4572243470305537E-2</v>
      </c>
      <c r="R82" s="81">
        <f t="shared" si="73"/>
        <v>1.5972058141130088</v>
      </c>
      <c r="S82" s="81">
        <f t="shared" si="74"/>
        <v>-1.5979580629802084</v>
      </c>
      <c r="T82" s="81">
        <f t="shared" si="75"/>
        <v>-1.59694529301823</v>
      </c>
      <c r="U82" s="81">
        <f t="shared" si="76"/>
        <v>1.5987174888114777</v>
      </c>
    </row>
    <row r="83" spans="1:26" x14ac:dyDescent="0.2">
      <c r="A83" t="s">
        <v>263</v>
      </c>
      <c r="B83">
        <v>300.34506199999998</v>
      </c>
      <c r="C83">
        <v>-500.16629</v>
      </c>
      <c r="D83">
        <v>298.24426299999999</v>
      </c>
      <c r="E83">
        <v>-497.75836199999998</v>
      </c>
      <c r="F83">
        <v>298.16699199999999</v>
      </c>
      <c r="G83">
        <v>-497.82785000000001</v>
      </c>
      <c r="H83">
        <v>300.267426</v>
      </c>
      <c r="I83">
        <v>-500.23541299999999</v>
      </c>
      <c r="J83">
        <v>299.25750699999998</v>
      </c>
      <c r="K83">
        <v>-498.99529999999999</v>
      </c>
      <c r="L83">
        <v>138.89720199999999</v>
      </c>
      <c r="M83" s="3">
        <f t="shared" si="68"/>
        <v>2.4242134967076527</v>
      </c>
      <c r="N83" s="81">
        <f t="shared" si="69"/>
        <v>4.9683790643658909E-2</v>
      </c>
      <c r="O83" s="81">
        <f t="shared" si="70"/>
        <v>4.9666882496255949E-2</v>
      </c>
      <c r="P83" s="81">
        <f t="shared" si="71"/>
        <v>-5.4241481897366661E-2</v>
      </c>
      <c r="Q83" s="81">
        <f t="shared" si="72"/>
        <v>-5.4259657274048911E-2</v>
      </c>
      <c r="R83" s="81">
        <f t="shared" si="73"/>
        <v>1.5973493603693394</v>
      </c>
      <c r="S83" s="81">
        <f t="shared" si="74"/>
        <v>-1.5981902953538096</v>
      </c>
      <c r="T83" s="81">
        <f t="shared" si="75"/>
        <v>-1.5966277992589499</v>
      </c>
      <c r="U83" s="81">
        <f t="shared" si="76"/>
        <v>1.5983968621473745</v>
      </c>
    </row>
    <row r="84" spans="1:26" x14ac:dyDescent="0.2">
      <c r="A84" t="s">
        <v>264</v>
      </c>
      <c r="B84">
        <v>302.11474600000003</v>
      </c>
      <c r="C84">
        <v>-498.58215300000001</v>
      </c>
      <c r="D84">
        <v>300.01422100000002</v>
      </c>
      <c r="E84">
        <v>-496.17523199999999</v>
      </c>
      <c r="F84">
        <v>299.93780500000003</v>
      </c>
      <c r="G84">
        <v>-496.243225</v>
      </c>
      <c r="H84">
        <v>302.03869600000002</v>
      </c>
      <c r="I84">
        <v>-498.65057400000001</v>
      </c>
      <c r="J84">
        <v>301.02877799999999</v>
      </c>
      <c r="K84">
        <v>-497.41037</v>
      </c>
      <c r="L84">
        <v>138.888733</v>
      </c>
      <c r="M84" s="3">
        <f t="shared" si="68"/>
        <v>2.4240656847733018</v>
      </c>
      <c r="N84" s="81">
        <f t="shared" si="69"/>
        <v>4.7730566803758867E-2</v>
      </c>
      <c r="O84" s="81">
        <f t="shared" si="70"/>
        <v>4.7730312415601661E-2</v>
      </c>
      <c r="P84" s="81">
        <f t="shared" si="71"/>
        <v>-5.4551098126010777E-2</v>
      </c>
      <c r="Q84" s="81">
        <f t="shared" si="72"/>
        <v>-5.4556506877687538E-2</v>
      </c>
      <c r="R84" s="81">
        <f t="shared" si="73"/>
        <v>1.5969106703587659</v>
      </c>
      <c r="S84" s="81">
        <f t="shared" si="74"/>
        <v>-1.5976900833921639</v>
      </c>
      <c r="T84" s="81">
        <f t="shared" si="75"/>
        <v>-1.5967071476783639</v>
      </c>
      <c r="U84" s="81">
        <f t="shared" si="76"/>
        <v>1.5984567294416743</v>
      </c>
    </row>
    <row r="85" spans="1:26" x14ac:dyDescent="0.2">
      <c r="A85" t="s">
        <v>265</v>
      </c>
      <c r="B85">
        <v>300.267426</v>
      </c>
      <c r="C85">
        <v>-500.23541299999999</v>
      </c>
      <c r="D85">
        <v>298.16699199999999</v>
      </c>
      <c r="E85">
        <v>-497.82785000000001</v>
      </c>
      <c r="F85">
        <v>298.08972199999999</v>
      </c>
      <c r="G85">
        <v>-497.8974</v>
      </c>
      <c r="H85">
        <v>300.18975799999998</v>
      </c>
      <c r="I85">
        <v>-500.30453499999999</v>
      </c>
      <c r="J85">
        <v>299.17999300000002</v>
      </c>
      <c r="K85">
        <v>-499.06466699999999</v>
      </c>
      <c r="L85">
        <v>138.89756800000001</v>
      </c>
      <c r="M85" s="3">
        <f t="shared" si="68"/>
        <v>2.4242198846127154</v>
      </c>
      <c r="N85" s="81">
        <f t="shared" si="69"/>
        <v>4.9762470393534319E-2</v>
      </c>
      <c r="O85" s="81">
        <f t="shared" si="70"/>
        <v>4.9760236256006452E-2</v>
      </c>
      <c r="P85" s="81">
        <f t="shared" si="71"/>
        <v>-5.418812386724281E-2</v>
      </c>
      <c r="Q85" s="81">
        <f t="shared" si="72"/>
        <v>-5.4204426559134822E-2</v>
      </c>
      <c r="R85" s="81">
        <f t="shared" si="73"/>
        <v>1.5970849766199979</v>
      </c>
      <c r="S85" s="81">
        <f t="shared" si="74"/>
        <v>-1.597939684837242</v>
      </c>
      <c r="T85" s="81">
        <f t="shared" si="75"/>
        <v>-1.5963291483781687</v>
      </c>
      <c r="U85" s="81">
        <f t="shared" si="76"/>
        <v>1.5981113518119805</v>
      </c>
    </row>
    <row r="86" spans="1:26" x14ac:dyDescent="0.2">
      <c r="A86" t="s">
        <v>266</v>
      </c>
      <c r="B86">
        <v>302.19070399999998</v>
      </c>
      <c r="C86">
        <v>-498.51379400000002</v>
      </c>
      <c r="D86">
        <v>300.09054600000002</v>
      </c>
      <c r="E86">
        <v>-496.10732999999999</v>
      </c>
      <c r="F86">
        <v>300.01422100000002</v>
      </c>
      <c r="G86">
        <v>-496.17523199999999</v>
      </c>
      <c r="H86">
        <v>302.11474600000003</v>
      </c>
      <c r="I86">
        <v>-498.58215300000001</v>
      </c>
      <c r="J86">
        <v>301.10501099999999</v>
      </c>
      <c r="K86">
        <v>-497.34216300000003</v>
      </c>
      <c r="L86">
        <v>138.88836699999999</v>
      </c>
      <c r="M86" s="3">
        <f t="shared" si="68"/>
        <v>2.4240592968682391</v>
      </c>
      <c r="N86" s="81">
        <f t="shared" si="69"/>
        <v>4.7613116955704915E-2</v>
      </c>
      <c r="O86" s="81">
        <f t="shared" si="70"/>
        <v>4.7609287748113238E-2</v>
      </c>
      <c r="P86" s="81">
        <f t="shared" si="71"/>
        <v>-5.4543731879713175E-2</v>
      </c>
      <c r="Q86" s="81">
        <f t="shared" si="72"/>
        <v>-5.4563884297884169E-2</v>
      </c>
      <c r="R86" s="81">
        <f t="shared" si="73"/>
        <v>1.5966156336149673</v>
      </c>
      <c r="S86" s="81">
        <f t="shared" si="74"/>
        <v>-1.5973994897439259</v>
      </c>
      <c r="T86" s="81">
        <f t="shared" si="75"/>
        <v>-1.5964259344465836</v>
      </c>
      <c r="U86" s="81">
        <f t="shared" si="76"/>
        <v>1.5981748192407932</v>
      </c>
    </row>
    <row r="87" spans="1:26" x14ac:dyDescent="0.2">
      <c r="A87" t="s">
        <v>267</v>
      </c>
      <c r="B87">
        <v>300.18975799999998</v>
      </c>
      <c r="C87">
        <v>-500.30453499999999</v>
      </c>
      <c r="D87">
        <v>298.08972199999999</v>
      </c>
      <c r="E87">
        <v>-497.8974</v>
      </c>
      <c r="F87">
        <v>298.01242100000002</v>
      </c>
      <c r="G87">
        <v>-497.966949</v>
      </c>
      <c r="H87">
        <v>300.11206099999998</v>
      </c>
      <c r="I87">
        <v>-500.37365699999998</v>
      </c>
      <c r="J87">
        <v>299.10247800000002</v>
      </c>
      <c r="K87">
        <v>-499.13403299999999</v>
      </c>
      <c r="L87">
        <v>138.89794900000001</v>
      </c>
      <c r="M87" s="3">
        <f t="shared" si="68"/>
        <v>2.4242265343171656</v>
      </c>
      <c r="N87" s="81">
        <f t="shared" si="69"/>
        <v>4.9818205078726696E-2</v>
      </c>
      <c r="O87" s="81">
        <f t="shared" si="70"/>
        <v>4.981326568540867E-2</v>
      </c>
      <c r="P87" s="81">
        <f t="shared" si="71"/>
        <v>-5.4157786059374602E-2</v>
      </c>
      <c r="Q87" s="81">
        <f t="shared" si="72"/>
        <v>-5.4170537702478483E-2</v>
      </c>
      <c r="R87" s="81">
        <f t="shared" si="73"/>
        <v>1.5968001994133936</v>
      </c>
      <c r="S87" s="81">
        <f t="shared" si="74"/>
        <v>-1.5976403008145366</v>
      </c>
      <c r="T87" s="81">
        <f t="shared" si="75"/>
        <v>-1.5960502061383042</v>
      </c>
      <c r="U87" s="81">
        <f t="shared" si="76"/>
        <v>1.5978082012901083</v>
      </c>
    </row>
    <row r="88" spans="1:26" x14ac:dyDescent="0.2">
      <c r="A88" t="s">
        <v>268</v>
      </c>
      <c r="B88">
        <v>302.266571</v>
      </c>
      <c r="C88">
        <v>-498.44549599999999</v>
      </c>
      <c r="D88">
        <v>300.166809</v>
      </c>
      <c r="E88">
        <v>-496.03955100000002</v>
      </c>
      <c r="F88">
        <v>300.09054600000002</v>
      </c>
      <c r="G88">
        <v>-496.10732999999999</v>
      </c>
      <c r="H88">
        <v>302.19070399999998</v>
      </c>
      <c r="I88">
        <v>-498.51379400000002</v>
      </c>
      <c r="J88">
        <v>301.18112200000002</v>
      </c>
      <c r="K88">
        <v>-497.27404799999999</v>
      </c>
      <c r="L88">
        <v>138.88800000000001</v>
      </c>
      <c r="M88" s="3">
        <f t="shared" si="68"/>
        <v>2.4240528915098847</v>
      </c>
      <c r="N88" s="81">
        <f t="shared" si="69"/>
        <v>4.7539382739235081E-2</v>
      </c>
      <c r="O88" s="81">
        <f t="shared" si="70"/>
        <v>4.7513109261675179E-2</v>
      </c>
      <c r="P88" s="81">
        <f t="shared" si="71"/>
        <v>-5.4512327640828362E-2</v>
      </c>
      <c r="Q88" s="81">
        <f t="shared" si="72"/>
        <v>-5.452895724469109E-2</v>
      </c>
      <c r="R88" s="81">
        <f t="shared" si="73"/>
        <v>1.5963176235930399</v>
      </c>
      <c r="S88" s="81">
        <f t="shared" si="74"/>
        <v>-1.597046088698213</v>
      </c>
      <c r="T88" s="81">
        <f t="shared" si="75"/>
        <v>-1.5961250920385854</v>
      </c>
      <c r="U88" s="81">
        <f t="shared" si="76"/>
        <v>1.5978900312793121</v>
      </c>
    </row>
    <row r="89" spans="1:26" x14ac:dyDescent="0.2">
      <c r="A89" t="s">
        <v>269</v>
      </c>
      <c r="B89">
        <v>300.11206099999998</v>
      </c>
      <c r="C89">
        <v>-500.37365699999998</v>
      </c>
      <c r="D89">
        <v>298.01242100000002</v>
      </c>
      <c r="E89">
        <v>-497.966949</v>
      </c>
      <c r="F89">
        <v>297.93515000000002</v>
      </c>
      <c r="G89">
        <v>-498.03656000000001</v>
      </c>
      <c r="H89">
        <v>300.03433200000001</v>
      </c>
      <c r="I89">
        <v>-500.44278000000003</v>
      </c>
      <c r="J89">
        <v>299.02496300000001</v>
      </c>
      <c r="K89">
        <v>-499.20339999999999</v>
      </c>
      <c r="L89">
        <v>138.898315</v>
      </c>
      <c r="M89" s="3">
        <f t="shared" si="68"/>
        <v>2.4242329222222274</v>
      </c>
      <c r="N89" s="81">
        <f t="shared" si="69"/>
        <v>4.98523226316826E-2</v>
      </c>
      <c r="O89" s="81">
        <f t="shared" si="70"/>
        <v>4.9844672210498819E-2</v>
      </c>
      <c r="P89" s="81">
        <f t="shared" si="71"/>
        <v>-5.4144521692259917E-2</v>
      </c>
      <c r="Q89" s="81">
        <f t="shared" si="72"/>
        <v>-5.4161184515704841E-2</v>
      </c>
      <c r="R89" s="81">
        <f t="shared" si="73"/>
        <v>1.596495616524249</v>
      </c>
      <c r="S89" s="81">
        <f t="shared" si="74"/>
        <v>-1.5973627909204571</v>
      </c>
      <c r="T89" s="81">
        <f t="shared" si="75"/>
        <v>-1.5957055904331638</v>
      </c>
      <c r="U89" s="81">
        <f t="shared" si="76"/>
        <v>1.5974839994982544</v>
      </c>
    </row>
    <row r="90" spans="1:26" x14ac:dyDescent="0.2">
      <c r="A90" t="s">
        <v>270</v>
      </c>
      <c r="B90">
        <v>302.34231599999998</v>
      </c>
      <c r="C90">
        <v>-498.37725799999998</v>
      </c>
      <c r="D90">
        <v>300.24301100000002</v>
      </c>
      <c r="E90">
        <v>-495.97183200000001</v>
      </c>
      <c r="F90">
        <v>300.166809</v>
      </c>
      <c r="G90">
        <v>-496.03955100000002</v>
      </c>
      <c r="H90">
        <v>302.266571</v>
      </c>
      <c r="I90">
        <v>-498.44549599999999</v>
      </c>
      <c r="J90">
        <v>301.25717200000003</v>
      </c>
      <c r="K90">
        <v>-497.20602400000001</v>
      </c>
      <c r="L90">
        <v>138.88763399999999</v>
      </c>
      <c r="M90" s="3">
        <f t="shared" si="68"/>
        <v>2.424046503604822</v>
      </c>
      <c r="N90" s="81">
        <f t="shared" si="69"/>
        <v>4.7440105161019708E-2</v>
      </c>
      <c r="O90" s="81">
        <f t="shared" si="70"/>
        <v>4.7437282056408181E-2</v>
      </c>
      <c r="P90" s="81">
        <f t="shared" si="71"/>
        <v>-5.4502749743896683E-2</v>
      </c>
      <c r="Q90" s="81">
        <f t="shared" si="72"/>
        <v>-5.4496875170561898E-2</v>
      </c>
      <c r="R90" s="81">
        <f t="shared" si="73"/>
        <v>1.595956145987147</v>
      </c>
      <c r="S90" s="81">
        <f t="shared" si="74"/>
        <v>-1.5967160458441323</v>
      </c>
      <c r="T90" s="81">
        <f t="shared" si="75"/>
        <v>-1.5958007963929581</v>
      </c>
      <c r="U90" s="81">
        <f t="shared" si="76"/>
        <v>1.5975629160009741</v>
      </c>
    </row>
    <row r="91" spans="1:26" s="34" customFormat="1" x14ac:dyDescent="0.2">
      <c r="A91" t="s">
        <v>205</v>
      </c>
      <c r="B91">
        <v>534.35925299999997</v>
      </c>
      <c r="C91">
        <v>-437.72744799999998</v>
      </c>
      <c r="D91">
        <v>388.73245200000002</v>
      </c>
      <c r="E91">
        <v>-275.50006100000002</v>
      </c>
      <c r="F91">
        <v>226.029495</v>
      </c>
      <c r="G91">
        <v>-419.45742799999999</v>
      </c>
      <c r="H91">
        <v>369.34130900000002</v>
      </c>
      <c r="I91">
        <v>-583.727844</v>
      </c>
      <c r="J91">
        <v>378.77123999999998</v>
      </c>
      <c r="K91">
        <v>-428.15621900000002</v>
      </c>
      <c r="L91">
        <v>138.49234000000001</v>
      </c>
      <c r="M91" s="3">
        <f t="shared" si="68"/>
        <v>2.4171473217914441</v>
      </c>
      <c r="N91" s="81">
        <f t="shared" si="69"/>
        <v>110.17170175554141</v>
      </c>
      <c r="O91" s="81">
        <f t="shared" si="70"/>
        <v>108.62793947468398</v>
      </c>
      <c r="P91" s="81">
        <f t="shared" si="71"/>
        <v>-108.61840747713694</v>
      </c>
      <c r="Q91" s="81">
        <f t="shared" si="72"/>
        <v>-110.16221938986561</v>
      </c>
      <c r="R91" s="81">
        <f t="shared" si="73"/>
        <v>110.27889347534568</v>
      </c>
      <c r="S91" s="81">
        <f t="shared" si="74"/>
        <v>-107.71768232427907</v>
      </c>
      <c r="T91" s="81">
        <f t="shared" si="75"/>
        <v>-107.73927411876015</v>
      </c>
      <c r="U91" s="81">
        <f t="shared" si="76"/>
        <v>110.25307035590662</v>
      </c>
      <c r="Z91" s="134"/>
    </row>
    <row r="92" spans="1:26" x14ac:dyDescent="0.2">
      <c r="A92" t="s">
        <v>206</v>
      </c>
      <c r="B92">
        <v>534.12616000000003</v>
      </c>
      <c r="C92">
        <v>-437.93084700000003</v>
      </c>
      <c r="D92">
        <v>472.98278800000003</v>
      </c>
      <c r="E92">
        <v>-369.92636099999999</v>
      </c>
      <c r="F92">
        <v>399.49115</v>
      </c>
      <c r="G92">
        <v>-434.50668300000001</v>
      </c>
      <c r="H92">
        <v>460.12326000000002</v>
      </c>
      <c r="I92">
        <v>-502.90258799999998</v>
      </c>
      <c r="J92">
        <v>466.48266599999999</v>
      </c>
      <c r="K92">
        <v>-436.16449</v>
      </c>
      <c r="L92">
        <v>138.24217200000001</v>
      </c>
      <c r="M92" s="3">
        <f t="shared" si="68"/>
        <v>2.4127810665083147</v>
      </c>
      <c r="N92" s="81">
        <f t="shared" si="69"/>
        <v>49.283408415726797</v>
      </c>
      <c r="O92" s="81">
        <f t="shared" si="70"/>
        <v>48.962379465772642</v>
      </c>
      <c r="P92" s="81">
        <f t="shared" si="71"/>
        <v>-48.869347257751109</v>
      </c>
      <c r="Q92" s="81">
        <f t="shared" si="72"/>
        <v>-49.190381208107418</v>
      </c>
      <c r="R92" s="81">
        <f t="shared" si="73"/>
        <v>46.367099893223418</v>
      </c>
      <c r="S92" s="81">
        <f t="shared" si="74"/>
        <v>-45.082443550513233</v>
      </c>
      <c r="T92" s="81">
        <f t="shared" si="75"/>
        <v>-45.851918592670017</v>
      </c>
      <c r="U92" s="81">
        <f t="shared" si="76"/>
        <v>45.549118168538783</v>
      </c>
    </row>
    <row r="93" spans="1:26" x14ac:dyDescent="0.2">
      <c r="A93" t="s">
        <v>207</v>
      </c>
      <c r="B93">
        <v>448.47738600000002</v>
      </c>
      <c r="C93">
        <v>-342.17617799999999</v>
      </c>
      <c r="D93">
        <v>388.73245200000002</v>
      </c>
      <c r="E93">
        <v>-275.50006100000002</v>
      </c>
      <c r="F93">
        <v>315.875519</v>
      </c>
      <c r="G93">
        <v>-339.68808000000001</v>
      </c>
      <c r="H93">
        <v>375.18557700000002</v>
      </c>
      <c r="I93">
        <v>-406.61831699999999</v>
      </c>
      <c r="J93">
        <v>381.88983200000001</v>
      </c>
      <c r="K93">
        <v>-340.88668799999999</v>
      </c>
      <c r="L93">
        <v>138.29615799999999</v>
      </c>
      <c r="M93" s="3">
        <f t="shared" si="68"/>
        <v>2.413723299958296</v>
      </c>
      <c r="N93" s="81">
        <f t="shared" si="69"/>
        <v>48.855967424810473</v>
      </c>
      <c r="O93" s="81">
        <f t="shared" si="70"/>
        <v>48.609098749211249</v>
      </c>
      <c r="P93" s="81">
        <f t="shared" si="71"/>
        <v>-48.488451393379748</v>
      </c>
      <c r="Q93" s="81">
        <f t="shared" si="72"/>
        <v>-48.735319404704001</v>
      </c>
      <c r="R93" s="81">
        <f t="shared" si="73"/>
        <v>45.262120798178209</v>
      </c>
      <c r="S93" s="81">
        <f t="shared" si="74"/>
        <v>-44.264974389362926</v>
      </c>
      <c r="T93" s="81">
        <f t="shared" si="75"/>
        <v>-44.812902868163818</v>
      </c>
      <c r="U93" s="81">
        <f t="shared" si="76"/>
        <v>44.614602190540118</v>
      </c>
    </row>
    <row r="94" spans="1:26" x14ac:dyDescent="0.2">
      <c r="A94" t="s">
        <v>208</v>
      </c>
      <c r="B94">
        <v>442.842377</v>
      </c>
      <c r="C94">
        <v>-518.17016599999999</v>
      </c>
      <c r="D94">
        <v>382.33746300000001</v>
      </c>
      <c r="E94">
        <v>-449.68414300000001</v>
      </c>
      <c r="F94">
        <v>309.28595000000001</v>
      </c>
      <c r="G94">
        <v>-514.76159700000005</v>
      </c>
      <c r="H94">
        <v>369.339294</v>
      </c>
      <c r="I94">
        <v>-583.70752000000005</v>
      </c>
      <c r="J94">
        <v>375.82324199999999</v>
      </c>
      <c r="K94">
        <v>-516.36651600000005</v>
      </c>
      <c r="L94">
        <v>138.742065</v>
      </c>
      <c r="M94" s="3">
        <f t="shared" si="68"/>
        <v>2.4215058452659863</v>
      </c>
      <c r="N94" s="81">
        <f t="shared" si="69"/>
        <v>49.192116413983648</v>
      </c>
      <c r="O94" s="81">
        <f t="shared" si="70"/>
        <v>48.870742148315571</v>
      </c>
      <c r="P94" s="81">
        <f t="shared" si="71"/>
        <v>-48.960944812665097</v>
      </c>
      <c r="Q94" s="81">
        <f t="shared" si="72"/>
        <v>-49.28231863487251</v>
      </c>
      <c r="R94" s="81">
        <f t="shared" si="73"/>
        <v>45.551655207948322</v>
      </c>
      <c r="S94" s="81">
        <f t="shared" si="74"/>
        <v>-45.832570362361608</v>
      </c>
      <c r="T94" s="81">
        <f t="shared" si="75"/>
        <v>-45.084508145714359</v>
      </c>
      <c r="U94" s="81">
        <f t="shared" si="76"/>
        <v>46.347658747401873</v>
      </c>
    </row>
    <row r="95" spans="1:26" s="83" customFormat="1" x14ac:dyDescent="0.2">
      <c r="A95" t="s">
        <v>209</v>
      </c>
      <c r="B95">
        <v>357.83343500000001</v>
      </c>
      <c r="C95">
        <v>-421.99115</v>
      </c>
      <c r="D95">
        <v>298.61978099999999</v>
      </c>
      <c r="E95">
        <v>-354.98809799999998</v>
      </c>
      <c r="F95">
        <v>226.045502</v>
      </c>
      <c r="G95">
        <v>-419.475708</v>
      </c>
      <c r="H95">
        <v>284.95211799999998</v>
      </c>
      <c r="I95">
        <v>-486.87808200000001</v>
      </c>
      <c r="J95">
        <v>291.77462800000001</v>
      </c>
      <c r="K95">
        <v>-420.64465300000001</v>
      </c>
      <c r="L95">
        <v>138.68983499999999</v>
      </c>
      <c r="M95" s="3">
        <f t="shared" si="68"/>
        <v>2.4205942597976695</v>
      </c>
      <c r="N95" s="81">
        <f t="shared" si="69"/>
        <v>48.731006898562335</v>
      </c>
      <c r="O95" s="81">
        <f t="shared" si="70"/>
        <v>48.48390242544238</v>
      </c>
      <c r="P95" s="81">
        <f t="shared" si="71"/>
        <v>-48.600576274010479</v>
      </c>
      <c r="Q95" s="81">
        <f t="shared" si="72"/>
        <v>-48.847708887441819</v>
      </c>
      <c r="R95" s="81">
        <f t="shared" si="73"/>
        <v>44.619143908041629</v>
      </c>
      <c r="S95" s="81">
        <f t="shared" si="74"/>
        <v>-44.799001547597236</v>
      </c>
      <c r="T95" s="81">
        <f t="shared" si="75"/>
        <v>-44.268142303139307</v>
      </c>
      <c r="U95" s="81">
        <f t="shared" si="76"/>
        <v>45.247266174277087</v>
      </c>
      <c r="Z95" s="134"/>
    </row>
    <row r="96" spans="1:26" s="82" customFormat="1" x14ac:dyDescent="0.2">
      <c r="A96" t="s">
        <v>271</v>
      </c>
      <c r="B96">
        <v>528.40063499999997</v>
      </c>
      <c r="C96">
        <v>-434.34927399999998</v>
      </c>
      <c r="D96">
        <v>391.28836100000001</v>
      </c>
      <c r="E96">
        <v>-281.57195999999999</v>
      </c>
      <c r="F96">
        <v>231.34167500000001</v>
      </c>
      <c r="G96">
        <v>-423.09310900000003</v>
      </c>
      <c r="H96">
        <v>366.30508400000002</v>
      </c>
      <c r="I96">
        <v>-577.76892099999998</v>
      </c>
      <c r="J96">
        <v>378.56683299999997</v>
      </c>
      <c r="K96">
        <v>-428.334045</v>
      </c>
      <c r="L96">
        <v>138.493301</v>
      </c>
      <c r="M96" s="3">
        <f t="shared" si="68"/>
        <v>2.4171640944055555</v>
      </c>
      <c r="N96" s="81">
        <f t="shared" si="69"/>
        <v>108.22093625108546</v>
      </c>
      <c r="O96" s="81">
        <f t="shared" si="70"/>
        <v>106.78722630819307</v>
      </c>
      <c r="P96" s="81">
        <f t="shared" si="71"/>
        <v>-106.78050938180432</v>
      </c>
      <c r="Q96" s="81">
        <f t="shared" si="72"/>
        <v>-108.21418675788298</v>
      </c>
      <c r="R96" s="81">
        <f t="shared" si="73"/>
        <v>103.8006751357434</v>
      </c>
      <c r="S96" s="81">
        <f t="shared" si="74"/>
        <v>-101.47627883207372</v>
      </c>
      <c r="T96" s="81">
        <f t="shared" si="75"/>
        <v>-101.49205572084668</v>
      </c>
      <c r="U96" s="81">
        <f t="shared" si="76"/>
        <v>103.78257290125541</v>
      </c>
      <c r="Z96" s="127"/>
    </row>
    <row r="97" spans="1:26" x14ac:dyDescent="0.2">
      <c r="A97" t="s">
        <v>272</v>
      </c>
      <c r="B97">
        <v>528.15313700000002</v>
      </c>
      <c r="C97">
        <v>-434.56530800000002</v>
      </c>
      <c r="D97">
        <v>471.34396400000003</v>
      </c>
      <c r="E97">
        <v>-371.36004600000001</v>
      </c>
      <c r="F97">
        <v>399.49169899999998</v>
      </c>
      <c r="G97">
        <v>-434.50726300000002</v>
      </c>
      <c r="H97">
        <v>455.83639499999998</v>
      </c>
      <c r="I97">
        <v>-498.06710800000002</v>
      </c>
      <c r="J97">
        <v>463.52795400000002</v>
      </c>
      <c r="K97">
        <v>-434.49075299999998</v>
      </c>
      <c r="L97">
        <v>138.24707000000001</v>
      </c>
      <c r="M97" s="3">
        <f t="shared" si="68"/>
        <v>2.4128665527350774</v>
      </c>
      <c r="N97" s="81">
        <f t="shared" si="69"/>
        <v>48.162246063058809</v>
      </c>
      <c r="O97" s="81">
        <f t="shared" si="70"/>
        <v>47.870914606231466</v>
      </c>
      <c r="P97" s="81">
        <f t="shared" si="71"/>
        <v>-47.783534028148765</v>
      </c>
      <c r="Q97" s="81">
        <f t="shared" si="72"/>
        <v>-48.074837092429682</v>
      </c>
      <c r="R97" s="81">
        <f t="shared" si="73"/>
        <v>43.090809813612104</v>
      </c>
      <c r="S97" s="81">
        <f t="shared" si="74"/>
        <v>-41.892143814835265</v>
      </c>
      <c r="T97" s="81">
        <f t="shared" si="75"/>
        <v>-42.630694373724182</v>
      </c>
      <c r="U97" s="81">
        <f t="shared" si="76"/>
        <v>42.307482003457238</v>
      </c>
    </row>
    <row r="98" spans="1:26" x14ac:dyDescent="0.2">
      <c r="A98" t="s">
        <v>273</v>
      </c>
      <c r="B98">
        <v>446.85699499999998</v>
      </c>
      <c r="C98">
        <v>-343.59414700000002</v>
      </c>
      <c r="D98">
        <v>391.28836100000001</v>
      </c>
      <c r="E98">
        <v>-281.57195999999999</v>
      </c>
      <c r="F98">
        <v>320.01586900000001</v>
      </c>
      <c r="G98">
        <v>-344.35876500000001</v>
      </c>
      <c r="H98">
        <v>375.18682899999999</v>
      </c>
      <c r="I98">
        <v>-406.617188</v>
      </c>
      <c r="J98">
        <v>383.17626999999999</v>
      </c>
      <c r="K98">
        <v>-343.93856799999998</v>
      </c>
      <c r="L98">
        <v>138.29753099999999</v>
      </c>
      <c r="M98" s="3">
        <f t="shared" si="68"/>
        <v>2.4137472633289261</v>
      </c>
      <c r="N98" s="81">
        <f t="shared" si="69"/>
        <v>47.77376561569784</v>
      </c>
      <c r="O98" s="81">
        <f t="shared" si="70"/>
        <v>47.546731649885906</v>
      </c>
      <c r="P98" s="81">
        <f t="shared" si="71"/>
        <v>-47.435697699569012</v>
      </c>
      <c r="Q98" s="81">
        <f t="shared" si="72"/>
        <v>-47.662729884807113</v>
      </c>
      <c r="R98" s="81">
        <f t="shared" si="73"/>
        <v>42.107252121781016</v>
      </c>
      <c r="S98" s="81">
        <f t="shared" si="74"/>
        <v>-41.166832805447648</v>
      </c>
      <c r="T98" s="81">
        <f t="shared" si="75"/>
        <v>-41.704524979367768</v>
      </c>
      <c r="U98" s="81">
        <f t="shared" si="76"/>
        <v>41.481378382652593</v>
      </c>
    </row>
    <row r="99" spans="1:26" x14ac:dyDescent="0.2">
      <c r="A99" t="s">
        <v>274</v>
      </c>
      <c r="B99">
        <v>438.562592</v>
      </c>
      <c r="C99">
        <v>-513.327271</v>
      </c>
      <c r="D99">
        <v>382.33667000000003</v>
      </c>
      <c r="E99">
        <v>-449.68487499999998</v>
      </c>
      <c r="F99">
        <v>311.08801299999999</v>
      </c>
      <c r="G99">
        <v>-513.14788799999997</v>
      </c>
      <c r="H99">
        <v>366.90564000000001</v>
      </c>
      <c r="I99">
        <v>-577.20703100000003</v>
      </c>
      <c r="J99">
        <v>374.610657</v>
      </c>
      <c r="K99">
        <v>-513.14965800000004</v>
      </c>
      <c r="L99">
        <v>138.73674</v>
      </c>
      <c r="M99" s="3">
        <f t="shared" si="68"/>
        <v>2.4214129064833179</v>
      </c>
      <c r="N99" s="81">
        <f t="shared" si="69"/>
        <v>47.954711314046179</v>
      </c>
      <c r="O99" s="81">
        <f t="shared" si="70"/>
        <v>47.663825788221693</v>
      </c>
      <c r="P99" s="81">
        <f t="shared" si="71"/>
        <v>-47.747990706155143</v>
      </c>
      <c r="Q99" s="81">
        <f t="shared" si="72"/>
        <v>-48.038868199929567</v>
      </c>
      <c r="R99" s="81">
        <f t="shared" si="73"/>
        <v>42.311076556954731</v>
      </c>
      <c r="S99" s="81">
        <f t="shared" si="74"/>
        <v>-42.610206164055583</v>
      </c>
      <c r="T99" s="81">
        <f t="shared" si="75"/>
        <v>-41.895771712770248</v>
      </c>
      <c r="U99" s="81">
        <f t="shared" si="76"/>
        <v>43.069495756291502</v>
      </c>
    </row>
    <row r="100" spans="1:26" s="82" customFormat="1" x14ac:dyDescent="0.2">
      <c r="A100" t="s">
        <v>275</v>
      </c>
      <c r="B100">
        <v>357.83322099999998</v>
      </c>
      <c r="C100">
        <v>-421.990906</v>
      </c>
      <c r="D100">
        <v>303.09750400000001</v>
      </c>
      <c r="E100">
        <v>-360.05407700000001</v>
      </c>
      <c r="F100">
        <v>231.70036300000001</v>
      </c>
      <c r="G100">
        <v>-423.50286899999998</v>
      </c>
      <c r="H100">
        <v>286.15167200000002</v>
      </c>
      <c r="I100">
        <v>-485.80456500000003</v>
      </c>
      <c r="J100">
        <v>294.618652</v>
      </c>
      <c r="K100">
        <v>-422.668182</v>
      </c>
      <c r="L100">
        <v>138.68937700000001</v>
      </c>
      <c r="M100" s="3">
        <f t="shared" si="68"/>
        <v>2.4205862661896957</v>
      </c>
      <c r="N100" s="81">
        <f t="shared" si="69"/>
        <v>47.930199736513487</v>
      </c>
      <c r="O100" s="81">
        <f t="shared" si="70"/>
        <v>47.702954238460009</v>
      </c>
      <c r="P100" s="81">
        <f t="shared" si="71"/>
        <v>-47.811564904608993</v>
      </c>
      <c r="Q100" s="81">
        <f t="shared" si="72"/>
        <v>-48.038813776437856</v>
      </c>
      <c r="R100" s="81">
        <f t="shared" si="73"/>
        <v>41.221795082866748</v>
      </c>
      <c r="S100" s="81">
        <f t="shared" si="74"/>
        <v>-41.434831158245579</v>
      </c>
      <c r="T100" s="81">
        <f t="shared" si="75"/>
        <v>-40.907970549122204</v>
      </c>
      <c r="U100" s="81">
        <f t="shared" si="76"/>
        <v>41.83497316356037</v>
      </c>
      <c r="Z100" s="127"/>
    </row>
    <row r="101" spans="1:26" s="82" customFormat="1" x14ac:dyDescent="0.2">
      <c r="A101" t="s">
        <v>276</v>
      </c>
      <c r="B101">
        <v>528.40063499999997</v>
      </c>
      <c r="C101">
        <v>-434.34927399999998</v>
      </c>
      <c r="D101">
        <v>391.28836100000001</v>
      </c>
      <c r="E101">
        <v>-281.57195999999999</v>
      </c>
      <c r="F101">
        <v>231.34167500000001</v>
      </c>
      <c r="G101">
        <v>-423.09310900000003</v>
      </c>
      <c r="H101">
        <v>366.30508400000002</v>
      </c>
      <c r="I101">
        <v>-577.76892099999998</v>
      </c>
      <c r="J101">
        <v>299.52664199999998</v>
      </c>
      <c r="K101">
        <v>-456.59893799999998</v>
      </c>
      <c r="L101">
        <v>138.493301</v>
      </c>
      <c r="M101" s="3">
        <f t="shared" si="68"/>
        <v>2.4171640944055555</v>
      </c>
      <c r="N101" s="81">
        <f t="shared" si="69"/>
        <v>186.14377528923197</v>
      </c>
      <c r="O101" s="81">
        <f t="shared" si="70"/>
        <v>184.71006534633955</v>
      </c>
      <c r="P101" s="81">
        <f t="shared" si="71"/>
        <v>-28.857670343657837</v>
      </c>
      <c r="Q101" s="81">
        <f t="shared" si="72"/>
        <v>-30.291347719736486</v>
      </c>
      <c r="R101" s="81">
        <f t="shared" si="73"/>
        <v>135.01424791831732</v>
      </c>
      <c r="S101" s="81">
        <f t="shared" si="74"/>
        <v>-70.262706049499769</v>
      </c>
      <c r="T101" s="81">
        <f t="shared" si="75"/>
        <v>-70.278482938272759</v>
      </c>
      <c r="U101" s="81">
        <f t="shared" si="76"/>
        <v>134.99614568382935</v>
      </c>
      <c r="Z101" s="127"/>
    </row>
    <row r="102" spans="1:26" s="82" customFormat="1" x14ac:dyDescent="0.2">
      <c r="A102" t="s">
        <v>277</v>
      </c>
      <c r="B102">
        <v>528.40063499999997</v>
      </c>
      <c r="C102">
        <v>-434.34927399999998</v>
      </c>
      <c r="D102">
        <v>391.28836100000001</v>
      </c>
      <c r="E102">
        <v>-281.57195999999999</v>
      </c>
      <c r="F102">
        <v>231.34167500000001</v>
      </c>
      <c r="G102">
        <v>-423.09310900000003</v>
      </c>
      <c r="H102">
        <v>366.30508400000002</v>
      </c>
      <c r="I102">
        <v>-577.76892099999998</v>
      </c>
      <c r="J102">
        <v>299.25775099999998</v>
      </c>
      <c r="K102">
        <v>-423.09698500000002</v>
      </c>
      <c r="L102">
        <v>138.493301</v>
      </c>
      <c r="M102" s="3">
        <f t="shared" si="68"/>
        <v>2.4171640944055555</v>
      </c>
      <c r="N102" s="81">
        <f t="shared" si="69"/>
        <v>164.14314266237059</v>
      </c>
      <c r="O102" s="81">
        <f t="shared" si="70"/>
        <v>162.7094327194782</v>
      </c>
      <c r="P102" s="81">
        <f t="shared" si="71"/>
        <v>-50.85830297051919</v>
      </c>
      <c r="Q102" s="81">
        <f t="shared" si="72"/>
        <v>-52.291980346597832</v>
      </c>
      <c r="R102" s="81">
        <f t="shared" si="73"/>
        <v>160.28132771005369</v>
      </c>
      <c r="S102" s="81">
        <f t="shared" si="74"/>
        <v>-44.995626257763448</v>
      </c>
      <c r="T102" s="81">
        <f t="shared" si="75"/>
        <v>-45.011403146536409</v>
      </c>
      <c r="U102" s="81">
        <f t="shared" si="76"/>
        <v>160.26322547556566</v>
      </c>
      <c r="Z102" s="127"/>
    </row>
    <row r="104" spans="1:26" x14ac:dyDescent="0.2">
      <c r="M104" s="3"/>
    </row>
  </sheetData>
  <phoneticPr fontId="5" type="noConversion"/>
  <pageMargins left="0.75" right="0.75" top="1" bottom="1" header="0.5" footer="0.5"/>
  <pageSetup scale="44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1" sqref="F1"/>
    </sheetView>
  </sheetViews>
  <sheetFormatPr baseColWidth="10" defaultRowHeight="16" x14ac:dyDescent="0.2"/>
  <cols>
    <col min="1" max="1" width="20.6640625" bestFit="1" customWidth="1"/>
    <col min="2" max="2" width="11" bestFit="1" customWidth="1"/>
    <col min="5" max="5" width="14.5" bestFit="1" customWidth="1"/>
    <col min="6" max="6" width="11.1640625" bestFit="1" customWidth="1"/>
    <col min="7" max="7" width="12.1640625" bestFit="1" customWidth="1"/>
    <col min="8" max="8" width="9.33203125" bestFit="1" customWidth="1"/>
    <col min="9" max="9" width="14.5" bestFit="1" customWidth="1"/>
    <col min="10" max="11" width="11.1640625" bestFit="1" customWidth="1"/>
  </cols>
  <sheetData>
    <row r="1" spans="1:11" x14ac:dyDescent="0.2">
      <c r="E1" s="33" t="s">
        <v>205</v>
      </c>
      <c r="F1" s="33" t="s">
        <v>197</v>
      </c>
      <c r="G1" s="33" t="s">
        <v>199</v>
      </c>
      <c r="H1" s="33" t="s">
        <v>298</v>
      </c>
      <c r="I1" s="33" t="s">
        <v>205</v>
      </c>
      <c r="J1" s="33" t="s">
        <v>197</v>
      </c>
      <c r="K1" s="33" t="s">
        <v>199</v>
      </c>
    </row>
    <row r="2" spans="1:11" x14ac:dyDescent="0.2">
      <c r="A2" s="33"/>
      <c r="B2" s="33"/>
      <c r="C2" s="33"/>
      <c r="D2" s="33" t="s">
        <v>20</v>
      </c>
      <c r="E2" s="7">
        <f>VLOOKUP(E1, SIAF!$B$3:$Q$59,15,FALSE)</f>
        <v>378.77123999999998</v>
      </c>
      <c r="F2" s="7">
        <f>VLOOKUP(F1, SIAF!$B$3:$Q$59,15,FALSE)</f>
        <v>294.05481286004857</v>
      </c>
      <c r="G2">
        <f>VLOOKUP(G1, SIAF!$B$3:$Q$59,15,FALSE)</f>
        <v>463.16522786142303</v>
      </c>
    </row>
    <row r="3" spans="1:11" x14ac:dyDescent="0.2">
      <c r="A3" s="33" t="str">
        <f>SIAF!B2</f>
        <v>AperName</v>
      </c>
      <c r="B3" s="33" t="s">
        <v>235</v>
      </c>
      <c r="C3" s="33" t="s">
        <v>20</v>
      </c>
      <c r="D3" s="33" t="s">
        <v>21</v>
      </c>
      <c r="E3" s="7">
        <f>VLOOKUP(E1, SIAF!$B$3:$Q$59,16,FALSE)</f>
        <v>-428.15621900000002</v>
      </c>
      <c r="F3" s="7">
        <f>VLOOKUP(F1, SIAF!$B$3:$Q$59,16,FALSE)</f>
        <v>-502.90191109196689</v>
      </c>
      <c r="G3" s="7">
        <f>VLOOKUP(G1, SIAF!$B$3:$Q$59,16,FALSE)</f>
        <v>-353.21247418212658</v>
      </c>
    </row>
    <row r="4" spans="1:11" x14ac:dyDescent="0.2">
      <c r="A4" t="str">
        <f>SIAF!B3</f>
        <v>NRS1_FULL_OSS</v>
      </c>
      <c r="B4" t="str">
        <f>HLOOKUP(TRUE,$I4:$K$61,ROW($K$61)-ROW(I4)+1,FALSE)</f>
        <v>NRS1_CNTR</v>
      </c>
      <c r="C4" s="7">
        <f>VLOOKUP(A4,SIAF!$B$3:$Q$59,15,FALSE)</f>
        <v>294.05481286004857</v>
      </c>
      <c r="D4" s="7">
        <f>VLOOKUP(A4,SIAF!$B$3:$Q$59,16,FALSE)</f>
        <v>-502.90191109196689</v>
      </c>
      <c r="E4" s="7">
        <f>SQRT(($C4-E$2)^2+($D4-E$3)^2)</f>
        <v>112.9769512496501</v>
      </c>
      <c r="F4" s="7">
        <f>SQRT(($C4-F$2)^2+($D4-F$3)^2)</f>
        <v>0</v>
      </c>
      <c r="G4" s="7">
        <f>SQRT(($C4-G$2)^2+($D4-G$3)^2)</f>
        <v>225.84344131349522</v>
      </c>
      <c r="H4" s="25">
        <f>MIN(E4:G4)</f>
        <v>0</v>
      </c>
      <c r="I4" t="b">
        <f>E4=$H4</f>
        <v>0</v>
      </c>
      <c r="J4" t="b">
        <f t="shared" ref="J4:K4" si="0">F4=$H4</f>
        <v>1</v>
      </c>
      <c r="K4" t="b">
        <f t="shared" si="0"/>
        <v>0</v>
      </c>
    </row>
    <row r="5" spans="1:11" x14ac:dyDescent="0.2">
      <c r="A5" t="str">
        <f>SIAF!B4</f>
        <v>NRS1_FULL</v>
      </c>
      <c r="B5" t="str">
        <f>HLOOKUP(TRUE,$I5:$K$61,ROW($K$61)-ROW(I5)+1,FALSE)</f>
        <v>NRS1_CNTR</v>
      </c>
      <c r="C5" s="7">
        <f>VLOOKUP(A5,SIAF!$B$3:$Q$59,15,FALSE)</f>
        <v>294.05481286004857</v>
      </c>
      <c r="D5" s="7">
        <f>VLOOKUP(A5,SIAF!$B$3:$Q$59,16,FALSE)</f>
        <v>-502.90191109196689</v>
      </c>
      <c r="E5" s="7">
        <f t="shared" ref="E5:G60" si="1">SQRT(($C5-E$2)^2+($D5-E$3)^2)</f>
        <v>112.9769512496501</v>
      </c>
      <c r="F5" s="7">
        <f t="shared" si="1"/>
        <v>0</v>
      </c>
      <c r="G5" s="7">
        <f t="shared" si="1"/>
        <v>225.84344131349522</v>
      </c>
      <c r="H5" s="25">
        <f t="shared" ref="H5:H60" si="2">MIN(E5:G5)</f>
        <v>0</v>
      </c>
      <c r="I5" t="b">
        <f t="shared" ref="I5:I60" si="3">E5=$H5</f>
        <v>0</v>
      </c>
      <c r="J5" t="b">
        <f t="shared" ref="J5:J60" si="4">F5=$H5</f>
        <v>1</v>
      </c>
      <c r="K5" t="b">
        <f t="shared" ref="K5:K60" si="5">G5=$H5</f>
        <v>0</v>
      </c>
    </row>
    <row r="6" spans="1:11" x14ac:dyDescent="0.2">
      <c r="A6" t="str">
        <f>SIAF!B5</f>
        <v>NRS2_FULL_OSS</v>
      </c>
      <c r="B6" t="str">
        <f>HLOOKUP(TRUE,$I6:$K$61,ROW($K$61)-ROW(I6)+1,FALSE)</f>
        <v>NRS2_CNTR</v>
      </c>
      <c r="C6" s="7">
        <f>VLOOKUP(A6,SIAF!$B$3:$Q$59,15,FALSE)</f>
        <v>463.16522786142303</v>
      </c>
      <c r="D6" s="7">
        <f>VLOOKUP(A6,SIAF!$B$3:$Q$59,16,FALSE)</f>
        <v>-353.21247418212658</v>
      </c>
      <c r="E6" s="7">
        <f t="shared" si="1"/>
        <v>112.86678020782091</v>
      </c>
      <c r="F6" s="7">
        <f t="shared" si="1"/>
        <v>225.84344131349522</v>
      </c>
      <c r="G6" s="7">
        <f t="shared" si="1"/>
        <v>0</v>
      </c>
      <c r="H6" s="25">
        <f t="shared" si="2"/>
        <v>0</v>
      </c>
      <c r="I6" t="b">
        <f t="shared" si="3"/>
        <v>0</v>
      </c>
      <c r="J6" t="b">
        <f t="shared" si="4"/>
        <v>0</v>
      </c>
      <c r="K6" t="b">
        <f t="shared" si="5"/>
        <v>1</v>
      </c>
    </row>
    <row r="7" spans="1:11" x14ac:dyDescent="0.2">
      <c r="A7" t="str">
        <f>SIAF!B6</f>
        <v>NRS2_FULL</v>
      </c>
      <c r="B7" t="str">
        <f>HLOOKUP(TRUE,$I7:$K$61,ROW($K$61)-ROW(I7)+1,FALSE)</f>
        <v>NRS2_CNTR</v>
      </c>
      <c r="C7" s="7">
        <f>VLOOKUP(A7,SIAF!$B$3:$Q$59,15,FALSE)</f>
        <v>463.16522786142303</v>
      </c>
      <c r="D7" s="7">
        <f>VLOOKUP(A7,SIAF!$B$3:$Q$59,16,FALSE)</f>
        <v>-353.21247418212658</v>
      </c>
      <c r="E7" s="7">
        <f t="shared" si="1"/>
        <v>112.86678020782091</v>
      </c>
      <c r="F7" s="7">
        <f t="shared" si="1"/>
        <v>225.84344131349522</v>
      </c>
      <c r="G7" s="7">
        <f t="shared" si="1"/>
        <v>0</v>
      </c>
      <c r="H7" s="25">
        <f t="shared" si="2"/>
        <v>0</v>
      </c>
      <c r="I7" t="b">
        <f t="shared" si="3"/>
        <v>0</v>
      </c>
      <c r="J7" t="b">
        <f t="shared" si="4"/>
        <v>0</v>
      </c>
      <c r="K7" t="b">
        <f t="shared" si="5"/>
        <v>1</v>
      </c>
    </row>
    <row r="8" spans="1:11" x14ac:dyDescent="0.2">
      <c r="A8" t="str">
        <f>SIAF!B7</f>
        <v>NRS_S200A1_SLIT</v>
      </c>
      <c r="B8" t="str">
        <f>HLOOKUP(TRUE,$I8:$K$61,ROW($K$61)-ROW(I8)+1,FALSE)</f>
        <v>NRS1_CNTR</v>
      </c>
      <c r="C8" s="7">
        <f>VLOOKUP(A8,SIAF!$B$3:$Q$59,15,FALSE)</f>
        <v>332.136078</v>
      </c>
      <c r="D8" s="7">
        <f>VLOOKUP(A8,SIAF!$B$3:$Q$59,16,FALSE)</f>
        <v>-479.22421300000002</v>
      </c>
      <c r="E8" s="7">
        <f t="shared" si="1"/>
        <v>69.157634039564115</v>
      </c>
      <c r="F8" s="7">
        <f t="shared" si="1"/>
        <v>44.842124632911982</v>
      </c>
      <c r="G8" s="7">
        <f t="shared" si="1"/>
        <v>181.78997891333617</v>
      </c>
      <c r="H8" s="25">
        <f t="shared" si="2"/>
        <v>44.842124632911982</v>
      </c>
      <c r="I8" t="b">
        <f t="shared" si="3"/>
        <v>0</v>
      </c>
      <c r="J8" t="b">
        <f t="shared" si="4"/>
        <v>1</v>
      </c>
      <c r="K8" t="b">
        <f t="shared" si="5"/>
        <v>0</v>
      </c>
    </row>
    <row r="9" spans="1:11" x14ac:dyDescent="0.2">
      <c r="A9" t="str">
        <f>SIAF!B8</f>
        <v>NRS_S200A2_SLIT</v>
      </c>
      <c r="B9" t="str">
        <f>HLOOKUP(TRUE,$I9:$K$61,ROW($K$61)-ROW(I9)+1,FALSE)</f>
        <v>NRS1_CNTR</v>
      </c>
      <c r="C9" s="7">
        <f>VLOOKUP(A9,SIAF!$B$3:$Q$59,15,FALSE)</f>
        <v>314.98486300000002</v>
      </c>
      <c r="D9" s="7">
        <f>VLOOKUP(A9,SIAF!$B$3:$Q$59,16,FALSE)</f>
        <v>-489.45056199999999</v>
      </c>
      <c r="E9" s="7">
        <f t="shared" si="1"/>
        <v>88.462977423257513</v>
      </c>
      <c r="F9" s="7">
        <f t="shared" si="1"/>
        <v>24.879826994069724</v>
      </c>
      <c r="G9" s="7">
        <f t="shared" si="1"/>
        <v>201.29142332135027</v>
      </c>
      <c r="H9" s="25">
        <f t="shared" si="2"/>
        <v>24.879826994069724</v>
      </c>
      <c r="I9" t="b">
        <f t="shared" si="3"/>
        <v>0</v>
      </c>
      <c r="J9" t="b">
        <f t="shared" si="4"/>
        <v>1</v>
      </c>
      <c r="K9" t="b">
        <f t="shared" si="5"/>
        <v>0</v>
      </c>
    </row>
    <row r="10" spans="1:11" x14ac:dyDescent="0.2">
      <c r="A10" t="str">
        <f>SIAF!B9</f>
        <v>NRS_S400A1_SLIT</v>
      </c>
      <c r="B10" t="str">
        <f>HLOOKUP(TRUE,$I10:$K$61,ROW($K$61)-ROW(I10)+1,FALSE)</f>
        <v>NRS1_CNTR</v>
      </c>
      <c r="C10" s="7">
        <f>VLOOKUP(A10,SIAF!$B$3:$Q$59,15,FALSE)</f>
        <v>321.87158199999999</v>
      </c>
      <c r="D10" s="7">
        <f>VLOOKUP(A10,SIAF!$B$3:$Q$59,16,FALSE)</f>
        <v>-477.93875100000002</v>
      </c>
      <c r="E10" s="7">
        <f t="shared" si="1"/>
        <v>75.603383342599074</v>
      </c>
      <c r="F10" s="7">
        <f t="shared" si="1"/>
        <v>37.375553603425345</v>
      </c>
      <c r="G10" s="7">
        <f t="shared" si="1"/>
        <v>188.46893242564417</v>
      </c>
      <c r="H10" s="25">
        <f t="shared" si="2"/>
        <v>37.375553603425345</v>
      </c>
      <c r="I10" t="b">
        <f t="shared" si="3"/>
        <v>0</v>
      </c>
      <c r="J10" t="b">
        <f t="shared" si="4"/>
        <v>1</v>
      </c>
      <c r="K10" t="b">
        <f t="shared" si="5"/>
        <v>0</v>
      </c>
    </row>
    <row r="11" spans="1:11" x14ac:dyDescent="0.2">
      <c r="A11" t="str">
        <f>SIAF!B10</f>
        <v>NRS_S1600A1_SLIT</v>
      </c>
      <c r="B11" t="str">
        <f>HLOOKUP(TRUE,$I11:$K$61,ROW($K$61)-ROW(I11)+1,FALSE)</f>
        <v>NRS1_CNTR</v>
      </c>
      <c r="C11" s="7">
        <f>VLOOKUP(A11,SIAF!$B$3:$Q$59,15,FALSE)</f>
        <v>321.53195199999999</v>
      </c>
      <c r="D11" s="7">
        <f>VLOOKUP(A11,SIAF!$B$3:$Q$59,16,FALSE)</f>
        <v>-473.67919899999998</v>
      </c>
      <c r="E11" s="7">
        <f t="shared" si="1"/>
        <v>73.134655251989386</v>
      </c>
      <c r="F11" s="7">
        <f t="shared" si="1"/>
        <v>40.111844601392235</v>
      </c>
      <c r="G11" s="7">
        <f t="shared" si="1"/>
        <v>185.93605518990447</v>
      </c>
      <c r="H11" s="25">
        <f t="shared" si="2"/>
        <v>40.111844601392235</v>
      </c>
      <c r="I11" t="b">
        <f t="shared" si="3"/>
        <v>0</v>
      </c>
      <c r="J11" t="b">
        <f t="shared" si="4"/>
        <v>1</v>
      </c>
      <c r="K11" t="b">
        <f t="shared" si="5"/>
        <v>0</v>
      </c>
    </row>
    <row r="12" spans="1:11" x14ac:dyDescent="0.2">
      <c r="A12" t="str">
        <f>SIAF!B11</f>
        <v>NRS_S200B1_SLIT</v>
      </c>
      <c r="B12" t="str">
        <f>HLOOKUP(TRUE,$I12:$K$61,ROW($K$61)-ROW(I12)+1,FALSE)</f>
        <v>NRS2_CNTR</v>
      </c>
      <c r="C12" s="7">
        <f>VLOOKUP(A12,SIAF!$B$3:$Q$59,15,FALSE)</f>
        <v>440.48492399999998</v>
      </c>
      <c r="D12" s="7">
        <f>VLOOKUP(A12,SIAF!$B$3:$Q$59,16,FALSE)</f>
        <v>-364.51617399999998</v>
      </c>
      <c r="E12" s="7">
        <f t="shared" ref="E12:G13" si="6">SQRT(($C12-E$2)^2+($D12-E$3)^2)</f>
        <v>88.648937503243019</v>
      </c>
      <c r="F12" s="7">
        <f t="shared" si="6"/>
        <v>201.47553121643708</v>
      </c>
      <c r="G12" s="7">
        <f t="shared" si="6"/>
        <v>25.341069685770417</v>
      </c>
      <c r="H12" s="25">
        <f>MIN(E12:G12)</f>
        <v>25.341069685770417</v>
      </c>
      <c r="I12" t="b">
        <f t="shared" ref="I12:K13" si="7">E12=$H12</f>
        <v>0</v>
      </c>
      <c r="J12" t="b">
        <f t="shared" si="7"/>
        <v>0</v>
      </c>
      <c r="K12" t="b">
        <f t="shared" si="7"/>
        <v>1</v>
      </c>
    </row>
    <row r="13" spans="1:11" x14ac:dyDescent="0.2">
      <c r="A13" t="str">
        <f>SIAF!B12</f>
        <v>NRS_FULL_IFU</v>
      </c>
      <c r="B13" t="str">
        <f>HLOOKUP(TRUE,$I13:$K$61,ROW($K$61)-ROW(I13)+1,FALSE)</f>
        <v>NRS1_CNTR</v>
      </c>
      <c r="C13" s="7">
        <f>VLOOKUP(A13,SIAF!$B$3:$Q$59,15,FALSE)</f>
        <v>300.15011600000003</v>
      </c>
      <c r="D13" s="7">
        <f>VLOOKUP(A13,SIAF!$B$3:$Q$59,16,FALSE)</f>
        <v>-498.12496900000002</v>
      </c>
      <c r="E13" s="7">
        <f t="shared" si="6"/>
        <v>105.24688648879771</v>
      </c>
      <c r="F13" s="7">
        <f t="shared" si="6"/>
        <v>7.744152382146603</v>
      </c>
      <c r="G13" s="7">
        <f t="shared" si="6"/>
        <v>218.11363517564064</v>
      </c>
      <c r="H13" s="25">
        <f>MIN(E13:G13)</f>
        <v>7.744152382146603</v>
      </c>
      <c r="I13" t="b">
        <f t="shared" si="7"/>
        <v>0</v>
      </c>
      <c r="J13" t="b">
        <f t="shared" si="7"/>
        <v>1</v>
      </c>
      <c r="K13" t="b">
        <f t="shared" si="7"/>
        <v>0</v>
      </c>
    </row>
    <row r="14" spans="1:11" x14ac:dyDescent="0.2">
      <c r="A14" t="str">
        <f>SIAF!B13</f>
        <v>NRS_IFU_SLICE00</v>
      </c>
      <c r="B14" t="str">
        <f>HLOOKUP(TRUE,$I14:$K$61,ROW($K$61)-ROW(I14)+1,FALSE)</f>
        <v>NRS1_CNTR</v>
      </c>
      <c r="C14" s="7">
        <f>VLOOKUP(A14,SIAF!$B$3:$Q$59,15,FALSE)</f>
        <v>300.108093</v>
      </c>
      <c r="D14" s="7">
        <f>VLOOKUP(A14,SIAF!$B$3:$Q$59,16,FALSE)</f>
        <v>-498.23413099999999</v>
      </c>
      <c r="E14" s="7">
        <f t="shared" ref="E14:G43" si="8">SQRT(($C14-E$2)^2+($D14-E$3)^2)</f>
        <v>105.3508635286078</v>
      </c>
      <c r="F14" s="7">
        <f t="shared" si="8"/>
        <v>7.6439761537888709</v>
      </c>
      <c r="G14" s="7">
        <f t="shared" si="8"/>
        <v>218.21757531284538</v>
      </c>
      <c r="H14" s="25">
        <f t="shared" ref="H14:H43" si="9">MIN(E14:G14)</f>
        <v>7.6439761537888709</v>
      </c>
      <c r="I14" t="b">
        <f t="shared" ref="I14:I43" si="10">E14=$H14</f>
        <v>0</v>
      </c>
      <c r="J14" t="b">
        <f t="shared" ref="J14:J43" si="11">F14=$H14</f>
        <v>1</v>
      </c>
      <c r="K14" t="b">
        <f t="shared" ref="K14:K43" si="12">G14=$H14</f>
        <v>0</v>
      </c>
    </row>
    <row r="15" spans="1:11" x14ac:dyDescent="0.2">
      <c r="A15" t="str">
        <f>SIAF!B14</f>
        <v>NRS_IFU_SLICE01</v>
      </c>
      <c r="B15" t="str">
        <f>HLOOKUP(TRUE,$I15:$K$61,ROW($K$61)-ROW(I15)+1,FALSE)</f>
        <v>NRS1_CNTR</v>
      </c>
      <c r="C15" s="7">
        <f>VLOOKUP(A15,SIAF!$B$3:$Q$59,15,FALSE)</f>
        <v>300.185181</v>
      </c>
      <c r="D15" s="7">
        <f>VLOOKUP(A15,SIAF!$B$3:$Q$59,16,FALSE)</f>
        <v>-498.16516100000001</v>
      </c>
      <c r="E15" s="7">
        <f t="shared" si="8"/>
        <v>105.24742576001961</v>
      </c>
      <c r="F15" s="7">
        <f t="shared" si="8"/>
        <v>7.7471423741325296</v>
      </c>
      <c r="G15" s="7">
        <f t="shared" si="8"/>
        <v>218.11413775973381</v>
      </c>
      <c r="H15" s="25">
        <f t="shared" si="9"/>
        <v>7.7471423741325296</v>
      </c>
      <c r="I15" t="b">
        <f t="shared" si="10"/>
        <v>0</v>
      </c>
      <c r="J15" t="b">
        <f t="shared" si="11"/>
        <v>1</v>
      </c>
      <c r="K15" t="b">
        <f t="shared" si="12"/>
        <v>0</v>
      </c>
    </row>
    <row r="16" spans="1:11" x14ac:dyDescent="0.2">
      <c r="A16" t="str">
        <f>SIAF!B15</f>
        <v>NRS_IFU_SLICE02</v>
      </c>
      <c r="B16" t="str">
        <f>HLOOKUP(TRUE,$I16:$K$61,ROW($K$61)-ROW(I16)+1,FALSE)</f>
        <v>NRS1_CNTR</v>
      </c>
      <c r="C16" s="7">
        <f>VLOOKUP(A16,SIAF!$B$3:$Q$59,15,FALSE)</f>
        <v>300.03097500000001</v>
      </c>
      <c r="D16" s="7">
        <f>VLOOKUP(A16,SIAF!$B$3:$Q$59,16,FALSE)</f>
        <v>-498.30313100000001</v>
      </c>
      <c r="E16" s="7">
        <f t="shared" si="8"/>
        <v>105.45434365357343</v>
      </c>
      <c r="F16" s="7">
        <f t="shared" si="8"/>
        <v>7.5407753087636786</v>
      </c>
      <c r="G16" s="7">
        <f t="shared" si="8"/>
        <v>218.32105522028019</v>
      </c>
      <c r="H16" s="25">
        <f t="shared" si="9"/>
        <v>7.5407753087636786</v>
      </c>
      <c r="I16" t="b">
        <f t="shared" si="10"/>
        <v>0</v>
      </c>
      <c r="J16" t="b">
        <f t="shared" si="11"/>
        <v>1</v>
      </c>
      <c r="K16" t="b">
        <f t="shared" si="12"/>
        <v>0</v>
      </c>
    </row>
    <row r="17" spans="1:11" x14ac:dyDescent="0.2">
      <c r="A17" t="str">
        <f>SIAF!B16</f>
        <v>NRS_IFU_SLICE03</v>
      </c>
      <c r="B17" t="str">
        <f>HLOOKUP(TRUE,$I17:$K$61,ROW($K$61)-ROW(I17)+1,FALSE)</f>
        <v>NRS1_CNTR</v>
      </c>
      <c r="C17" s="7">
        <f>VLOOKUP(A17,SIAF!$B$3:$Q$59,15,FALSE)</f>
        <v>300.26220699999999</v>
      </c>
      <c r="D17" s="7">
        <f>VLOOKUP(A17,SIAF!$B$3:$Q$59,16,FALSE)</f>
        <v>-498.09625199999999</v>
      </c>
      <c r="E17" s="7">
        <f t="shared" si="8"/>
        <v>105.14407486223925</v>
      </c>
      <c r="F17" s="7">
        <f t="shared" si="8"/>
        <v>7.8502293798912239</v>
      </c>
      <c r="G17" s="7">
        <f t="shared" si="8"/>
        <v>218.01078707384215</v>
      </c>
      <c r="H17" s="25">
        <f t="shared" si="9"/>
        <v>7.8502293798912239</v>
      </c>
      <c r="I17" t="b">
        <f t="shared" si="10"/>
        <v>0</v>
      </c>
      <c r="J17" t="b">
        <f t="shared" si="11"/>
        <v>1</v>
      </c>
      <c r="K17" t="b">
        <f t="shared" si="12"/>
        <v>0</v>
      </c>
    </row>
    <row r="18" spans="1:11" x14ac:dyDescent="0.2">
      <c r="A18" t="str">
        <f>SIAF!B17</f>
        <v>NRS_IFU_SLICE04</v>
      </c>
      <c r="B18" t="str">
        <f>HLOOKUP(TRUE,$I18:$K$61,ROW($K$61)-ROW(I18)+1,FALSE)</f>
        <v>NRS1_CNTR</v>
      </c>
      <c r="C18" s="7">
        <f>VLOOKUP(A18,SIAF!$B$3:$Q$59,15,FALSE)</f>
        <v>299.95379600000001</v>
      </c>
      <c r="D18" s="7">
        <f>VLOOKUP(A18,SIAF!$B$3:$Q$59,16,FALSE)</f>
        <v>-498.37219199999998</v>
      </c>
      <c r="E18" s="7">
        <f t="shared" si="8"/>
        <v>105.55790990271575</v>
      </c>
      <c r="F18" s="7">
        <f t="shared" si="8"/>
        <v>7.437496698322688</v>
      </c>
      <c r="G18" s="7">
        <f t="shared" si="8"/>
        <v>218.42462124774434</v>
      </c>
      <c r="H18" s="25">
        <f t="shared" si="9"/>
        <v>7.437496698322688</v>
      </c>
      <c r="I18" t="b">
        <f t="shared" si="10"/>
        <v>0</v>
      </c>
      <c r="J18" t="b">
        <f t="shared" si="11"/>
        <v>1</v>
      </c>
      <c r="K18" t="b">
        <f t="shared" si="12"/>
        <v>0</v>
      </c>
    </row>
    <row r="19" spans="1:11" x14ac:dyDescent="0.2">
      <c r="A19" t="str">
        <f>SIAF!B18</f>
        <v>NRS_IFU_SLICE05</v>
      </c>
      <c r="B19" t="str">
        <f>HLOOKUP(TRUE,$I19:$K$61,ROW($K$61)-ROW(I19)+1,FALSE)</f>
        <v>NRS1_CNTR</v>
      </c>
      <c r="C19" s="7">
        <f>VLOOKUP(A19,SIAF!$B$3:$Q$59,15,FALSE)</f>
        <v>300.33917200000002</v>
      </c>
      <c r="D19" s="7">
        <f>VLOOKUP(A19,SIAF!$B$3:$Q$59,16,FALSE)</f>
        <v>-498.02737400000001</v>
      </c>
      <c r="E19" s="7">
        <f t="shared" si="8"/>
        <v>105.04079013312229</v>
      </c>
      <c r="F19" s="7">
        <f t="shared" si="8"/>
        <v>7.9532560414494569</v>
      </c>
      <c r="G19" s="7">
        <f t="shared" si="8"/>
        <v>217.90750257081092</v>
      </c>
      <c r="H19" s="25">
        <f t="shared" si="9"/>
        <v>7.9532560414494569</v>
      </c>
      <c r="I19" t="b">
        <f t="shared" si="10"/>
        <v>0</v>
      </c>
      <c r="J19" t="b">
        <f t="shared" si="11"/>
        <v>1</v>
      </c>
      <c r="K19" t="b">
        <f t="shared" si="12"/>
        <v>0</v>
      </c>
    </row>
    <row r="20" spans="1:11" x14ac:dyDescent="0.2">
      <c r="A20" t="str">
        <f>SIAF!B19</f>
        <v>NRS_IFU_SLICE06</v>
      </c>
      <c r="B20" t="str">
        <f>HLOOKUP(TRUE,$I20:$K$61,ROW($K$61)-ROW(I20)+1,FALSE)</f>
        <v>NRS1_CNTR</v>
      </c>
      <c r="C20" s="7">
        <f>VLOOKUP(A20,SIAF!$B$3:$Q$59,15,FALSE)</f>
        <v>299.87655599999999</v>
      </c>
      <c r="D20" s="7">
        <f>VLOOKUP(A20,SIAF!$B$3:$Q$59,16,FALSE)</f>
        <v>-498.44131499999997</v>
      </c>
      <c r="E20" s="7">
        <f t="shared" si="8"/>
        <v>105.66156294125628</v>
      </c>
      <c r="F20" s="7">
        <f t="shared" si="8"/>
        <v>7.3341400779670147</v>
      </c>
      <c r="G20" s="7">
        <f t="shared" si="8"/>
        <v>218.52827405983578</v>
      </c>
      <c r="H20" s="25">
        <f t="shared" si="9"/>
        <v>7.3341400779670147</v>
      </c>
      <c r="I20" t="b">
        <f t="shared" si="10"/>
        <v>0</v>
      </c>
      <c r="J20" t="b">
        <f t="shared" si="11"/>
        <v>1</v>
      </c>
      <c r="K20" t="b">
        <f t="shared" si="12"/>
        <v>0</v>
      </c>
    </row>
    <row r="21" spans="1:11" x14ac:dyDescent="0.2">
      <c r="A21" t="str">
        <f>SIAF!B20</f>
        <v>NRS_IFU_SLICE07</v>
      </c>
      <c r="B21" t="str">
        <f>HLOOKUP(TRUE,$I21:$K$61,ROW($K$61)-ROW(I21)+1,FALSE)</f>
        <v>NRS1_CNTR</v>
      </c>
      <c r="C21" s="7">
        <f>VLOOKUP(A21,SIAF!$B$3:$Q$59,15,FALSE)</f>
        <v>300.41607699999997</v>
      </c>
      <c r="D21" s="7">
        <f>VLOOKUP(A21,SIAF!$B$3:$Q$59,16,FALSE)</f>
        <v>-497.95855699999998</v>
      </c>
      <c r="E21" s="7">
        <f t="shared" si="8"/>
        <v>104.93759078148692</v>
      </c>
      <c r="F21" s="7">
        <f t="shared" si="8"/>
        <v>8.0562045118528154</v>
      </c>
      <c r="G21" s="7">
        <f t="shared" si="8"/>
        <v>217.80430344057234</v>
      </c>
      <c r="H21" s="25">
        <f t="shared" si="9"/>
        <v>8.0562045118528154</v>
      </c>
      <c r="I21" t="b">
        <f t="shared" si="10"/>
        <v>0</v>
      </c>
      <c r="J21" t="b">
        <f t="shared" si="11"/>
        <v>1</v>
      </c>
      <c r="K21" t="b">
        <f t="shared" si="12"/>
        <v>0</v>
      </c>
    </row>
    <row r="22" spans="1:11" x14ac:dyDescent="0.2">
      <c r="A22" t="str">
        <f>SIAF!B21</f>
        <v>NRS_IFU_SLICE08</v>
      </c>
      <c r="B22" t="str">
        <f>HLOOKUP(TRUE,$I22:$K$61,ROW($K$61)-ROW(I22)+1,FALSE)</f>
        <v>NRS1_CNTR</v>
      </c>
      <c r="C22" s="7">
        <f>VLOOKUP(A22,SIAF!$B$3:$Q$59,15,FALSE)</f>
        <v>299.79931599999998</v>
      </c>
      <c r="D22" s="7">
        <f>VLOOKUP(A22,SIAF!$B$3:$Q$59,16,FALSE)</f>
        <v>-498.51043700000002</v>
      </c>
      <c r="E22" s="7">
        <f t="shared" si="8"/>
        <v>105.76521531511814</v>
      </c>
      <c r="F22" s="7">
        <f t="shared" si="8"/>
        <v>7.2307925585877371</v>
      </c>
      <c r="G22" s="7">
        <f t="shared" si="8"/>
        <v>218.63192620781251</v>
      </c>
      <c r="H22" s="25">
        <f t="shared" si="9"/>
        <v>7.2307925585877371</v>
      </c>
      <c r="I22" t="b">
        <f t="shared" si="10"/>
        <v>0</v>
      </c>
      <c r="J22" t="b">
        <f t="shared" si="11"/>
        <v>1</v>
      </c>
      <c r="K22" t="b">
        <f t="shared" si="12"/>
        <v>0</v>
      </c>
    </row>
    <row r="23" spans="1:11" x14ac:dyDescent="0.2">
      <c r="A23" t="str">
        <f>SIAF!B22</f>
        <v>NRS_IFU_SLICE09</v>
      </c>
      <c r="B23" t="str">
        <f>HLOOKUP(TRUE,$I23:$K$61,ROW($K$61)-ROW(I23)+1,FALSE)</f>
        <v>NRS1_CNTR</v>
      </c>
      <c r="C23" s="7">
        <f>VLOOKUP(A23,SIAF!$B$3:$Q$59,15,FALSE)</f>
        <v>300.49288899999999</v>
      </c>
      <c r="D23" s="7">
        <f>VLOOKUP(A23,SIAF!$B$3:$Q$59,16,FALSE)</f>
        <v>-497.88980099999998</v>
      </c>
      <c r="E23" s="7">
        <f t="shared" si="8"/>
        <v>104.83450144790081</v>
      </c>
      <c r="F23" s="7">
        <f t="shared" si="8"/>
        <v>8.1590484713481377</v>
      </c>
      <c r="G23" s="7">
        <f t="shared" si="8"/>
        <v>217.70121434160947</v>
      </c>
      <c r="H23" s="25">
        <f t="shared" si="9"/>
        <v>8.1590484713481377</v>
      </c>
      <c r="I23" t="b">
        <f t="shared" si="10"/>
        <v>0</v>
      </c>
      <c r="J23" t="b">
        <f t="shared" si="11"/>
        <v>1</v>
      </c>
      <c r="K23" t="b">
        <f t="shared" si="12"/>
        <v>0</v>
      </c>
    </row>
    <row r="24" spans="1:11" x14ac:dyDescent="0.2">
      <c r="A24" t="str">
        <f>SIAF!B23</f>
        <v>NRS_IFU_SLICE10</v>
      </c>
      <c r="B24" t="str">
        <f>HLOOKUP(TRUE,$I24:$K$61,ROW($K$61)-ROW(I24)+1,FALSE)</f>
        <v>NRS1_CNTR</v>
      </c>
      <c r="C24" s="7">
        <f>VLOOKUP(A24,SIAF!$B$3:$Q$59,15,FALSE)</f>
        <v>299.72198500000002</v>
      </c>
      <c r="D24" s="7">
        <f>VLOOKUP(A24,SIAF!$B$3:$Q$59,16,FALSE)</f>
        <v>-498.57961999999998</v>
      </c>
      <c r="E24" s="7">
        <f t="shared" si="8"/>
        <v>105.86897621334501</v>
      </c>
      <c r="F24" s="7">
        <f t="shared" si="8"/>
        <v>7.1273445509206601</v>
      </c>
      <c r="G24" s="7">
        <f t="shared" si="8"/>
        <v>218.73568689240668</v>
      </c>
      <c r="H24" s="25">
        <f t="shared" si="9"/>
        <v>7.1273445509206601</v>
      </c>
      <c r="I24" t="b">
        <f t="shared" si="10"/>
        <v>0</v>
      </c>
      <c r="J24" t="b">
        <f t="shared" si="11"/>
        <v>1</v>
      </c>
      <c r="K24" t="b">
        <f t="shared" si="12"/>
        <v>0</v>
      </c>
    </row>
    <row r="25" spans="1:11" x14ac:dyDescent="0.2">
      <c r="A25" t="str">
        <f>SIAF!B24</f>
        <v>NRS_IFU_SLICE11</v>
      </c>
      <c r="B25" t="str">
        <f>HLOOKUP(TRUE,$I25:$K$61,ROW($K$61)-ROW(I25)+1,FALSE)</f>
        <v>NRS1_CNTR</v>
      </c>
      <c r="C25" s="7">
        <f>VLOOKUP(A25,SIAF!$B$3:$Q$59,15,FALSE)</f>
        <v>300.56967200000003</v>
      </c>
      <c r="D25" s="7">
        <f>VLOOKUP(A25,SIAF!$B$3:$Q$59,16,FALSE)</f>
        <v>-497.82110599999999</v>
      </c>
      <c r="E25" s="7">
        <f t="shared" si="8"/>
        <v>104.73147434454162</v>
      </c>
      <c r="F25" s="7">
        <f t="shared" si="8"/>
        <v>8.2618381729470993</v>
      </c>
      <c r="G25" s="7">
        <f t="shared" si="8"/>
        <v>217.59818745137193</v>
      </c>
      <c r="H25" s="25">
        <f t="shared" si="9"/>
        <v>8.2618381729470993</v>
      </c>
      <c r="I25" t="b">
        <f t="shared" si="10"/>
        <v>0</v>
      </c>
      <c r="J25" t="b">
        <f t="shared" si="11"/>
        <v>1</v>
      </c>
      <c r="K25" t="b">
        <f t="shared" si="12"/>
        <v>0</v>
      </c>
    </row>
    <row r="26" spans="1:11" x14ac:dyDescent="0.2">
      <c r="A26" t="str">
        <f>SIAF!B25</f>
        <v>NRS_IFU_SLICE12</v>
      </c>
      <c r="B26" t="str">
        <f>HLOOKUP(TRUE,$I26:$K$61,ROW($K$61)-ROW(I26)+1,FALSE)</f>
        <v>NRS1_CNTR</v>
      </c>
      <c r="C26" s="7">
        <f>VLOOKUP(A26,SIAF!$B$3:$Q$59,15,FALSE)</f>
        <v>299.64465300000001</v>
      </c>
      <c r="D26" s="7">
        <f>VLOOKUP(A26,SIAF!$B$3:$Q$59,16,FALSE)</f>
        <v>-498.64883400000002</v>
      </c>
      <c r="E26" s="7">
        <f t="shared" si="8"/>
        <v>105.972758479747</v>
      </c>
      <c r="F26" s="7">
        <f t="shared" si="8"/>
        <v>7.0238862135163931</v>
      </c>
      <c r="G26" s="7">
        <f t="shared" si="8"/>
        <v>218.839468926618</v>
      </c>
      <c r="H26" s="25">
        <f t="shared" si="9"/>
        <v>7.0238862135163931</v>
      </c>
      <c r="I26" t="b">
        <f t="shared" si="10"/>
        <v>0</v>
      </c>
      <c r="J26" t="b">
        <f t="shared" si="11"/>
        <v>1</v>
      </c>
      <c r="K26" t="b">
        <f t="shared" si="12"/>
        <v>0</v>
      </c>
    </row>
    <row r="27" spans="1:11" x14ac:dyDescent="0.2">
      <c r="A27" t="str">
        <f>SIAF!B26</f>
        <v>NRS_IFU_SLICE13</v>
      </c>
      <c r="B27" t="str">
        <f>HLOOKUP(TRUE,$I27:$K$61,ROW($K$61)-ROW(I27)+1,FALSE)</f>
        <v>NRS1_CNTR</v>
      </c>
      <c r="C27" s="7">
        <f>VLOOKUP(A27,SIAF!$B$3:$Q$59,15,FALSE)</f>
        <v>300.64639299999999</v>
      </c>
      <c r="D27" s="7">
        <f>VLOOKUP(A27,SIAF!$B$3:$Q$59,16,FALSE)</f>
        <v>-497.75250199999999</v>
      </c>
      <c r="E27" s="7">
        <f t="shared" si="8"/>
        <v>104.62855406718327</v>
      </c>
      <c r="F27" s="7">
        <f t="shared" si="8"/>
        <v>8.3645288413534296</v>
      </c>
      <c r="G27" s="7">
        <f t="shared" si="8"/>
        <v>217.4952673653064</v>
      </c>
      <c r="H27" s="25">
        <f t="shared" si="9"/>
        <v>8.3645288413534296</v>
      </c>
      <c r="I27" t="b">
        <f t="shared" si="10"/>
        <v>0</v>
      </c>
      <c r="J27" t="b">
        <f t="shared" si="11"/>
        <v>1</v>
      </c>
      <c r="K27" t="b">
        <f t="shared" si="12"/>
        <v>0</v>
      </c>
    </row>
    <row r="28" spans="1:11" x14ac:dyDescent="0.2">
      <c r="A28" t="str">
        <f>SIAF!B27</f>
        <v>NRS_IFU_SLICE14</v>
      </c>
      <c r="B28" t="str">
        <f>HLOOKUP(TRUE,$I28:$K$61,ROW($K$61)-ROW(I28)+1,FALSE)</f>
        <v>NRS1_CNTR</v>
      </c>
      <c r="C28" s="7">
        <f>VLOOKUP(A28,SIAF!$B$3:$Q$59,15,FALSE)</f>
        <v>299.56729100000001</v>
      </c>
      <c r="D28" s="7">
        <f>VLOOKUP(A28,SIAF!$B$3:$Q$59,16,FALSE)</f>
        <v>-498.71807899999999</v>
      </c>
      <c r="E28" s="7">
        <f t="shared" si="8"/>
        <v>106.07658376783347</v>
      </c>
      <c r="F28" s="7">
        <f t="shared" si="8"/>
        <v>6.9203949466207977</v>
      </c>
      <c r="G28" s="7">
        <f t="shared" si="8"/>
        <v>218.94329397980954</v>
      </c>
      <c r="H28" s="25">
        <f t="shared" si="9"/>
        <v>6.9203949466207977</v>
      </c>
      <c r="I28" t="b">
        <f t="shared" si="10"/>
        <v>0</v>
      </c>
      <c r="J28" t="b">
        <f t="shared" si="11"/>
        <v>1</v>
      </c>
      <c r="K28" t="b">
        <f t="shared" si="12"/>
        <v>0</v>
      </c>
    </row>
    <row r="29" spans="1:11" x14ac:dyDescent="0.2">
      <c r="A29" t="str">
        <f>SIAF!B28</f>
        <v>NRS_IFU_SLICE15</v>
      </c>
      <c r="B29" t="str">
        <f>HLOOKUP(TRUE,$I29:$K$61,ROW($K$61)-ROW(I29)+1,FALSE)</f>
        <v>NRS1_CNTR</v>
      </c>
      <c r="C29" s="7">
        <f>VLOOKUP(A29,SIAF!$B$3:$Q$59,15,FALSE)</f>
        <v>300.72302200000001</v>
      </c>
      <c r="D29" s="7">
        <f>VLOOKUP(A29,SIAF!$B$3:$Q$59,16,FALSE)</f>
        <v>-497.68392899999998</v>
      </c>
      <c r="E29" s="7">
        <f t="shared" si="8"/>
        <v>104.52572310593987</v>
      </c>
      <c r="F29" s="7">
        <f t="shared" si="8"/>
        <v>8.4671335318524061</v>
      </c>
      <c r="G29" s="7">
        <f t="shared" si="8"/>
        <v>217.39243662629519</v>
      </c>
      <c r="H29" s="25">
        <f t="shared" si="9"/>
        <v>8.4671335318524061</v>
      </c>
      <c r="I29" t="b">
        <f t="shared" si="10"/>
        <v>0</v>
      </c>
      <c r="J29" t="b">
        <f t="shared" si="11"/>
        <v>1</v>
      </c>
      <c r="K29" t="b">
        <f t="shared" si="12"/>
        <v>0</v>
      </c>
    </row>
    <row r="30" spans="1:11" x14ac:dyDescent="0.2">
      <c r="A30" t="str">
        <f>SIAF!B29</f>
        <v>NRS_IFU_SLICE16</v>
      </c>
      <c r="B30" t="str">
        <f>HLOOKUP(TRUE,$I30:$K$61,ROW($K$61)-ROW(I30)+1,FALSE)</f>
        <v>NRS1_CNTR</v>
      </c>
      <c r="C30" s="7">
        <f>VLOOKUP(A30,SIAF!$B$3:$Q$59,15,FALSE)</f>
        <v>299.489868</v>
      </c>
      <c r="D30" s="7">
        <f>VLOOKUP(A30,SIAF!$B$3:$Q$59,16,FALSE)</f>
        <v>-498.78735399999999</v>
      </c>
      <c r="E30" s="7">
        <f t="shared" si="8"/>
        <v>106.18047455907606</v>
      </c>
      <c r="F30" s="7">
        <f t="shared" si="8"/>
        <v>6.8168471038572944</v>
      </c>
      <c r="G30" s="7">
        <f t="shared" si="8"/>
        <v>219.04718455107937</v>
      </c>
      <c r="H30" s="25">
        <f t="shared" si="9"/>
        <v>6.8168471038572944</v>
      </c>
      <c r="I30" t="b">
        <f t="shared" si="10"/>
        <v>0</v>
      </c>
      <c r="J30" t="b">
        <f t="shared" si="11"/>
        <v>1</v>
      </c>
      <c r="K30" t="b">
        <f t="shared" si="12"/>
        <v>0</v>
      </c>
    </row>
    <row r="31" spans="1:11" x14ac:dyDescent="0.2">
      <c r="A31" t="str">
        <f>SIAF!B30</f>
        <v>NRS_IFU_SLICE17</v>
      </c>
      <c r="B31" t="str">
        <f>HLOOKUP(TRUE,$I31:$K$61,ROW($K$61)-ROW(I31)+1,FALSE)</f>
        <v>NRS1_CNTR</v>
      </c>
      <c r="C31" s="7">
        <f>VLOOKUP(A31,SIAF!$B$3:$Q$59,15,FALSE)</f>
        <v>300.79956099999998</v>
      </c>
      <c r="D31" s="7">
        <f>VLOOKUP(A31,SIAF!$B$3:$Q$59,16,FALSE)</f>
        <v>-497.61541699999998</v>
      </c>
      <c r="E31" s="7">
        <f t="shared" si="8"/>
        <v>104.42299992282466</v>
      </c>
      <c r="F31" s="7">
        <f t="shared" si="8"/>
        <v>8.5696351880216657</v>
      </c>
      <c r="G31" s="7">
        <f t="shared" si="8"/>
        <v>217.28971367696315</v>
      </c>
      <c r="H31" s="25">
        <f t="shared" si="9"/>
        <v>8.5696351880216657</v>
      </c>
      <c r="I31" t="b">
        <f t="shared" si="10"/>
        <v>0</v>
      </c>
      <c r="J31" t="b">
        <f t="shared" si="11"/>
        <v>1</v>
      </c>
      <c r="K31" t="b">
        <f t="shared" si="12"/>
        <v>0</v>
      </c>
    </row>
    <row r="32" spans="1:11" x14ac:dyDescent="0.2">
      <c r="A32" t="str">
        <f>SIAF!B31</f>
        <v>NRS_IFU_SLICE18</v>
      </c>
      <c r="B32" t="str">
        <f>HLOOKUP(TRUE,$I32:$K$61,ROW($K$61)-ROW(I32)+1,FALSE)</f>
        <v>NRS1_CNTR</v>
      </c>
      <c r="C32" s="7">
        <f>VLOOKUP(A32,SIAF!$B$3:$Q$59,15,FALSE)</f>
        <v>299.41244499999999</v>
      </c>
      <c r="D32" s="7">
        <f>VLOOKUP(A32,SIAF!$B$3:$Q$59,16,FALSE)</f>
        <v>-498.856628</v>
      </c>
      <c r="E32" s="7">
        <f t="shared" si="8"/>
        <v>106.2843646855891</v>
      </c>
      <c r="F32" s="7">
        <f t="shared" si="8"/>
        <v>6.7133104681068989</v>
      </c>
      <c r="G32" s="7">
        <f t="shared" si="8"/>
        <v>219.15107445820277</v>
      </c>
      <c r="H32" s="25">
        <f t="shared" si="9"/>
        <v>6.7133104681068989</v>
      </c>
      <c r="I32" t="b">
        <f t="shared" si="10"/>
        <v>0</v>
      </c>
      <c r="J32" t="b">
        <f t="shared" si="11"/>
        <v>1</v>
      </c>
      <c r="K32" t="b">
        <f t="shared" si="12"/>
        <v>0</v>
      </c>
    </row>
    <row r="33" spans="1:11" x14ac:dyDescent="0.2">
      <c r="A33" t="str">
        <f>SIAF!B32</f>
        <v>NRS_IFU_SLICE19</v>
      </c>
      <c r="B33" t="str">
        <f>HLOOKUP(TRUE,$I33:$K$61,ROW($K$61)-ROW(I33)+1,FALSE)</f>
        <v>NRS1_CNTR</v>
      </c>
      <c r="C33" s="7">
        <f>VLOOKUP(A33,SIAF!$B$3:$Q$59,15,FALSE)</f>
        <v>300.87606799999998</v>
      </c>
      <c r="D33" s="7">
        <f>VLOOKUP(A33,SIAF!$B$3:$Q$59,16,FALSE)</f>
        <v>-497.54699699999998</v>
      </c>
      <c r="E33" s="7">
        <f t="shared" si="8"/>
        <v>104.32036183006107</v>
      </c>
      <c r="F33" s="7">
        <f t="shared" si="8"/>
        <v>8.672060113759553</v>
      </c>
      <c r="G33" s="7">
        <f t="shared" si="8"/>
        <v>217.18707577936064</v>
      </c>
      <c r="H33" s="25">
        <f t="shared" si="9"/>
        <v>8.672060113759553</v>
      </c>
      <c r="I33" t="b">
        <f t="shared" si="10"/>
        <v>0</v>
      </c>
      <c r="J33" t="b">
        <f t="shared" si="11"/>
        <v>1</v>
      </c>
      <c r="K33" t="b">
        <f t="shared" si="12"/>
        <v>0</v>
      </c>
    </row>
    <row r="34" spans="1:11" x14ac:dyDescent="0.2">
      <c r="A34" t="str">
        <f>SIAF!B33</f>
        <v>NRS_IFU_SLICE20</v>
      </c>
      <c r="B34" t="str">
        <f>HLOOKUP(TRUE,$I34:$K$61,ROW($K$61)-ROW(I34)+1,FALSE)</f>
        <v>NRS1_CNTR</v>
      </c>
      <c r="C34" s="7">
        <f>VLOOKUP(A34,SIAF!$B$3:$Q$59,15,FALSE)</f>
        <v>299.334991</v>
      </c>
      <c r="D34" s="7">
        <f>VLOOKUP(A34,SIAF!$B$3:$Q$59,16,FALSE)</f>
        <v>-498.92596400000002</v>
      </c>
      <c r="E34" s="7">
        <f t="shared" si="8"/>
        <v>106.38831920166341</v>
      </c>
      <c r="F34" s="7">
        <f t="shared" si="8"/>
        <v>6.6097228737474909</v>
      </c>
      <c r="G34" s="7">
        <f t="shared" si="8"/>
        <v>219.25502873360392</v>
      </c>
      <c r="H34" s="25">
        <f t="shared" si="9"/>
        <v>6.6097228737474909</v>
      </c>
      <c r="I34" t="b">
        <f t="shared" si="10"/>
        <v>0</v>
      </c>
      <c r="J34" t="b">
        <f t="shared" si="11"/>
        <v>1</v>
      </c>
      <c r="K34" t="b">
        <f t="shared" si="12"/>
        <v>0</v>
      </c>
    </row>
    <row r="35" spans="1:11" x14ac:dyDescent="0.2">
      <c r="A35" t="str">
        <f>SIAF!B34</f>
        <v>NRS_IFU_SLICE21</v>
      </c>
      <c r="B35" t="str">
        <f>HLOOKUP(TRUE,$I35:$K$61,ROW($K$61)-ROW(I35)+1,FALSE)</f>
        <v>NRS1_CNTR</v>
      </c>
      <c r="C35" s="7">
        <f>VLOOKUP(A35,SIAF!$B$3:$Q$59,15,FALSE)</f>
        <v>300.95245399999999</v>
      </c>
      <c r="D35" s="7">
        <f>VLOOKUP(A35,SIAF!$B$3:$Q$59,16,FALSE)</f>
        <v>-497.47863799999999</v>
      </c>
      <c r="E35" s="7">
        <f t="shared" si="8"/>
        <v>104.21785466284246</v>
      </c>
      <c r="F35" s="7">
        <f t="shared" si="8"/>
        <v>8.7743572029865859</v>
      </c>
      <c r="G35" s="7">
        <f t="shared" si="8"/>
        <v>217.0845688356099</v>
      </c>
      <c r="H35" s="25">
        <f t="shared" si="9"/>
        <v>8.7743572029865859</v>
      </c>
      <c r="I35" t="b">
        <f t="shared" si="10"/>
        <v>0</v>
      </c>
      <c r="J35" t="b">
        <f t="shared" si="11"/>
        <v>1</v>
      </c>
      <c r="K35" t="b">
        <f t="shared" si="12"/>
        <v>0</v>
      </c>
    </row>
    <row r="36" spans="1:11" x14ac:dyDescent="0.2">
      <c r="A36" t="str">
        <f>SIAF!B35</f>
        <v>NRS_IFU_SLICE22</v>
      </c>
      <c r="B36" t="str">
        <f>HLOOKUP(TRUE,$I36:$K$61,ROW($K$61)-ROW(I36)+1,FALSE)</f>
        <v>NRS1_CNTR</v>
      </c>
      <c r="C36" s="7">
        <f>VLOOKUP(A36,SIAF!$B$3:$Q$59,15,FALSE)</f>
        <v>299.25750699999998</v>
      </c>
      <c r="D36" s="7">
        <f>VLOOKUP(A36,SIAF!$B$3:$Q$59,16,FALSE)</f>
        <v>-498.99529999999999</v>
      </c>
      <c r="E36" s="7">
        <f t="shared" si="8"/>
        <v>106.49229611816925</v>
      </c>
      <c r="F36" s="7">
        <f t="shared" si="8"/>
        <v>6.5061230035838982</v>
      </c>
      <c r="G36" s="7">
        <f t="shared" si="8"/>
        <v>219.35900542587851</v>
      </c>
      <c r="H36" s="25">
        <f t="shared" si="9"/>
        <v>6.5061230035838982</v>
      </c>
      <c r="I36" t="b">
        <f t="shared" si="10"/>
        <v>0</v>
      </c>
      <c r="J36" t="b">
        <f t="shared" si="11"/>
        <v>1</v>
      </c>
      <c r="K36" t="b">
        <f t="shared" si="12"/>
        <v>0</v>
      </c>
    </row>
    <row r="37" spans="1:11" x14ac:dyDescent="0.2">
      <c r="A37" t="str">
        <f>SIAF!B36</f>
        <v>NRS_IFU_SLICE23</v>
      </c>
      <c r="B37" t="str">
        <f>HLOOKUP(TRUE,$I37:$K$61,ROW($K$61)-ROW(I37)+1,FALSE)</f>
        <v>NRS1_CNTR</v>
      </c>
      <c r="C37" s="7">
        <f>VLOOKUP(A37,SIAF!$B$3:$Q$59,15,FALSE)</f>
        <v>301.02877799999999</v>
      </c>
      <c r="D37" s="7">
        <f>VLOOKUP(A37,SIAF!$B$3:$Q$59,16,FALSE)</f>
        <v>-497.41037</v>
      </c>
      <c r="E37" s="7">
        <f t="shared" si="8"/>
        <v>104.1154543214034</v>
      </c>
      <c r="F37" s="7">
        <f t="shared" si="8"/>
        <v>8.8765541364889202</v>
      </c>
      <c r="G37" s="7">
        <f t="shared" si="8"/>
        <v>216.9821686958816</v>
      </c>
      <c r="H37" s="25">
        <f t="shared" si="9"/>
        <v>8.8765541364889202</v>
      </c>
      <c r="I37" t="b">
        <f t="shared" si="10"/>
        <v>0</v>
      </c>
      <c r="J37" t="b">
        <f t="shared" si="11"/>
        <v>1</v>
      </c>
      <c r="K37" t="b">
        <f t="shared" si="12"/>
        <v>0</v>
      </c>
    </row>
    <row r="38" spans="1:11" x14ac:dyDescent="0.2">
      <c r="A38" t="str">
        <f>SIAF!B37</f>
        <v>NRS_IFU_SLICE24</v>
      </c>
      <c r="B38" t="str">
        <f>HLOOKUP(TRUE,$I38:$K$61,ROW($K$61)-ROW(I38)+1,FALSE)</f>
        <v>NRS1_CNTR</v>
      </c>
      <c r="C38" s="7">
        <f>VLOOKUP(A38,SIAF!$B$3:$Q$59,15,FALSE)</f>
        <v>299.17999300000002</v>
      </c>
      <c r="D38" s="7">
        <f>VLOOKUP(A38,SIAF!$B$3:$Q$59,16,FALSE)</f>
        <v>-499.06466699999999</v>
      </c>
      <c r="E38" s="7">
        <f t="shared" si="8"/>
        <v>106.59631605634267</v>
      </c>
      <c r="F38" s="7">
        <f t="shared" si="8"/>
        <v>6.4024927714358055</v>
      </c>
      <c r="G38" s="7">
        <f t="shared" si="8"/>
        <v>219.46302513712462</v>
      </c>
      <c r="H38" s="25">
        <f t="shared" si="9"/>
        <v>6.4024927714358055</v>
      </c>
      <c r="I38" t="b">
        <f t="shared" si="10"/>
        <v>0</v>
      </c>
      <c r="J38" t="b">
        <f t="shared" si="11"/>
        <v>1</v>
      </c>
      <c r="K38" t="b">
        <f t="shared" si="12"/>
        <v>0</v>
      </c>
    </row>
    <row r="39" spans="1:11" x14ac:dyDescent="0.2">
      <c r="A39" t="str">
        <f>SIAF!B38</f>
        <v>NRS_IFU_SLICE25</v>
      </c>
      <c r="B39" t="str">
        <f>HLOOKUP(TRUE,$I39:$K$61,ROW($K$61)-ROW(I39)+1,FALSE)</f>
        <v>NRS1_CNTR</v>
      </c>
      <c r="C39" s="7">
        <f>VLOOKUP(A39,SIAF!$B$3:$Q$59,15,FALSE)</f>
        <v>301.10501099999999</v>
      </c>
      <c r="D39" s="7">
        <f>VLOOKUP(A39,SIAF!$B$3:$Q$59,16,FALSE)</f>
        <v>-497.34216300000003</v>
      </c>
      <c r="E39" s="7">
        <f t="shared" si="8"/>
        <v>104.01316250480791</v>
      </c>
      <c r="F39" s="7">
        <f t="shared" si="8"/>
        <v>8.9786464825553569</v>
      </c>
      <c r="G39" s="7">
        <f t="shared" si="8"/>
        <v>216.87987709307771</v>
      </c>
      <c r="H39" s="25">
        <f t="shared" si="9"/>
        <v>8.9786464825553569</v>
      </c>
      <c r="I39" t="b">
        <f t="shared" si="10"/>
        <v>0</v>
      </c>
      <c r="J39" t="b">
        <f t="shared" si="11"/>
        <v>1</v>
      </c>
      <c r="K39" t="b">
        <f t="shared" si="12"/>
        <v>0</v>
      </c>
    </row>
    <row r="40" spans="1:11" x14ac:dyDescent="0.2">
      <c r="A40" t="str">
        <f>SIAF!B39</f>
        <v>NRS_IFU_SLICE26</v>
      </c>
      <c r="B40" t="str">
        <f>HLOOKUP(TRUE,$I40:$K$61,ROW($K$61)-ROW(I40)+1,FALSE)</f>
        <v>NRS1_CNTR</v>
      </c>
      <c r="C40" s="7">
        <f>VLOOKUP(A40,SIAF!$B$3:$Q$59,15,FALSE)</f>
        <v>299.10247800000002</v>
      </c>
      <c r="D40" s="7">
        <f>VLOOKUP(A40,SIAF!$B$3:$Q$59,16,FALSE)</f>
        <v>-499.13403299999999</v>
      </c>
      <c r="E40" s="7">
        <f t="shared" si="8"/>
        <v>106.70033607646805</v>
      </c>
      <c r="F40" s="7">
        <f t="shared" si="8"/>
        <v>6.2988751917310797</v>
      </c>
      <c r="G40" s="7">
        <f t="shared" si="8"/>
        <v>219.56704493145128</v>
      </c>
      <c r="H40" s="25">
        <f t="shared" si="9"/>
        <v>6.2988751917310797</v>
      </c>
      <c r="I40" t="b">
        <f t="shared" si="10"/>
        <v>0</v>
      </c>
      <c r="J40" t="b">
        <f t="shared" si="11"/>
        <v>1</v>
      </c>
      <c r="K40" t="b">
        <f t="shared" si="12"/>
        <v>0</v>
      </c>
    </row>
    <row r="41" spans="1:11" x14ac:dyDescent="0.2">
      <c r="A41" t="str">
        <f>SIAF!B40</f>
        <v>NRS_IFU_SLICE27</v>
      </c>
      <c r="B41" t="str">
        <f>HLOOKUP(TRUE,$I41:$K$61,ROW($K$61)-ROW(I41)+1,FALSE)</f>
        <v>NRS1_CNTR</v>
      </c>
      <c r="C41" s="7">
        <f>VLOOKUP(A41,SIAF!$B$3:$Q$59,15,FALSE)</f>
        <v>301.18112200000002</v>
      </c>
      <c r="D41" s="7">
        <f>VLOOKUP(A41,SIAF!$B$3:$Q$59,16,FALSE)</f>
        <v>-497.27404799999999</v>
      </c>
      <c r="E41" s="7">
        <f t="shared" si="8"/>
        <v>103.91102298085202</v>
      </c>
      <c r="F41" s="7">
        <f t="shared" si="8"/>
        <v>9.0805905611958284</v>
      </c>
      <c r="G41" s="7">
        <f t="shared" si="8"/>
        <v>216.77773779289996</v>
      </c>
      <c r="H41" s="25">
        <f t="shared" si="9"/>
        <v>9.0805905611958284</v>
      </c>
      <c r="I41" t="b">
        <f t="shared" si="10"/>
        <v>0</v>
      </c>
      <c r="J41" t="b">
        <f t="shared" si="11"/>
        <v>1</v>
      </c>
      <c r="K41" t="b">
        <f t="shared" si="12"/>
        <v>0</v>
      </c>
    </row>
    <row r="42" spans="1:11" x14ac:dyDescent="0.2">
      <c r="A42" t="str">
        <f>SIAF!B41</f>
        <v>NRS_IFU_SLICE28</v>
      </c>
      <c r="B42" t="str">
        <f>HLOOKUP(TRUE,$I42:$K$61,ROW($K$61)-ROW(I42)+1,FALSE)</f>
        <v>NRS1_CNTR</v>
      </c>
      <c r="C42" s="7">
        <f>VLOOKUP(A42,SIAF!$B$3:$Q$59,15,FALSE)</f>
        <v>299.02496300000001</v>
      </c>
      <c r="D42" s="7">
        <f>VLOOKUP(A42,SIAF!$B$3:$Q$59,16,FALSE)</f>
        <v>-499.20339999999999</v>
      </c>
      <c r="E42" s="7">
        <f t="shared" si="8"/>
        <v>106.80435676229449</v>
      </c>
      <c r="F42" s="7">
        <f t="shared" si="8"/>
        <v>6.1952705115322919</v>
      </c>
      <c r="G42" s="7">
        <f t="shared" si="8"/>
        <v>219.67106539082002</v>
      </c>
      <c r="H42" s="25">
        <f t="shared" si="9"/>
        <v>6.1952705115322919</v>
      </c>
      <c r="I42" t="b">
        <f t="shared" si="10"/>
        <v>0</v>
      </c>
      <c r="J42" t="b">
        <f t="shared" si="11"/>
        <v>1</v>
      </c>
      <c r="K42" t="b">
        <f t="shared" si="12"/>
        <v>0</v>
      </c>
    </row>
    <row r="43" spans="1:11" x14ac:dyDescent="0.2">
      <c r="A43" t="str">
        <f>SIAF!B42</f>
        <v>NRS_IFU_SLICE29</v>
      </c>
      <c r="B43" t="str">
        <f>HLOOKUP(TRUE,$I43:$K$61,ROW($K$61)-ROW(I43)+1,FALSE)</f>
        <v>NRS1_CNTR</v>
      </c>
      <c r="C43" s="7">
        <f>VLOOKUP(A43,SIAF!$B$3:$Q$59,15,FALSE)</f>
        <v>301.25717200000003</v>
      </c>
      <c r="D43" s="7">
        <f>VLOOKUP(A43,SIAF!$B$3:$Q$59,16,FALSE)</f>
        <v>-497.20602400000001</v>
      </c>
      <c r="E43" s="7">
        <f t="shared" si="8"/>
        <v>103.80898953581352</v>
      </c>
      <c r="F43" s="7">
        <f t="shared" si="8"/>
        <v>9.182434695944055</v>
      </c>
      <c r="G43" s="7">
        <f t="shared" si="8"/>
        <v>216.67570454939812</v>
      </c>
      <c r="H43" s="25">
        <f t="shared" si="9"/>
        <v>9.182434695944055</v>
      </c>
      <c r="I43" t="b">
        <f t="shared" si="10"/>
        <v>0</v>
      </c>
      <c r="J43" t="b">
        <f t="shared" si="11"/>
        <v>1</v>
      </c>
      <c r="K43" t="b">
        <f t="shared" si="12"/>
        <v>0</v>
      </c>
    </row>
    <row r="44" spans="1:11" x14ac:dyDescent="0.2">
      <c r="A44" t="str">
        <f>SIAF!B43</f>
        <v>NRS_FULL_MSA</v>
      </c>
      <c r="B44" t="str">
        <f>HLOOKUP(TRUE,$I44:$K$61,ROW($K$61)-ROW(I44)+1,FALSE)</f>
        <v>NRS_CNTR</v>
      </c>
      <c r="C44" s="7">
        <f>VLOOKUP(A44,SIAF!$B$3:$Q$59,15,FALSE)</f>
        <v>378.77123999999998</v>
      </c>
      <c r="D44" s="7">
        <f>VLOOKUP(A44,SIAF!$B$3:$Q$59,16,FALSE)</f>
        <v>-428.15621900000002</v>
      </c>
      <c r="E44" s="7">
        <f t="shared" si="1"/>
        <v>0</v>
      </c>
      <c r="F44" s="7">
        <f t="shared" si="1"/>
        <v>112.9769512496501</v>
      </c>
      <c r="G44" s="7">
        <f t="shared" si="1"/>
        <v>112.86678020782091</v>
      </c>
      <c r="H44" s="25">
        <f t="shared" si="2"/>
        <v>0</v>
      </c>
      <c r="I44" t="b">
        <f t="shared" si="3"/>
        <v>1</v>
      </c>
      <c r="J44" t="b">
        <f t="shared" si="4"/>
        <v>0</v>
      </c>
      <c r="K44" t="b">
        <f t="shared" si="5"/>
        <v>0</v>
      </c>
    </row>
    <row r="45" spans="1:11" x14ac:dyDescent="0.2">
      <c r="A45" t="str">
        <f>SIAF!B44</f>
        <v>NRS_FULL_MSA1</v>
      </c>
      <c r="B45" t="str">
        <f>HLOOKUP(TRUE,$I45:$K$61,ROW($K$61)-ROW(I45)+1,FALSE)</f>
        <v>NRS2_CNTR</v>
      </c>
      <c r="C45" s="7">
        <f>VLOOKUP(A45,SIAF!$B$3:$Q$59,15,FALSE)</f>
        <v>466.48266599999999</v>
      </c>
      <c r="D45" s="7">
        <f>VLOOKUP(A45,SIAF!$B$3:$Q$59,16,FALSE)</f>
        <v>-436.16449</v>
      </c>
      <c r="E45" s="7">
        <f t="shared" si="1"/>
        <v>88.076254775977617</v>
      </c>
      <c r="F45" s="7">
        <f t="shared" si="1"/>
        <v>184.89253071029981</v>
      </c>
      <c r="G45" s="7">
        <f t="shared" si="1"/>
        <v>83.018325230349035</v>
      </c>
      <c r="H45" s="25">
        <f t="shared" si="2"/>
        <v>83.018325230349035</v>
      </c>
      <c r="I45" t="b">
        <f t="shared" si="3"/>
        <v>0</v>
      </c>
      <c r="J45" t="b">
        <f t="shared" si="4"/>
        <v>0</v>
      </c>
      <c r="K45" t="b">
        <f t="shared" si="5"/>
        <v>1</v>
      </c>
    </row>
    <row r="46" spans="1:11" x14ac:dyDescent="0.2">
      <c r="A46" t="str">
        <f>SIAF!B45</f>
        <v>NRS_FULL_MSA2</v>
      </c>
      <c r="B46" t="str">
        <f>HLOOKUP(TRUE,$I46:$K$61,ROW($K$61)-ROW(I46)+1,FALSE)</f>
        <v>NRS2_CNTR</v>
      </c>
      <c r="C46" s="7">
        <f>VLOOKUP(A46,SIAF!$B$3:$Q$59,15,FALSE)</f>
        <v>381.88983200000001</v>
      </c>
      <c r="D46" s="7">
        <f>VLOOKUP(A46,SIAF!$B$3:$Q$59,16,FALSE)</f>
        <v>-340.88668799999999</v>
      </c>
      <c r="E46" s="7">
        <f t="shared" si="1"/>
        <v>87.325234938260706</v>
      </c>
      <c r="F46" s="7">
        <f t="shared" si="1"/>
        <v>184.29303595322165</v>
      </c>
      <c r="G46" s="7">
        <f t="shared" si="1"/>
        <v>82.204713839527003</v>
      </c>
      <c r="H46" s="25">
        <f t="shared" si="2"/>
        <v>82.204713839527003</v>
      </c>
      <c r="I46" t="b">
        <f t="shared" si="3"/>
        <v>0</v>
      </c>
      <c r="J46" t="b">
        <f t="shared" si="4"/>
        <v>0</v>
      </c>
      <c r="K46" t="b">
        <f t="shared" si="5"/>
        <v>1</v>
      </c>
    </row>
    <row r="47" spans="1:11" x14ac:dyDescent="0.2">
      <c r="A47" t="str">
        <f>SIAF!B46</f>
        <v>NRS_FULL_MSA3</v>
      </c>
      <c r="B47" t="str">
        <f>HLOOKUP(TRUE,$I47:$K$61,ROW($K$61)-ROW(I47)+1,FALSE)</f>
        <v>NRS1_CNTR</v>
      </c>
      <c r="C47" s="7">
        <f>VLOOKUP(A47,SIAF!$B$3:$Q$59,15,FALSE)</f>
        <v>375.82324199999999</v>
      </c>
      <c r="D47" s="7">
        <f>VLOOKUP(A47,SIAF!$B$3:$Q$59,16,FALSE)</f>
        <v>-516.36651600000005</v>
      </c>
      <c r="E47" s="7">
        <f t="shared" si="1"/>
        <v>88.259544464246005</v>
      </c>
      <c r="F47" s="7">
        <f t="shared" si="1"/>
        <v>82.869605944186119</v>
      </c>
      <c r="G47" s="7">
        <f t="shared" si="1"/>
        <v>185.06178388777468</v>
      </c>
      <c r="H47" s="25">
        <f t="shared" si="2"/>
        <v>82.869605944186119</v>
      </c>
      <c r="I47" t="b">
        <f t="shared" si="3"/>
        <v>0</v>
      </c>
      <c r="J47" t="b">
        <f t="shared" si="4"/>
        <v>1</v>
      </c>
      <c r="K47" t="b">
        <f t="shared" si="5"/>
        <v>0</v>
      </c>
    </row>
    <row r="48" spans="1:11" x14ac:dyDescent="0.2">
      <c r="A48" t="str">
        <f>SIAF!B47</f>
        <v>NRS_FULL_MSA4</v>
      </c>
      <c r="B48" t="str">
        <f>HLOOKUP(TRUE,$I48:$K$61,ROW($K$61)-ROW(I48)+1,FALSE)</f>
        <v>NRS1_CNTR</v>
      </c>
      <c r="C48" s="7">
        <f>VLOOKUP(A48,SIAF!$B$3:$Q$59,15,FALSE)</f>
        <v>291.77462800000001</v>
      </c>
      <c r="D48" s="7">
        <f>VLOOKUP(A48,SIAF!$B$3:$Q$59,16,FALSE)</f>
        <v>-420.64465300000001</v>
      </c>
      <c r="E48" s="7">
        <f t="shared" si="1"/>
        <v>87.320296170196855</v>
      </c>
      <c r="F48" s="7">
        <f t="shared" si="1"/>
        <v>82.288855574764483</v>
      </c>
      <c r="G48" s="7">
        <f t="shared" si="1"/>
        <v>184.17881653703847</v>
      </c>
      <c r="H48" s="25">
        <f t="shared" si="2"/>
        <v>82.288855574764483</v>
      </c>
      <c r="I48" t="b">
        <f t="shared" si="3"/>
        <v>0</v>
      </c>
      <c r="J48" t="b">
        <f t="shared" si="4"/>
        <v>1</v>
      </c>
      <c r="K48" t="b">
        <f t="shared" si="5"/>
        <v>0</v>
      </c>
    </row>
    <row r="49" spans="1:11" x14ac:dyDescent="0.2">
      <c r="A49" t="str">
        <f>SIAF!B48</f>
        <v>NRS_VIGNETTED_MSA</v>
      </c>
      <c r="B49" t="str">
        <f>HLOOKUP(TRUE,$I49:$K$61,ROW($K$61)-ROW(I49)+1,FALSE)</f>
        <v>NRS_CNTR</v>
      </c>
      <c r="C49" s="7">
        <f>VLOOKUP(A49,SIAF!$B$3:$Q$59,15,FALSE)</f>
        <v>378.56683299999997</v>
      </c>
      <c r="D49" s="7">
        <f>VLOOKUP(A49,SIAF!$B$3:$Q$59,16,FALSE)</f>
        <v>-428.334045</v>
      </c>
      <c r="E49" s="7">
        <f t="shared" si="1"/>
        <v>0.27093229398688318</v>
      </c>
      <c r="F49" s="7">
        <f t="shared" si="1"/>
        <v>112.70602557824962</v>
      </c>
      <c r="G49" s="7">
        <f t="shared" si="1"/>
        <v>113.13769847081927</v>
      </c>
      <c r="H49" s="25">
        <f t="shared" ref="H49:H53" si="13">MIN(E49:G49)</f>
        <v>0.27093229398688318</v>
      </c>
      <c r="I49" t="b">
        <f t="shared" ref="I49:I53" si="14">E49=$H49</f>
        <v>1</v>
      </c>
      <c r="J49" t="b">
        <f t="shared" ref="J49:J53" si="15">F49=$H49</f>
        <v>0</v>
      </c>
      <c r="K49" t="b">
        <f t="shared" ref="K49:K53" si="16">G49=$H49</f>
        <v>0</v>
      </c>
    </row>
    <row r="50" spans="1:11" x14ac:dyDescent="0.2">
      <c r="A50" t="str">
        <f>SIAF!B49</f>
        <v>NRS_VIGNETTED_MSA1</v>
      </c>
      <c r="B50" t="str">
        <f>HLOOKUP(TRUE,$I50:$K$61,ROW($K$61)-ROW(I50)+1,FALSE)</f>
        <v>NRS2_CNTR</v>
      </c>
      <c r="C50" s="7">
        <f>VLOOKUP(A50,SIAF!$B$3:$Q$59,15,FALSE)</f>
        <v>463.52795400000002</v>
      </c>
      <c r="D50" s="7">
        <f>VLOOKUP(A50,SIAF!$B$3:$Q$59,16,FALSE)</f>
        <v>-434.49075299999998</v>
      </c>
      <c r="E50" s="7">
        <f t="shared" si="1"/>
        <v>84.993099067365222</v>
      </c>
      <c r="F50" s="7">
        <f t="shared" si="1"/>
        <v>182.76003972238021</v>
      </c>
      <c r="G50" s="7">
        <f t="shared" si="1"/>
        <v>81.27908819522753</v>
      </c>
      <c r="H50" s="25">
        <f t="shared" si="13"/>
        <v>81.27908819522753</v>
      </c>
      <c r="I50" t="b">
        <f t="shared" si="14"/>
        <v>0</v>
      </c>
      <c r="J50" t="b">
        <f t="shared" si="15"/>
        <v>0</v>
      </c>
      <c r="K50" t="b">
        <f t="shared" si="16"/>
        <v>1</v>
      </c>
    </row>
    <row r="51" spans="1:11" x14ac:dyDescent="0.2">
      <c r="A51" t="str">
        <f>SIAF!B50</f>
        <v>NRS_VIGNETTED_MSA2</v>
      </c>
      <c r="B51" t="str">
        <f>HLOOKUP(TRUE,$I51:$K$61,ROW($K$61)-ROW(I51)+1,FALSE)</f>
        <v>NRS2_CNTR</v>
      </c>
      <c r="C51" s="7">
        <f>VLOOKUP(A51,SIAF!$B$3:$Q$59,15,FALSE)</f>
        <v>383.17626999999999</v>
      </c>
      <c r="D51" s="7">
        <f>VLOOKUP(A51,SIAF!$B$3:$Q$59,16,FALSE)</f>
        <v>-343.93856799999998</v>
      </c>
      <c r="E51" s="7">
        <f t="shared" si="1"/>
        <v>84.332775533944741</v>
      </c>
      <c r="F51" s="7">
        <f t="shared" si="1"/>
        <v>182.24153908953519</v>
      </c>
      <c r="G51" s="7">
        <f t="shared" si="1"/>
        <v>80.524770820110987</v>
      </c>
      <c r="H51" s="25">
        <f t="shared" si="13"/>
        <v>80.524770820110987</v>
      </c>
      <c r="I51" t="b">
        <f t="shared" si="14"/>
        <v>0</v>
      </c>
      <c r="J51" t="b">
        <f t="shared" si="15"/>
        <v>0</v>
      </c>
      <c r="K51" t="b">
        <f t="shared" si="16"/>
        <v>1</v>
      </c>
    </row>
    <row r="52" spans="1:11" x14ac:dyDescent="0.2">
      <c r="A52" t="str">
        <f>SIAF!B51</f>
        <v>NRS_VIGNETTED_MSA3</v>
      </c>
      <c r="B52" t="str">
        <f>HLOOKUP(TRUE,$I52:$K$61,ROW($K$61)-ROW(I52)+1,FALSE)</f>
        <v>NRS1_CNTR</v>
      </c>
      <c r="C52" s="7">
        <f>VLOOKUP(A52,SIAF!$B$3:$Q$59,15,FALSE)</f>
        <v>374.610657</v>
      </c>
      <c r="D52" s="7">
        <f>VLOOKUP(A52,SIAF!$B$3:$Q$59,16,FALSE)</f>
        <v>-513.14965800000004</v>
      </c>
      <c r="E52" s="7">
        <f t="shared" si="1"/>
        <v>85.095212109416664</v>
      </c>
      <c r="F52" s="7">
        <f t="shared" si="1"/>
        <v>81.2050512085994</v>
      </c>
      <c r="G52" s="7">
        <f t="shared" si="1"/>
        <v>182.81634168761565</v>
      </c>
      <c r="H52" s="25">
        <f t="shared" si="13"/>
        <v>81.2050512085994</v>
      </c>
      <c r="I52" t="b">
        <f t="shared" si="14"/>
        <v>0</v>
      </c>
      <c r="J52" t="b">
        <f t="shared" si="15"/>
        <v>1</v>
      </c>
      <c r="K52" t="b">
        <f t="shared" si="16"/>
        <v>0</v>
      </c>
    </row>
    <row r="53" spans="1:11" x14ac:dyDescent="0.2">
      <c r="A53" t="str">
        <f>SIAF!B52</f>
        <v>NRS_VIGNETTED_MSA4</v>
      </c>
      <c r="B53" t="str">
        <f>HLOOKUP(TRUE,$I53:$K$61,ROW($K$61)-ROW(I53)+1,FALSE)</f>
        <v>NRS1_CNTR</v>
      </c>
      <c r="C53" s="7">
        <f>VLOOKUP(A53,SIAF!$B$3:$Q$59,15,FALSE)</f>
        <v>294.618652</v>
      </c>
      <c r="D53" s="7">
        <f>VLOOKUP(A53,SIAF!$B$3:$Q$59,16,FALSE)</f>
        <v>-422.668182</v>
      </c>
      <c r="E53" s="7">
        <f t="shared" si="1"/>
        <v>84.331350144599909</v>
      </c>
      <c r="F53" s="7">
        <f t="shared" si="1"/>
        <v>80.235710245369404</v>
      </c>
      <c r="G53" s="7">
        <f t="shared" si="1"/>
        <v>182.29658138070565</v>
      </c>
      <c r="H53" s="25">
        <f t="shared" si="13"/>
        <v>80.235710245369404</v>
      </c>
      <c r="I53" t="b">
        <f t="shared" si="14"/>
        <v>0</v>
      </c>
      <c r="J53" t="b">
        <f t="shared" si="15"/>
        <v>1</v>
      </c>
      <c r="K53" t="b">
        <f t="shared" si="16"/>
        <v>0</v>
      </c>
    </row>
    <row r="54" spans="1:11" x14ac:dyDescent="0.2">
      <c r="A54" t="str">
        <f>SIAF!B53</f>
        <v>NRS_FIELD1_MSA4</v>
      </c>
      <c r="B54" t="str">
        <f>HLOOKUP(TRUE,$I54:$K$61,ROW($K$61)-ROW(I54)+1,FALSE)</f>
        <v>NRS1_CNTR</v>
      </c>
      <c r="C54" s="7">
        <f>VLOOKUP(A54,SIAF!$B$3:$Q$59,15,FALSE)</f>
        <v>299.52664199999998</v>
      </c>
      <c r="D54" s="7">
        <f>VLOOKUP(A54,SIAF!$B$3:$Q$59,16,FALSE)</f>
        <v>-456.59893799999998</v>
      </c>
      <c r="E54" s="7">
        <f t="shared" si="1"/>
        <v>84.194385657801206</v>
      </c>
      <c r="F54" s="7">
        <f t="shared" si="1"/>
        <v>46.625167359401878</v>
      </c>
      <c r="G54" s="7">
        <f t="shared" si="1"/>
        <v>193.56225790037368</v>
      </c>
      <c r="H54" s="25">
        <f t="shared" ref="H54:H55" si="17">MIN(E54:G54)</f>
        <v>46.625167359401878</v>
      </c>
      <c r="I54" t="b">
        <f t="shared" ref="I54:I55" si="18">E54=$H54</f>
        <v>0</v>
      </c>
      <c r="J54" t="b">
        <f t="shared" ref="J54:J55" si="19">F54=$H54</f>
        <v>1</v>
      </c>
      <c r="K54" t="b">
        <f t="shared" ref="K54:K55" si="20">G54=$H54</f>
        <v>0</v>
      </c>
    </row>
    <row r="55" spans="1:11" x14ac:dyDescent="0.2">
      <c r="A55" t="str">
        <f>SIAF!B54</f>
        <v>NRS_FIELD2_MSA4</v>
      </c>
      <c r="B55" t="str">
        <f>HLOOKUP(TRUE,$I55:$K$61,ROW($K$61)-ROW(I55)+1,FALSE)</f>
        <v>NRS_CNTR</v>
      </c>
      <c r="C55" s="7">
        <f>VLOOKUP(A55,SIAF!$B$3:$Q$59,15,FALSE)</f>
        <v>299.25775099999998</v>
      </c>
      <c r="D55" s="7">
        <f>VLOOKUP(A55,SIAF!$B$3:$Q$59,16,FALSE)</f>
        <v>-423.09698500000002</v>
      </c>
      <c r="E55" s="7">
        <f t="shared" si="1"/>
        <v>79.674279297775115</v>
      </c>
      <c r="F55" s="7">
        <f t="shared" si="1"/>
        <v>79.974350849709651</v>
      </c>
      <c r="G55" s="7">
        <f t="shared" si="1"/>
        <v>178.18391011348754</v>
      </c>
      <c r="H55" s="25">
        <f t="shared" si="17"/>
        <v>79.674279297775115</v>
      </c>
      <c r="I55" t="b">
        <f t="shared" si="18"/>
        <v>1</v>
      </c>
      <c r="J55" t="b">
        <f t="shared" si="19"/>
        <v>0</v>
      </c>
      <c r="K55" t="b">
        <f t="shared" si="20"/>
        <v>0</v>
      </c>
    </row>
    <row r="56" spans="1:11" x14ac:dyDescent="0.2">
      <c r="A56" t="str">
        <f>SIAF!B55</f>
        <v>NRS1_FP1MIMF</v>
      </c>
      <c r="B56" t="str">
        <f>HLOOKUP(TRUE,$I56:$K$61,ROW($K$61)-ROW(I56)+1,FALSE)</f>
        <v>NRS1_CNTR</v>
      </c>
      <c r="C56" s="7">
        <f>VLOOKUP(A56,SIAF!$B$3:$Q$59,15,FALSE)</f>
        <v>321.53195199999999</v>
      </c>
      <c r="D56" s="7">
        <f>VLOOKUP(A56,SIAF!$B$3:$Q$59,16,FALSE)</f>
        <v>-473.67919899999998</v>
      </c>
      <c r="E56" s="7">
        <f t="shared" si="1"/>
        <v>73.134655251989386</v>
      </c>
      <c r="F56" s="7">
        <f t="shared" si="1"/>
        <v>40.111844601392235</v>
      </c>
      <c r="G56" s="7">
        <f t="shared" si="1"/>
        <v>185.93605518990447</v>
      </c>
      <c r="H56" s="25">
        <f t="shared" si="2"/>
        <v>40.111844601392235</v>
      </c>
      <c r="I56" t="b">
        <f t="shared" si="3"/>
        <v>0</v>
      </c>
      <c r="J56" t="b">
        <f t="shared" si="4"/>
        <v>1</v>
      </c>
      <c r="K56" t="b">
        <f t="shared" si="5"/>
        <v>0</v>
      </c>
    </row>
    <row r="57" spans="1:11" x14ac:dyDescent="0.2">
      <c r="A57" t="str">
        <f>SIAF!B56</f>
        <v>NRS1_FP2MIMF</v>
      </c>
      <c r="B57" t="str">
        <f>HLOOKUP(TRUE,$I57:$K$61,ROW($K$61)-ROW(I57)+1,FALSE)</f>
        <v>NRS1_CNTR</v>
      </c>
      <c r="C57" s="7">
        <f>VLOOKUP(A57,SIAF!$B$3:$Q$59,15,FALSE)</f>
        <v>245.1088140194498</v>
      </c>
      <c r="D57" s="7">
        <f>VLOOKUP(A57,SIAF!$B$3:$Q$59,16,FALSE)</f>
        <v>-429.2698126308087</v>
      </c>
      <c r="E57" s="7">
        <f t="shared" si="1"/>
        <v>133.66706479077271</v>
      </c>
      <c r="F57" s="7">
        <f t="shared" si="1"/>
        <v>88.416043376174613</v>
      </c>
      <c r="G57" s="7">
        <f t="shared" si="1"/>
        <v>230.94007523493897</v>
      </c>
      <c r="H57" s="25">
        <f t="shared" si="2"/>
        <v>88.416043376174613</v>
      </c>
      <c r="I57" t="b">
        <f t="shared" si="3"/>
        <v>0</v>
      </c>
      <c r="J57" t="b">
        <f t="shared" si="4"/>
        <v>1</v>
      </c>
      <c r="K57" t="b">
        <f t="shared" si="5"/>
        <v>0</v>
      </c>
    </row>
    <row r="58" spans="1:11" x14ac:dyDescent="0.2">
      <c r="A58" t="str">
        <f>SIAF!B57</f>
        <v>NRS1_FP3MIMF</v>
      </c>
      <c r="B58" t="str">
        <f>HLOOKUP(TRUE,$I58:$K$61,ROW($K$61)-ROW(I58)+1,FALSE)</f>
        <v>NRS1_CNTR</v>
      </c>
      <c r="C58" s="7">
        <f>VLOOKUP(A58,SIAF!$B$3:$Q$59,15,FALSE)</f>
        <v>375.2880413449156</v>
      </c>
      <c r="D58" s="7">
        <f>VLOOKUP(A58,SIAF!$B$3:$Q$59,16,FALSE)</f>
        <v>-564.9770321418448</v>
      </c>
      <c r="E58" s="7">
        <f t="shared" si="1"/>
        <v>136.86514377907324</v>
      </c>
      <c r="F58" s="7">
        <f t="shared" si="1"/>
        <v>102.23579638967756</v>
      </c>
      <c r="G58" s="7">
        <f t="shared" si="1"/>
        <v>229.27413268385052</v>
      </c>
      <c r="H58" s="25">
        <f t="shared" si="2"/>
        <v>102.23579638967756</v>
      </c>
      <c r="I58" t="b">
        <f t="shared" si="3"/>
        <v>0</v>
      </c>
      <c r="J58" t="b">
        <f t="shared" si="4"/>
        <v>1</v>
      </c>
      <c r="K58" t="b">
        <f t="shared" si="5"/>
        <v>0</v>
      </c>
    </row>
    <row r="59" spans="1:11" x14ac:dyDescent="0.2">
      <c r="A59" t="str">
        <f>SIAF!B58</f>
        <v>NRS2_FP4MIMF</v>
      </c>
      <c r="B59" t="str">
        <f>HLOOKUP(TRUE,$I59:$K$61,ROW($K$61)-ROW(I59)+1,FALSE)</f>
        <v>NRS2_CNTR</v>
      </c>
      <c r="C59" s="7">
        <f>VLOOKUP(A59,SIAF!$B$3:$Q$59,15,FALSE)</f>
        <v>499.61920192091122</v>
      </c>
      <c r="D59" s="7">
        <f>VLOOKUP(A59,SIAF!$B$3:$Q$59,16,FALSE)</f>
        <v>-432.47455937211481</v>
      </c>
      <c r="E59" s="7">
        <f t="shared" si="1"/>
        <v>120.92509236716526</v>
      </c>
      <c r="F59" s="7">
        <f t="shared" si="1"/>
        <v>217.29410926262466</v>
      </c>
      <c r="G59" s="7">
        <f t="shared" si="1"/>
        <v>87.243168061429245</v>
      </c>
      <c r="H59" s="25">
        <f t="shared" si="2"/>
        <v>87.243168061429245</v>
      </c>
      <c r="I59" t="b">
        <f t="shared" si="3"/>
        <v>0</v>
      </c>
      <c r="J59" t="b">
        <f t="shared" si="4"/>
        <v>0</v>
      </c>
      <c r="K59" t="b">
        <f t="shared" si="5"/>
        <v>1</v>
      </c>
    </row>
    <row r="60" spans="1:11" x14ac:dyDescent="0.2">
      <c r="A60" t="str">
        <f>SIAF!B59</f>
        <v>NRS2_FP5MIMF</v>
      </c>
      <c r="B60" t="str">
        <f>HLOOKUP(TRUE,$I60:$K$61,ROW($K$61)-ROW(I60)+1,FALSE)</f>
        <v>NRS2_CNTR</v>
      </c>
      <c r="C60" s="7">
        <f>VLOOKUP(A60,SIAF!$B$3:$Q$59,15,FALSE)</f>
        <v>388.63719643792058</v>
      </c>
      <c r="D60" s="7">
        <f>VLOOKUP(A60,SIAF!$B$3:$Q$59,16,FALSE)</f>
        <v>-305.3106461890805</v>
      </c>
      <c r="E60" s="7">
        <f t="shared" si="1"/>
        <v>123.24111268435496</v>
      </c>
      <c r="F60" s="7">
        <f t="shared" si="1"/>
        <v>219.06194386336102</v>
      </c>
      <c r="G60" s="7">
        <f t="shared" si="1"/>
        <v>88.594653297690272</v>
      </c>
      <c r="H60" s="25">
        <f t="shared" si="2"/>
        <v>88.594653297690272</v>
      </c>
      <c r="I60" t="b">
        <f t="shared" si="3"/>
        <v>0</v>
      </c>
      <c r="J60" t="b">
        <f t="shared" si="4"/>
        <v>0</v>
      </c>
      <c r="K60" t="b">
        <f t="shared" si="5"/>
        <v>1</v>
      </c>
    </row>
    <row r="61" spans="1:11" x14ac:dyDescent="0.2">
      <c r="E61" s="33" t="s">
        <v>236</v>
      </c>
      <c r="F61" s="33" t="s">
        <v>237</v>
      </c>
      <c r="G61" s="33" t="s">
        <v>238</v>
      </c>
      <c r="I61" s="33" t="s">
        <v>236</v>
      </c>
      <c r="J61" s="33" t="s">
        <v>237</v>
      </c>
      <c r="K61" s="33" t="s">
        <v>238</v>
      </c>
    </row>
  </sheetData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1" enableFormatConditionsCalculation="0"/>
  <dimension ref="A1:AD12"/>
  <sheetViews>
    <sheetView workbookViewId="0">
      <selection sqref="A1:C2"/>
    </sheetView>
  </sheetViews>
  <sheetFormatPr baseColWidth="10" defaultColWidth="8.83203125" defaultRowHeight="16" x14ac:dyDescent="0.2"/>
  <cols>
    <col min="1" max="1" width="24.1640625" customWidth="1"/>
    <col min="2" max="3" width="21.33203125" customWidth="1"/>
    <col min="4" max="4" width="31.6640625" customWidth="1"/>
    <col min="5" max="9" width="10.1640625" customWidth="1"/>
    <col min="10" max="15" width="11.1640625" customWidth="1"/>
    <col min="16" max="16" width="12.83203125" customWidth="1"/>
    <col min="17" max="17" width="11.1640625" customWidth="1"/>
    <col min="18" max="18" width="13.83203125" customWidth="1"/>
    <col min="19" max="19" width="13" customWidth="1"/>
    <col min="20" max="20" width="13.1640625" customWidth="1"/>
    <col min="21" max="21" width="13" customWidth="1"/>
    <col min="22" max="29" width="11.1640625" customWidth="1"/>
    <col min="30" max="30" width="14.1640625" style="18" customWidth="1"/>
    <col min="31" max="31" width="31.1640625" customWidth="1"/>
    <col min="32" max="36" width="11.1640625" customWidth="1"/>
    <col min="37" max="37" width="11.33203125" customWidth="1"/>
    <col min="38" max="99" width="11.1640625" customWidth="1"/>
    <col min="100" max="117" width="12.1640625" customWidth="1"/>
  </cols>
  <sheetData>
    <row r="1" spans="1:30" x14ac:dyDescent="0.2">
      <c r="A1" s="122"/>
      <c r="B1" s="123"/>
      <c r="C1" s="123"/>
      <c r="AD1"/>
    </row>
    <row r="2" spans="1:30" x14ac:dyDescent="0.2">
      <c r="A2" s="122"/>
      <c r="B2" s="123"/>
      <c r="C2" s="123"/>
      <c r="H2" s="12"/>
      <c r="I2" s="12"/>
      <c r="AD2"/>
    </row>
    <row r="3" spans="1:30" ht="26.25" customHeight="1" x14ac:dyDescent="0.2">
      <c r="A3" s="13"/>
      <c r="B3" s="13"/>
      <c r="H3" s="12"/>
      <c r="I3" s="12"/>
      <c r="AD3"/>
    </row>
    <row r="4" spans="1:30" ht="16.5" customHeight="1" x14ac:dyDescent="0.2">
      <c r="A4" s="14" t="s">
        <v>87</v>
      </c>
      <c r="B4" s="13"/>
      <c r="G4" s="12"/>
      <c r="H4" s="12"/>
      <c r="AD4"/>
    </row>
    <row r="5" spans="1:30" x14ac:dyDescent="0.2">
      <c r="A5" s="13" t="s">
        <v>88</v>
      </c>
      <c r="B5" s="13" t="s">
        <v>89</v>
      </c>
      <c r="AD5"/>
    </row>
    <row r="6" spans="1:30" x14ac:dyDescent="0.2">
      <c r="A6" s="15" t="s">
        <v>90</v>
      </c>
      <c r="B6" s="16" t="s">
        <v>84</v>
      </c>
      <c r="AD6"/>
    </row>
    <row r="7" spans="1:30" x14ac:dyDescent="0.2">
      <c r="A7" s="15" t="s">
        <v>91</v>
      </c>
      <c r="B7" s="16" t="s">
        <v>96</v>
      </c>
      <c r="AD7"/>
    </row>
    <row r="8" spans="1:30" x14ac:dyDescent="0.2">
      <c r="A8" s="15" t="s">
        <v>92</v>
      </c>
      <c r="B8" s="17" t="s">
        <v>97</v>
      </c>
      <c r="AD8"/>
    </row>
    <row r="9" spans="1:30" x14ac:dyDescent="0.2">
      <c r="A9" s="15" t="s">
        <v>93</v>
      </c>
      <c r="B9" s="17" t="s">
        <v>98</v>
      </c>
      <c r="AD9"/>
    </row>
    <row r="10" spans="1:30" x14ac:dyDescent="0.2">
      <c r="A10" s="15" t="s">
        <v>94</v>
      </c>
      <c r="B10" s="17" t="s">
        <v>99</v>
      </c>
      <c r="AD10"/>
    </row>
    <row r="11" spans="1:30" x14ac:dyDescent="0.2">
      <c r="A11" s="15" t="s">
        <v>95</v>
      </c>
      <c r="B11" s="17"/>
      <c r="AD11"/>
    </row>
    <row r="12" spans="1:30" ht="27.75" customHeight="1" x14ac:dyDescent="0.2">
      <c r="A12" s="13"/>
      <c r="B12" s="13"/>
      <c r="AD12"/>
    </row>
  </sheetData>
  <mergeCells count="1">
    <mergeCell ref="A1:C2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Button 1">
              <controlPr defaultSize="0" print="0" autoFill="0" autoPict="0" macro="[0]!Sheet100.UpdateXML">
                <anchor moveWithCells="1">
                  <from>
                    <xdr:col>1</xdr:col>
                    <xdr:colOff>50800</xdr:colOff>
                    <xdr:row>0</xdr:row>
                    <xdr:rowOff>50800</xdr:rowOff>
                  </from>
                  <to>
                    <xdr:col>1</xdr:col>
                    <xdr:colOff>596900</xdr:colOff>
                    <xdr:row>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170" r:id="rId4" name="Button 2">
              <controlPr defaultSize="0" print="0" autoFill="0" autoPict="0" macro="[0]!Sheet100.ExportXml">
                <anchor moveWithCells="1">
                  <from>
                    <xdr:col>1</xdr:col>
                    <xdr:colOff>698500</xdr:colOff>
                    <xdr:row>0</xdr:row>
                    <xdr:rowOff>50800</xdr:rowOff>
                  </from>
                  <to>
                    <xdr:col>1</xdr:col>
                    <xdr:colOff>1612900</xdr:colOff>
                    <xdr:row>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171" r:id="rId5" name="Button 3">
              <controlPr defaultSize="0" print="0" autoFill="0" autoPict="0" macro="[0]!Sheet100.CreateSchemaTable">
                <anchor moveWithCells="1" sizeWithCells="1">
                  <from>
                    <xdr:col>0</xdr:col>
                    <xdr:colOff>50800</xdr:colOff>
                    <xdr:row>0</xdr:row>
                    <xdr:rowOff>50800</xdr:rowOff>
                  </from>
                  <to>
                    <xdr:col>1</xdr:col>
                    <xdr:colOff>0</xdr:colOff>
                    <xdr:row>1</xdr:row>
                    <xdr:rowOff>101600</xdr:rowOff>
                  </to>
                </anchor>
              </controlPr>
            </control>
          </mc:Choice>
          <mc:Fallback/>
        </mc:AlternateContent>
      </controls>
    </mc:Choice>
    <mc:Fallback/>
  </mc:AlternateContent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SiafEntries>
  <SiafEntry>
    <InstrName>NIRSPEC</InstrName>
    <AperName>NRS1_FULL_CNTR_OSS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305.8</V2Ref>
    <V3Ref>-512.1</V3Ref>
    <V3IdlYAngle>131.5</V3IdlYAngle>
    <VIdlParity>1</VIdlParity>
    <DetSciYAngle>0</DetSciYAngle>
    <DetSciParity>1</DetSciParity>
    <V3SciXAngle>41.5</V3SciXAngle>
    <V3SciYAngle>131.5</V3SciYAngle>
    <XIdlVert1>102.35</XIdlVert1>
    <XIdlVert2>-102.45</XIdlVert2>
    <XIdlVert3>-102.45</XIdlVert3>
    <XIdlVert4>102.35</XIdlVert4>
    <YIdlVert1>-102.35</YIdlVert1>
    <YIdlVert2>-102.35</YIdlVert2>
    <YIdlVert3>102.45</YIdlVert3>
    <YIdlVert4>102.45</YIdlVert4>
    <UseAfterDate/>
    <Comment/>
    <Sci2IdlDeg>2</Sci2IdlDeg>
    <Sci2IdlX10>-0.1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-10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NRS1_FULL_CNTR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305.8</V2Ref>
    <V3Ref>-512.1</V3Ref>
    <V3IdlYAngle>131.5</V3IdlYAngle>
    <VIdlParity>-1</VIdlParity>
    <DetSciYAngle>0</DetSciYAngle>
    <DetSciParity>1</DetSciParity>
    <V3SciXAngle>41.5</V3SciXAngle>
    <V3SciYAngle>131.5</V3SciYAngle>
    <XIdlVert1>-102.35</XIdlVert1>
    <XIdlVert2>102.45</XIdlVert2>
    <XIdlVert3>102.45</XIdlVert3>
    <XIdlVert4>-102.35</XIdlVert4>
    <YIdlVert1>-102.35</YIdlVert1>
    <YIdlVert2>-102.35</YIdlVert2>
    <YIdlVert3>102.45</YIdlVert3>
    <YIdlVert4>102.45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NRS2_FULL_CNTR_OSS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453</V2Ref>
    <V3Ref>-345.7</V3Ref>
    <V3IdlYAngle>311.5</V3IdlYAngle>
    <VIdlParity>1</VIdlParity>
    <DetSciYAngle>0</DetSciYAngle>
    <DetSciParity>1</DetSciParity>
    <V3SciXAngle>-138.5</V3SciXAngle>
    <V3SciYAngle>131.5</V3SciYAngle>
    <XIdlVert1>-102.35</XIdlVert1>
    <XIdlVert2>102.45</XIdlVert2>
    <XIdlVert3>102.45</XIdlVert3>
    <XIdlVert4>-102.35</XIdlVert4>
    <YIdlVert1>102.35</YIdlVert1>
    <YIdlVert2>102.35</YIdlVert2>
    <YIdlVert3>-102.45</YIdlVert3>
    <YIdlVert4>-102.45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-0.1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-10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NRS2_FULL_CNTR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453</V2Ref>
    <V3Ref>-345.7</V3Ref>
    <V3IdlYAngle>131.5</V3IdlYAngle>
    <VIdlParity>-1</VIdlParity>
    <DetSciYAngle>180</DetSciYAngle>
    <DetSciParity>1</DetSciParity>
    <V3SciXAngle>41.5</V3SciXAngle>
    <V3SciYAngle>131.5</V3SciYAngle>
    <XIdlVert1>-102.35</XIdlVert1>
    <XIdlVert2>102.45</XIdlVert2>
    <XIdlVert3>102.45</XIdlVert3>
    <XIdlVert4>-102.35</XIdlVert4>
    <YIdlVert1>-102.35</YIdlVert1>
    <YIdlVert2>-102.35</YIdlVert2>
    <YIdlVert3>102.45</YIdlVert3>
    <YIdlVert4>102.45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NRS_FULL_IFU_IFUCNTR</AperName>
    <AperShape>QUAD</AperShape>
    <XDetSize>4269</XDetSize>
    <YDetSize>2048</YDetSize>
    <XDetRef>910</XDetRef>
    <YDetRef>1040</YDetRef>
    <XSciSize>4269</XSciSize>
    <YSciSize>64</YSciSize>
    <XSciRef>910</XSciRef>
    <YSciRef>32</YSciRef>
    <XSciScale>0.1</XSciScale>
    <YSciScale>0.1</YSciScale>
    <V2Ref>299.444460603603</V2Ref>
    <V3Ref>-521.69828729414</V3Ref>
    <V3IdlYAngle>131.5</V3IdlYAngle>
    <VIdlParity>-1</VIdlParity>
    <DetSciYAngle>0</DetSciYAngle>
    <DetSciParity>1</DetSciParity>
    <V3SciXAngle>41.5</V3SciXAngle>
    <V3SciYAngle>131.5</V3SciYAngle>
    <XIdlVert1>-1.5015</XIdlVert1>
    <XIdlVert2>1.5015</XIdlVert2>
    <XIdlVert3>1.5015</XIdlVert3>
    <XIdlVert4>-1.5015</XIdlVert4>
    <YIdlVert1>-1.5015</YIdlVert1>
    <YIdlVert2>-1.5015</YIdlVert2>
    <YIdlVert3>1.5015</YIdlVert3>
    <YIdlVert4>1.5015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NRS_S200A1_SLITCNTR</AperName>
    <AperShape>QUAD</AperShape>
    <XDetSize>2048</XDetSize>
    <YDetSize>64</YDetSize>
    <XDetRef>1456.5</XDetRef>
    <YDetRef>1095</YDetRef>
    <XSciSize>4269</XSciSize>
    <YSciSize>64</YSciSize>
    <XSciRef>1456.5</XSciRef>
    <YSciRef>32</YSciRef>
    <XSciScale>0.1</XSciScale>
    <YSciScale>0.1</YSciScale>
    <V2Ref>339.775902702933</V2Ref>
    <V3Ref>-484.412267418207</V3Ref>
    <V3IdlYAngle>131.5</V3IdlYAngle>
    <VIdlParity>-1</VIdlParity>
    <DetSciYAngle>0</DetSciYAngle>
    <DetSciParity>1</DetSciParity>
    <V3SciXAngle>41.5</V3SciXAngle>
    <V3SciYAngle>131.5</V3SciYAngle>
    <XIdlVert1>-0.099</XIdlVert1>
    <XIdlVert2>0.099</XIdlVert2>
    <XIdlVert3>0.099</XIdlVert3>
    <XIdlVert4>-0.099</XIdlVert4>
    <YIdlVert1>-1.6775</YIdlVert1>
    <YIdlVert2>-1.6775</YIdlVert2>
    <YIdlVert3>1.6775</YIdlVert3>
    <YIdlVert4>1.6775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NRS_S400A1_SLITCNTR</AperName>
    <AperShape>QUAD</AperShape>
    <XDetSize>2048</XDetSize>
    <YDetSize>64</YDetSize>
    <XDetRef>1389.9</XDetRef>
    <YDetRef>1021</YDetRef>
    <XSciSize>4269</XSciSize>
    <YSciSize>64</YSciSize>
    <XSciRef>1389.9</XSciRef>
    <YSciRef>32</YSciRef>
    <XSciScale>0.1</XSciScale>
    <YSciScale>0.1</YSciScale>
    <V2Ref>329.820580847977</V2Ref>
    <V3Ref>-484.496924161866</V3Ref>
    <V3IdlYAngle>131.5</V3IdlYAngle>
    <VIdlParity>-1</VIdlParity>
    <DetSciYAngle>0</DetSciYAngle>
    <DetSciParity>1</DetSciParity>
    <V3SciXAngle>41.5</V3SciXAngle>
    <V3SciYAngle>131.5</V3SciYAngle>
    <XIdlVert1>-0.209</XIdlVert1>
    <XIdlVert2>0.209</XIdlVert2>
    <XIdlVert3>0.209</XIdlVert3>
    <XIdlVert4>-0.209</XIdlVert4>
    <YIdlVert1>-1.9415</YIdlVert1>
    <YIdlVert2>-1.9415</YIdlVert2>
    <YIdlVert3>1.9415</YIdlVert3>
    <YIdlVert4>1.9415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NRS_S200A2_SLITCNTR</AperName>
    <AperShape>QUAD</AperShape>
    <XDetSize>2048</XDetSize>
    <YDetSize>64</YDetSize>
    <XDetRef>1266</XDetRef>
    <YDetRef>1058.5</YDetRef>
    <XSciSize>4269</XSciSize>
    <YSciSize>64</YSciSize>
    <XSciRef>1266</XSciRef>
    <YSciRef>32</YSciRef>
    <XSciScale>0.1</XSciScale>
    <YSciScale>0.1</YSciScale>
    <V2Ref>324.419302403543</V2Ref>
    <V3Ref>-496.26131072325</V3Ref>
    <V3IdlYAngle>131.5</V3IdlYAngle>
    <VIdlParity>-1</VIdlParity>
    <DetSciYAngle>0</DetSciYAngle>
    <DetSciParity>1</DetSciParity>
    <V3SciXAngle>41.5</V3SciXAngle>
    <V3SciYAngle>131.5</V3SciYAngle>
    <XIdlVert1>-0.099</XIdlVert1>
    <XIdlVert2>0.099</XIdlVert2>
    <XIdlVert3>0.099</XIdlVert3>
    <XIdlVert4>-0.099</XIdlVert4>
    <YIdlVert1>-1.6775</YIdlVert1>
    <YIdlVert2>-1.6775</YIdlVert2>
    <YIdlVert3>1.6775</YIdlVert3>
    <YIdlVert4>1.6775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NRS_S1600A1_SLITCNTR</AperName>
    <AperShape>QUAD</AperShape>
    <XDetSize>2048</XDetSize>
    <YDetSize>32</YDetSize>
    <XDetRef>1414.5</XDetRef>
    <YDetRef>989.5</YDetRef>
    <XSciSize>4269</XSciSize>
    <YSciSize>32</YSciSize>
    <XSciRef>1414.5</XSciRef>
    <YSciRef>16</YSciRef>
    <XSciScale>0.1</XSciScale>
    <YSciScale>0.1</YSciScale>
    <V2Ref>329.091415646103</V2Ref>
    <V3Ref>-480.567239936845</V3Ref>
    <V3IdlYAngle>131.5</V3IdlYAngle>
    <VIdlParity>-1</VIdlParity>
    <DetSciYAngle>0</DetSciYAngle>
    <DetSciParity>1</DetSciParity>
    <V3SciXAngle>41.5</V3SciXAngle>
    <V3SciYAngle>131.5</V3SciYAngle>
    <XIdlVert1>-0.847</XIdlVert1>
    <XIdlVert2>0.847</XIdlVert2>
    <XIdlVert3>0.847</XIdlVert3>
    <XIdlVert4>-0.847</XIdlVert4>
    <YIdlVert1>-0.847</YIdlVert1>
    <YIdlVert2>-0.847</YIdlVert2>
    <YIdlVert3>0.847</YIdlVert3>
    <YIdlVert4>0.847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NRS_S200B1_SLITCNTR</AperName>
    <AperShape>QUAD</AperShape>
    <XDetSize>2048</XDetSize>
    <YDetSize>64</YDetSize>
    <XDetRef>790.7</XDetRef>
    <YDetRef>959.7</YDetRef>
    <XSciSize>4269</XSciSize>
    <YSciSize>64</YSciSize>
    <XSciRef>3478.3</XSciRef>
    <YSciRef>32</YSciRef>
    <XSciScale>0.1</XSciScale>
    <YSciScale>0.1</YSciScale>
    <V2Ref>432.725288990454</V2Ref>
    <V3Ref>-358.91249005598</V3Ref>
    <V3IdlYAngle>131.5</V3IdlYAngle>
    <VIdlParity>-1</VIdlParity>
    <DetSciYAngle>180</DetSciYAngle>
    <DetSciParity>1</DetSciParity>
    <V3SciXAngle>41.5</V3SciXAngle>
    <V3SciYAngle>131.5</V3SciYAngle>
    <XIdlVert1>-0.099</XIdlVert1>
    <XIdlVert2>0.099</XIdlVert2>
    <XIdlVert3>0.099</XIdlVert3>
    <XIdlVert4>-0.099</XIdlVert4>
    <YIdlVert1>-1.6775</YIdlVert1>
    <YIdlVert2>-1.6775</YIdlVert2>
    <YIdlVert3>1.6775</YIdlVert3>
    <YIdlVert4>1.6775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NRS_FULL_MSACNTR</AperName>
    <AperShape>QUAD</AperShape>
    <XDetSize>2130</XDetSize>
    <YDetSize>2104</YDetSize>
    <XDetRef>1065</XDetRef>
    <YDetRef>1052</YDetRef>
    <XSciSize>2130</XSciSize>
    <YSciSize>2104</YSciSize>
    <XSciRef>1065</XSciRef>
    <YSciRef>1052</YSciRef>
    <XSciScale>0.1</XSciScale>
    <YSciScale>0.1</YSciScale>
    <V2Ref>379.4</V2Ref>
    <V3Ref>-428.9</V3Ref>
    <V3IdlYAngle>131.5</V3IdlYAngle>
    <VIdlParity>-1</VIdlParity>
    <DetSciYAngle>0</DetSciYAngle>
    <DetSciParity>-1</DetSciParity>
    <V3SciXAngle>41.5</V3SciXAngle>
    <V3SciYAngle>131.5</V3SciYAngle>
    <XIdlVert1>-106.45</XIdlVert1>
    <XIdlVert2>106.55</XIdlVert2>
    <XIdlVert3>106.55</XIdlVert3>
    <XIdlVert4>-106.45</XIdlVert4>
    <YIdlVert1>-105.15</YIdlVert1>
    <YIdlVert2>-105.15</YIdlVert2>
    <YIdlVert3>105.25</YIdlVert3>
    <YIdlVert4>105.25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NRS_FULL_MSA1CNTR</AperName>
    <AperShape>QUAD</AperShape>
    <XDetSize>2130</XDetSize>
    <YDetSize>2104</YDetSize>
    <XDetRef>1655</XDetRef>
    <YDetRef>1668</YDetRef>
    <XSciSize>950</XSciSize>
    <YSciSize>872</YSciSize>
    <XSciRef>475</XSciRef>
    <YSciRef>436</YSciRef>
    <XSciScale>0.1</XSciScale>
    <YSciScale>0.1</YSciScale>
    <V2Ref>464.630255245331</V2Ref>
    <V3Ref>-425.529007443538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NRS_FULL_MSA2CNTR</AperName>
    <AperShape>QUAD</AperShape>
    <XDetSize>2130</XDetSize>
    <YDetSize>2104</YDetSize>
    <XDetRef>1655</XDetRef>
    <YDetRef>436</YDetRef>
    <XSciSize>950</XSciSize>
    <YSciSize>872</YSciSize>
    <XSciRef>475</XSciRef>
    <YSciRef>436</YSciRef>
    <XSciScale>0.1</XSciScale>
    <YSciScale>0.1</YSciScale>
    <V2Ref>372.358910444126</V2Ref>
    <V3Ref>-343.894217503359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NRS_FULL_MSA3CNTR</AperName>
    <AperShape>QUAD</AperShape>
    <XDetSize>2130</XDetSize>
    <YDetSize>2104</YDetSize>
    <XDetRef>475</XDetRef>
    <YDetRef>1668</YDetRef>
    <XSciSize>950</XSciSize>
    <YSciSize>872</YSciSize>
    <XSciRef>475</XSciRef>
    <YSciRef>436</YSciRef>
    <XSciScale>0.1</XSciScale>
    <YSciScale>0.1</YSciScale>
    <V2Ref>386.441089555874</V2Ref>
    <V3Ref>-513.905782496641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NRS_FULL_MSA4CNTR</AperName>
    <AperShape>QUAD</AperShape>
    <XDetSize>2130</XDetSize>
    <YDetSize>2104</YDetSize>
    <XDetRef>475</XDetRef>
    <YDetRef>436</YDetRef>
    <XSciSize>950</XSciSize>
    <YSciSize>872</YSciSize>
    <XSciRef>475</XSciRef>
    <YSciRef>436</YSciRef>
    <XSciScale>0.1</XSciScale>
    <YSciScale>0.1</YSciScale>
    <V2Ref>294.169744754669</V2Ref>
    <V3Ref>-432.270992556462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</SiafEntries>
</file>

<file path=customXml/item2.xml><?xml version="1.0" encoding="utf-8"?>
<SiafEntries>
  <SiafEntry>
    <InstrName>NIRSPEC</InstrName>
    <AperName>NRS1_FULL_CNTR_OSS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305.8</V2Ref>
    <V3Ref>-512.1</V3Ref>
    <V3IdlYAngle>131.5</V3IdlYAngle>
    <VIdlParity>1</VIdlParity>
    <DetSciYAngle>0</DetSciYAngle>
    <DetSciParity>1</DetSciParity>
    <V3SciXAngle>41.5</V3SciXAngle>
    <V3SciYAngle>131.5</V3SciYAngle>
    <XIdlVert1>102.35</XIdlVert1>
    <XIdlVert2>-102.45</XIdlVert2>
    <XIdlVert3>-102.45</XIdlVert3>
    <XIdlVert4>102.35</XIdlVert4>
    <YIdlVert1>-102.35</YIdlVert1>
    <YIdlVert2>-102.35</YIdlVert2>
    <YIdlVert3>102.45</YIdlVert3>
    <YIdlVert4>102.45</YIdlVert4>
    <Sci2IdlDeg>2</Sci2IdlDeg>
    <Sci2IdlX10>-0.1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-10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NRS1_FULL_CNTR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305.8</V2Ref>
    <V3Ref>-512.1</V3Ref>
    <V3IdlYAngle>131.5</V3IdlYAngle>
    <VIdlParity>-1</VIdlParity>
    <DetSciYAngle>0</DetSciYAngle>
    <DetSciParity>1</DetSciParity>
    <V3SciXAngle>41.5</V3SciXAngle>
    <V3SciYAngle>131.5</V3SciYAngle>
    <XIdlVert1>-102.35</XIdlVert1>
    <XIdlVert2>102.45</XIdlVert2>
    <XIdlVert3>102.45</XIdlVert3>
    <XIdlVert4>-102.35</XIdlVert4>
    <YIdlVert1>-102.35</YIdlVert1>
    <YIdlVert2>-102.35</YIdlVert2>
    <YIdlVert3>102.45</YIdlVert3>
    <YIdlVert4>102.45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NRS2_FULL_CNTR_OSS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453</V2Ref>
    <V3Ref>-345.7</V3Ref>
    <V3IdlYAngle>311.5</V3IdlYAngle>
    <VIdlParity>1</VIdlParity>
    <DetSciYAngle>0</DetSciYAngle>
    <DetSciParity>1</DetSciParity>
    <V3SciXAngle>-138.5</V3SciXAngle>
    <V3SciYAngle>131.5</V3SciYAngle>
    <XIdlVert1>-102.35</XIdlVert1>
    <XIdlVert2>102.45</XIdlVert2>
    <XIdlVert3>102.45</XIdlVert3>
    <XIdlVert4>-102.35</XIdlVert4>
    <YIdlVert1>102.35</YIdlVert1>
    <YIdlVert2>102.35</YIdlVert2>
    <YIdlVert3>-102.45</YIdlVert3>
    <YIdlVert4>-102.45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-0.1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-10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NRS2_FULL_CNTR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453</V2Ref>
    <V3Ref>-345.7</V3Ref>
    <V3IdlYAngle>131.5</V3IdlYAngle>
    <VIdlParity>-1</VIdlParity>
    <DetSciYAngle>180</DetSciYAngle>
    <DetSciParity>1</DetSciParity>
    <V3SciXAngle>41.5</V3SciXAngle>
    <V3SciYAngle>131.5</V3SciYAngle>
    <XIdlVert1>-102.35</XIdlVert1>
    <XIdlVert2>102.45</XIdlVert2>
    <XIdlVert3>102.45</XIdlVert3>
    <XIdlVert4>-102.35</XIdlVert4>
    <YIdlVert1>-102.35</YIdlVert1>
    <YIdlVert2>-102.35</YIdlVert2>
    <YIdlVert3>102.45</YIdlVert3>
    <YIdlVert4>102.45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NRS_FULL_IFU_IFUCNTR</AperName>
    <AperShape>QUAD</AperShape>
    <XDetSize>4269</XDetSize>
    <YDetSize>2048</YDetSize>
    <XDetRef>910</XDetRef>
    <YDetRef>1040</YDetRef>
    <XSciSize>4269</XSciSize>
    <YSciSize>64</YSciSize>
    <XSciRef>910</XSciRef>
    <YSciRef>32</YSciRef>
    <XSciScale>0.1</XSciScale>
    <YSciScale>0.1</YSciScale>
    <V2Ref>299.444460603603</V2Ref>
    <V3Ref>-521.69828729414</V3Ref>
    <V3IdlYAngle>131.5</V3IdlYAngle>
    <VIdlParity>-1</VIdlParity>
    <DetSciYAngle>0</DetSciYAngle>
    <DetSciParity>1</DetSciParity>
    <V3SciXAngle>41.5</V3SciXAngle>
    <V3SciYAngle>131.5</V3SciYAngle>
    <XIdlVert1>-1.5015</XIdlVert1>
    <XIdlVert2>1.5015</XIdlVert2>
    <XIdlVert3>1.5015</XIdlVert3>
    <XIdlVert4>-1.5015</XIdlVert4>
    <YIdlVert1>-1.5015</YIdlVert1>
    <YIdlVert2>-1.5015</YIdlVert2>
    <YIdlVert3>1.5015</YIdlVert3>
    <YIdlVert4>1.5015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NRS_S200A1_SLITCNTR</AperName>
    <AperShape>QUAD</AperShape>
    <XDetSize>2048</XDetSize>
    <YDetSize>64</YDetSize>
    <XDetRef>1456.5</XDetRef>
    <YDetRef>1095</YDetRef>
    <XSciSize>4269</XSciSize>
    <YSciSize>64</YSciSize>
    <XSciRef>1456.5</XSciRef>
    <YSciRef>32</YSciRef>
    <XSciScale>0.1</XSciScale>
    <YSciScale>0.1</YSciScale>
    <V2Ref>339.775902702933</V2Ref>
    <V3Ref>-484.412267418207</V3Ref>
    <V3IdlYAngle>131.5</V3IdlYAngle>
    <VIdlParity>-1</VIdlParity>
    <DetSciYAngle>0</DetSciYAngle>
    <DetSciParity>1</DetSciParity>
    <V3SciXAngle>41.5</V3SciXAngle>
    <V3SciYAngle>131.5</V3SciYAngle>
    <XIdlVert1>-0.099</XIdlVert1>
    <XIdlVert2>0.099</XIdlVert2>
    <XIdlVert3>0.099</XIdlVert3>
    <XIdlVert4>-0.099</XIdlVert4>
    <YIdlVert1>-1.6775</YIdlVert1>
    <YIdlVert2>-1.6775</YIdlVert2>
    <YIdlVert3>1.6775</YIdlVert3>
    <YIdlVert4>1.6775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NRS_S400A1_SLITCNTR</AperName>
    <AperShape>QUAD</AperShape>
    <XDetSize>2048</XDetSize>
    <YDetSize>64</YDetSize>
    <XDetRef>1389.9</XDetRef>
    <YDetRef>1021</YDetRef>
    <XSciSize>4269</XSciSize>
    <YSciSize>64</YSciSize>
    <XSciRef>1389.9</XSciRef>
    <YSciRef>32</YSciRef>
    <XSciScale>0.1</XSciScale>
    <YSciScale>0.1</YSciScale>
    <V2Ref>329.820580847977</V2Ref>
    <V3Ref>-484.496924161866</V3Ref>
    <V3IdlYAngle>131.5</V3IdlYAngle>
    <VIdlParity>-1</VIdlParity>
    <DetSciYAngle>0</DetSciYAngle>
    <DetSciParity>1</DetSciParity>
    <V3SciXAngle>41.5</V3SciXAngle>
    <V3SciYAngle>131.5</V3SciYAngle>
    <XIdlVert1>-0.209</XIdlVert1>
    <XIdlVert2>0.209</XIdlVert2>
    <XIdlVert3>0.209</XIdlVert3>
    <XIdlVert4>-0.209</XIdlVert4>
    <YIdlVert1>-1.9415</YIdlVert1>
    <YIdlVert2>-1.9415</YIdlVert2>
    <YIdlVert3>1.9415</YIdlVert3>
    <YIdlVert4>1.9415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NRS_S200A2_SLITCNTR</AperName>
    <AperShape>QUAD</AperShape>
    <XDetSize>2048</XDetSize>
    <YDetSize>64</YDetSize>
    <XDetRef>1266</XDetRef>
    <YDetRef>1058.5</YDetRef>
    <XSciSize>4269</XSciSize>
    <YSciSize>64</YSciSize>
    <XSciRef>1266</XSciRef>
    <YSciRef>32</YSciRef>
    <XSciScale>0.1</XSciScale>
    <YSciScale>0.1</YSciScale>
    <V2Ref>324.419302403543</V2Ref>
    <V3Ref>-496.26131072325</V3Ref>
    <V3IdlYAngle>131.5</V3IdlYAngle>
    <VIdlParity>-1</VIdlParity>
    <DetSciYAngle>0</DetSciYAngle>
    <DetSciParity>1</DetSciParity>
    <V3SciXAngle>41.5</V3SciXAngle>
    <V3SciYAngle>131.5</V3SciYAngle>
    <XIdlVert1>-0.099</XIdlVert1>
    <XIdlVert2>0.099</XIdlVert2>
    <XIdlVert3>0.099</XIdlVert3>
    <XIdlVert4>-0.099</XIdlVert4>
    <YIdlVert1>-1.6775</YIdlVert1>
    <YIdlVert2>-1.6775</YIdlVert2>
    <YIdlVert3>1.6775</YIdlVert3>
    <YIdlVert4>1.6775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NRS_S1600A1_SLITCNTR</AperName>
    <AperShape>QUAD</AperShape>
    <XDetSize>2048</XDetSize>
    <YDetSize>32</YDetSize>
    <XDetRef>1414.5</XDetRef>
    <YDetRef>989.5</YDetRef>
    <XSciSize>4269</XSciSize>
    <YSciSize>32</YSciSize>
    <XSciRef>1414.5</XSciRef>
    <YSciRef>16</YSciRef>
    <XSciScale>0.1</XSciScale>
    <YSciScale>0.1</YSciScale>
    <V2Ref>329.091415646103</V2Ref>
    <V3Ref>-480.567239936845</V3Ref>
    <V3IdlYAngle>131.5</V3IdlYAngle>
    <VIdlParity>-1</VIdlParity>
    <DetSciYAngle>0</DetSciYAngle>
    <DetSciParity>1</DetSciParity>
    <V3SciXAngle>41.5</V3SciXAngle>
    <V3SciYAngle>131.5</V3SciYAngle>
    <XIdlVert1>-0.847</XIdlVert1>
    <XIdlVert2>0.847</XIdlVert2>
    <XIdlVert3>0.847</XIdlVert3>
    <XIdlVert4>-0.847</XIdlVert4>
    <YIdlVert1>-0.847</YIdlVert1>
    <YIdlVert2>-0.847</YIdlVert2>
    <YIdlVert3>0.847</YIdlVert3>
    <YIdlVert4>0.847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NRS_S200B1_SLITCNTR</AperName>
    <AperShape>QUAD</AperShape>
    <XDetSize>2048</XDetSize>
    <YDetSize>64</YDetSize>
    <XDetRef>790.7</XDetRef>
    <YDetRef>959.7</YDetRef>
    <XSciSize>4269</XSciSize>
    <YSciSize>64</YSciSize>
    <XSciRef>3478.3</XSciRef>
    <YSciRef>32</YSciRef>
    <XSciScale>0.1</XSciScale>
    <YSciScale>0.1</YSciScale>
    <V2Ref>432.725288990454</V2Ref>
    <V3Ref>-358.91249005598</V3Ref>
    <V3IdlYAngle>131.5</V3IdlYAngle>
    <VIdlParity>-1</VIdlParity>
    <DetSciYAngle>180</DetSciYAngle>
    <DetSciParity>1</DetSciParity>
    <V3SciXAngle>41.5</V3SciXAngle>
    <V3SciYAngle>131.5</V3SciYAngle>
    <XIdlVert1>-0.099</XIdlVert1>
    <XIdlVert2>0.099</XIdlVert2>
    <XIdlVert3>0.099</XIdlVert3>
    <XIdlVert4>-0.099</XIdlVert4>
    <YIdlVert1>-1.6775</YIdlVert1>
    <YIdlVert2>-1.6775</YIdlVert2>
    <YIdlVert3>1.6775</YIdlVert3>
    <YIdlVert4>1.6775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NRS_FULL_MSACNTR</AperName>
    <AperShape>QUAD</AperShape>
    <XDetSize>2130</XDetSize>
    <YDetSize>2104</YDetSize>
    <XDetRef>1065</XDetRef>
    <YDetRef>1052</YDetRef>
    <XSciSize>2130</XSciSize>
    <YSciSize>2104</YSciSize>
    <XSciRef>1065</XSciRef>
    <YSciRef>1052</YSciRef>
    <XSciScale>0.1</XSciScale>
    <YSciScale>0.1</YSciScale>
    <V2Ref>379.4</V2Ref>
    <V3Ref>-428.9</V3Ref>
    <V3IdlYAngle>131.5</V3IdlYAngle>
    <VIdlParity>-1</VIdlParity>
    <DetSciYAngle>0</DetSciYAngle>
    <DetSciParity>-1</DetSciParity>
    <V3SciXAngle>41.5</V3SciXAngle>
    <V3SciYAngle>131.5</V3SciYAngle>
    <XIdlVert1>-106.45</XIdlVert1>
    <XIdlVert2>106.55</XIdlVert2>
    <XIdlVert3>106.55</XIdlVert3>
    <XIdlVert4>-106.45</XIdlVert4>
    <YIdlVert1>-105.15</YIdlVert1>
    <YIdlVert2>-105.15</YIdlVert2>
    <YIdlVert3>105.25</YIdlVert3>
    <YIdlVert4>105.25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NRS_FULL_MSA1CNTR</AperName>
    <AperShape>QUAD</AperShape>
    <XDetSize>2130</XDetSize>
    <YDetSize>2104</YDetSize>
    <XDetRef>1655</XDetRef>
    <YDetRef>1668</YDetRef>
    <XSciSize>950</XSciSize>
    <YSciSize>872</YSciSize>
    <XSciRef>475</XSciRef>
    <YSciRef>436</YSciRef>
    <XSciScale>0.1</XSciScale>
    <YSciScale>0.1</YSciScale>
    <V2Ref>464.630255245331</V2Ref>
    <V3Ref>-425.529007443538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NRS_FULL_MSA2CNTR</AperName>
    <AperShape>QUAD</AperShape>
    <XDetSize>2130</XDetSize>
    <YDetSize>2104</YDetSize>
    <XDetRef>1655</XDetRef>
    <YDetRef>436</YDetRef>
    <XSciSize>950</XSciSize>
    <YSciSize>872</YSciSize>
    <XSciRef>475</XSciRef>
    <YSciRef>436</YSciRef>
    <XSciScale>0.1</XSciScale>
    <YSciScale>0.1</YSciScale>
    <V2Ref>372.358910444126</V2Ref>
    <V3Ref>-343.894217503359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NRS_FULL_MSA3CNTR</AperName>
    <AperShape>QUAD</AperShape>
    <XDetSize>2130</XDetSize>
    <YDetSize>2104</YDetSize>
    <XDetRef>475</XDetRef>
    <YDetRef>1668</YDetRef>
    <XSciSize>950</XSciSize>
    <YSciSize>872</YSciSize>
    <XSciRef>475</XSciRef>
    <YSciRef>436</YSciRef>
    <XSciScale>0.1</XSciScale>
    <YSciScale>0.1</YSciScale>
    <V2Ref>386.441089555874</V2Ref>
    <V3Ref>-513.905782496641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  <SiafEntry>
    <InstrName>NIRSPEC</InstrName>
    <AperName>NRS_FULL_MSA4CNTR</AperName>
    <AperShape>QUAD</AperShape>
    <XDetSize>2130</XDetSize>
    <YDetSize>2104</YDetSize>
    <XDetRef>475</XDetRef>
    <YDetRef>436</YDetRef>
    <XSciSize>950</XSciSize>
    <YSciSize>872</YSciSize>
    <XSciRef>475</XSciRef>
    <YSciRef>436</YSciRef>
    <XSciScale>0.1</XSciScale>
    <YSciScale>0.1</YSciScale>
    <V2Ref>294.169744754669</V2Ref>
    <V3Ref>-432.270992556462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  <UseAfterDate/>
    <Comment/>
  </SiafEntry>
</SiafEntries>
</file>

<file path=customXml/item3.xml><?xml version="1.0" encoding="utf-8"?>
<SiafEntries>
  <SiafEntry>
    <InstrName>NIRSPEC</InstrName>
    <AperName>NRS1_FULL_CNTR_OSS</AperName>
    <UseAfterDate/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DetSciYAngle>0</DetSciYAngle>
    <DetSciParity>1</DetSciParity>
    <V3SciXAngle>41.5</V3SciXAngle>
    <V3SciYAngle>131.5</V3SciYAngle>
    <Sci2IdlDeg>2</Sci2IdlDeg>
    <Sci2IdlX10>-0.1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-10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102.35</XIdlVert1>
    <XIdlVert2>-102.45</XIdlVert2>
    <XIdlVert3>-102.45</XIdlVert3>
    <XIdlVert4>102.35</XIdlVert4>
    <YIdlVert1>-102.35</YIdlVert1>
    <YIdlVert2>-102.35</YIdlVert2>
    <YIdlVert3>102.45</YIdlVert3>
    <YIdlVert4>102.45</YIdlVert4>
    <V2Ref>305.8</V2Ref>
    <V3Ref>-512.1</V3Ref>
    <V3IdlYAngle>131.5</V3IdlYAngle>
    <VIdlParity>1</VIdlParity>
    <Comment/>
  </SiafEntry>
  <SiafEntry>
    <InstrName>NIRSPEC</InstrName>
    <AperName>NRS1_FULL_CNTR</AperName>
    <UseAfterDate/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DetSciYAngle>0</DetSciYAngle>
    <DetSciParity>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-102.35</XIdlVert1>
    <XIdlVert2>102.45</XIdlVert2>
    <XIdlVert3>102.45</XIdlVert3>
    <XIdlVert4>-102.35</XIdlVert4>
    <YIdlVert1>-102.35</YIdlVert1>
    <YIdlVert2>-102.35</YIdlVert2>
    <YIdlVert3>102.45</YIdlVert3>
    <YIdlVert4>102.45</YIdlVert4>
    <V2Ref>305.8</V2Ref>
    <V3Ref>-512.1</V3Ref>
    <V3IdlYAngle>131.5</V3IdlYAngle>
    <VIdlParity>-1</VIdlParity>
    <Comment/>
  </SiafEntry>
  <SiafEntry>
    <InstrName>NIRSPEC</InstrName>
    <AperName>NRS2_FULL_CNTR_OSS</AperName>
    <UseAfterDate/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DetSciYAngle>0</DetSciYAngle>
    <DetSciParity>1</DetSciParity>
    <V3SciXAngle>-138.5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-0.1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-10</Idl2SciY11>
    <Idl2SciY20>0</Idl2SciY20>
    <Idl2SciY21>0</Idl2SciY21>
    <Idl2SciY22>0</Idl2SciY22>
    <XIdlVert1>-102.35</XIdlVert1>
    <XIdlVert2>102.45</XIdlVert2>
    <XIdlVert3>102.45</XIdlVert3>
    <XIdlVert4>-102.35</XIdlVert4>
    <YIdlVert1>102.35</YIdlVert1>
    <YIdlVert2>102.35</YIdlVert2>
    <YIdlVert3>-102.45</YIdlVert3>
    <YIdlVert4>-102.45</YIdlVert4>
    <V2Ref>453</V2Ref>
    <V3Ref>-345.7</V3Ref>
    <V3IdlYAngle>311.5</V3IdlYAngle>
    <VIdlParity>1</VIdlParity>
    <Comment/>
  </SiafEntry>
  <SiafEntry>
    <InstrName>NIRSPEC</InstrName>
    <AperName>NRS2_FULL_CNTR</AperName>
    <UseAfterDate/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DetSciYAngle>180</DetSciYAngle>
    <DetSciParity>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-102.35</XIdlVert1>
    <XIdlVert2>102.45</XIdlVert2>
    <XIdlVert3>102.45</XIdlVert3>
    <XIdlVert4>-102.35</XIdlVert4>
    <YIdlVert1>-102.35</YIdlVert1>
    <YIdlVert2>-102.35</YIdlVert2>
    <YIdlVert3>102.45</YIdlVert3>
    <YIdlVert4>102.45</YIdlVert4>
    <V2Ref>453</V2Ref>
    <V3Ref>-345.7</V3Ref>
    <V3IdlYAngle>131.5</V3IdlYAngle>
    <VIdlParity>-1</VIdlParity>
    <Comment/>
  </SiafEntry>
  <SiafEntry>
    <InstrName>NIRSPEC</InstrName>
    <AperName>NRS_FULL_IFU_IFUCNTR</AperName>
    <UseAfterDate/>
    <AperShape>QUAD</AperShape>
    <XDetSize>4269</XDetSize>
    <YDetSize>2048</YDetSize>
    <XDetRef>910</XDetRef>
    <YDetRef>1040</YDetRef>
    <XSciSize>4269</XSciSize>
    <YSciSize>64</YSciSize>
    <XSciRef>910</XSciRef>
    <YSciRef>32</YSciRef>
    <XSciScale>0.1</XSciScale>
    <YSciScale>0.1</YSciScale>
    <DetSciYAngle>0</DetSciYAngle>
    <DetSciParity>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-1.5015</XIdlVert1>
    <XIdlVert2>1.5015</XIdlVert2>
    <XIdlVert3>1.5015</XIdlVert3>
    <XIdlVert4>-1.5015</XIdlVert4>
    <YIdlVert1>-1.5015</YIdlVert1>
    <YIdlVert2>-1.5015</YIdlVert2>
    <YIdlVert3>1.5015</YIdlVert3>
    <YIdlVert4>1.5015</YIdlVert4>
    <V2Ref>299.444460603603</V2Ref>
    <V3Ref>-521.69828729414</V3Ref>
    <V3IdlYAngle>131.5</V3IdlYAngle>
    <VIdlParity>-1</VIdlParity>
    <Comment/>
  </SiafEntry>
  <SiafEntry>
    <InstrName>NIRSPEC</InstrName>
    <AperName>NRS_S200A1_SLITCNTR</AperName>
    <UseAfterDate/>
    <AperShape>QUAD</AperShape>
    <XDetSize>2048</XDetSize>
    <YDetSize>64</YDetSize>
    <XDetRef>1456.5</XDetRef>
    <YDetRef>1095</YDetRef>
    <XSciSize>4269</XSciSize>
    <YSciSize>64</YSciSize>
    <XSciRef>1456.5</XSciRef>
    <YSciRef>32</YSciRef>
    <XSciScale>0.1</XSciScale>
    <YSciScale>0.1</YSciScale>
    <DetSciYAngle>0</DetSciYAngle>
    <DetSciParity>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-0.099</XIdlVert1>
    <XIdlVert2>0.099</XIdlVert2>
    <XIdlVert3>0.099</XIdlVert3>
    <XIdlVert4>-0.099</XIdlVert4>
    <YIdlVert1>-1.6775</YIdlVert1>
    <YIdlVert2>-1.6775</YIdlVert2>
    <YIdlVert3>1.6775</YIdlVert3>
    <YIdlVert4>1.6775</YIdlVert4>
    <V2Ref>339.775902702933</V2Ref>
    <V3Ref>-484.412267418207</V3Ref>
    <V3IdlYAngle>131.5</V3IdlYAngle>
    <VIdlParity>-1</VIdlParity>
    <Comment/>
  </SiafEntry>
  <SiafEntry>
    <InstrName>NIRSPEC</InstrName>
    <AperName>NRS_S400A1_SLITCNTR</AperName>
    <UseAfterDate/>
    <AperShape>QUAD</AperShape>
    <XDetSize>2048</XDetSize>
    <YDetSize>64</YDetSize>
    <XDetRef>1389.9</XDetRef>
    <YDetRef>1021</YDetRef>
    <XSciSize>4269</XSciSize>
    <YSciSize>64</YSciSize>
    <XSciRef>1389.9</XSciRef>
    <YSciRef>32</YSciRef>
    <XSciScale>0.1</XSciScale>
    <YSciScale>0.1</YSciScale>
    <DetSciYAngle>0</DetSciYAngle>
    <DetSciParity>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-0.209</XIdlVert1>
    <XIdlVert2>0.209</XIdlVert2>
    <XIdlVert3>0.209</XIdlVert3>
    <XIdlVert4>-0.209</XIdlVert4>
    <YIdlVert1>-1.9415</YIdlVert1>
    <YIdlVert2>-1.9415</YIdlVert2>
    <YIdlVert3>1.9415</YIdlVert3>
    <YIdlVert4>1.9415</YIdlVert4>
    <V2Ref>329.820580847977</V2Ref>
    <V3Ref>-484.496924161866</V3Ref>
    <V3IdlYAngle>131.5</V3IdlYAngle>
    <VIdlParity>-1</VIdlParity>
    <Comment/>
  </SiafEntry>
  <SiafEntry>
    <InstrName>NIRSPEC</InstrName>
    <AperName>NRS_S200A2_SLITCNTR</AperName>
    <UseAfterDate/>
    <AperShape>QUAD</AperShape>
    <XDetSize>2048</XDetSize>
    <YDetSize>64</YDetSize>
    <XDetRef>1266</XDetRef>
    <YDetRef>1058.5</YDetRef>
    <XSciSize>4269</XSciSize>
    <YSciSize>64</YSciSize>
    <XSciRef>1266</XSciRef>
    <YSciRef>32</YSciRef>
    <XSciScale>0.1</XSciScale>
    <YSciScale>0.1</YSciScale>
    <DetSciYAngle>0</DetSciYAngle>
    <DetSciParity>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-0.099</XIdlVert1>
    <XIdlVert2>0.099</XIdlVert2>
    <XIdlVert3>0.099</XIdlVert3>
    <XIdlVert4>-0.099</XIdlVert4>
    <YIdlVert1>-1.6775</YIdlVert1>
    <YIdlVert2>-1.6775</YIdlVert2>
    <YIdlVert3>1.6775</YIdlVert3>
    <YIdlVert4>1.6775</YIdlVert4>
    <V2Ref>324.419302403543</V2Ref>
    <V3Ref>-496.26131072325</V3Ref>
    <V3IdlYAngle>131.5</V3IdlYAngle>
    <VIdlParity>-1</VIdlParity>
    <Comment/>
  </SiafEntry>
  <SiafEntry>
    <InstrName>NIRSPEC</InstrName>
    <AperName>NRS_S1600A1_SLITCNTR</AperName>
    <UseAfterDate/>
    <AperShape>QUAD</AperShape>
    <XDetSize>2048</XDetSize>
    <YDetSize>32</YDetSize>
    <XDetRef>1414.5</XDetRef>
    <YDetRef>989.5</YDetRef>
    <XSciSize>4269</XSciSize>
    <YSciSize>32</YSciSize>
    <XSciRef>1414.5</XSciRef>
    <YSciRef>16</YSciRef>
    <XSciScale>0.1</XSciScale>
    <YSciScale>0.1</YSciScale>
    <DetSciYAngle>0</DetSciYAngle>
    <DetSciParity>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-0.847</XIdlVert1>
    <XIdlVert2>0.847</XIdlVert2>
    <XIdlVert3>0.847</XIdlVert3>
    <XIdlVert4>-0.847</XIdlVert4>
    <YIdlVert1>-0.847</YIdlVert1>
    <YIdlVert2>-0.847</YIdlVert2>
    <YIdlVert3>0.847</YIdlVert3>
    <YIdlVert4>0.847</YIdlVert4>
    <V2Ref>329.091415646103</V2Ref>
    <V3Ref>-480.567239936845</V3Ref>
    <V3IdlYAngle>131.5</V3IdlYAngle>
    <VIdlParity>-1</VIdlParity>
    <Comment/>
  </SiafEntry>
  <SiafEntry>
    <InstrName>NIRSPEC</InstrName>
    <AperName>NRS_S200B1_SLITCNTR</AperName>
    <UseAfterDate/>
    <AperShape>QUAD</AperShape>
    <XDetSize>2048</XDetSize>
    <YDetSize>64</YDetSize>
    <XDetRef>790.7</XDetRef>
    <YDetRef>959.7</YDetRef>
    <XSciSize>4269</XSciSize>
    <YSciSize>64</YSciSize>
    <XSciRef>3478.3</XSciRef>
    <YSciRef>32</YSciRef>
    <XSciScale>0.1</XSciScale>
    <YSciScale>0.1</YSciScale>
    <DetSciYAngle>180</DetSciYAngle>
    <DetSciParity>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-0.099</XIdlVert1>
    <XIdlVert2>0.099</XIdlVert2>
    <XIdlVert3>0.099</XIdlVert3>
    <XIdlVert4>-0.099</XIdlVert4>
    <YIdlVert1>-1.6775</YIdlVert1>
    <YIdlVert2>-1.6775</YIdlVert2>
    <YIdlVert3>1.6775</YIdlVert3>
    <YIdlVert4>1.6775</YIdlVert4>
    <V2Ref>432.725288990454</V2Ref>
    <V3Ref>-358.91249005598</V3Ref>
    <V3IdlYAngle>131.5</V3IdlYAngle>
    <VIdlParity>-1</VIdlParity>
    <Comment/>
  </SiafEntry>
  <SiafEntry>
    <InstrName>NIRSPEC</InstrName>
    <AperName>NRS_FULL_MSACNTR</AperName>
    <UseAfterDate/>
    <AperShape>QUAD</AperShape>
    <XDetSize>2130</XDetSize>
    <YDetSize>2104</YDetSize>
    <XDetRef>1065</XDetRef>
    <YDetRef>1052</YDetRef>
    <XSciSize>2130</XSciSize>
    <YSciSize>2104</YSciSize>
    <XSciRef>1065</XSciRef>
    <YSciRef>1052</YSciRef>
    <XSciScale>0.1</XSciScale>
    <YSciScale>0.1</YSciScale>
    <DetSciYAngle>0</DetSciYAngle>
    <DetSciParity>-1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-106.45</XIdlVert1>
    <XIdlVert2>106.55</XIdlVert2>
    <XIdlVert3>106.55</XIdlVert3>
    <XIdlVert4>-106.45</XIdlVert4>
    <YIdlVert1>-105.15</YIdlVert1>
    <YIdlVert2>-105.15</YIdlVert2>
    <YIdlVert3>105.25</YIdlVert3>
    <YIdlVert4>105.25</YIdlVert4>
    <V2Ref>379.4</V2Ref>
    <V3Ref>-428.9</V3Ref>
    <V3IdlYAngle>131.5</V3IdlYAngle>
    <VIdlParity>-1</VIdlParity>
    <Comment/>
  </SiafEntry>
  <SiafEntry>
    <InstrName>NIRSPEC</InstrName>
    <AperName>NRS_FULL_MSA1CNTR</AperName>
    <UseAfterDate/>
    <AperShape>QUAD</AperShape>
    <XDetSize>2130</XDetSize>
    <YDetSize>2104</YDetSize>
    <XDetRef>1655</XDetRef>
    <YDetRef>1668</YDetRef>
    <XSciSize>950</XSciSize>
    <YSciSize>872</YSciSize>
    <XSciRef>475</XSciRef>
    <YSciRef>436</YSciRef>
    <XSciScale>0.1</XSciScale>
    <YSciScale>0.1</YSciScale>
    <DetSciYAngle>0</DetSciYAngle>
    <DetSciParity>-1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-47.45</XIdlVert1>
    <XIdlVert2>47.55</XIdlVert2>
    <XIdlVert3>47.55</XIdlVert3>
    <XIdlVert4>-47.45</XIdlVert4>
    <YIdlVert1>-43.55</YIdlVert1>
    <YIdlVert2>-43.55</YIdlVert2>
    <YIdlVert3>43.65</YIdlVert3>
    <YIdlVert4>43.65</YIdlVert4>
    <V2Ref>464.630255245331</V2Ref>
    <V3Ref>-425.529007443538</V3Ref>
    <V3IdlYAngle>131.5</V3IdlYAngle>
    <VIdlParity>-1</VIdlParity>
    <Comment/>
  </SiafEntry>
  <SiafEntry>
    <InstrName>NIRSPEC</InstrName>
    <AperName>NRS_FULL_MSA2CNTR</AperName>
    <UseAfterDate/>
    <AperShape>QUAD</AperShape>
    <XDetSize>2130</XDetSize>
    <YDetSize>2104</YDetSize>
    <XDetRef>1655</XDetRef>
    <YDetRef>436</YDetRef>
    <XSciSize>950</XSciSize>
    <YSciSize>872</YSciSize>
    <XSciRef>475</XSciRef>
    <YSciRef>436</YSciRef>
    <XSciScale>0.1</XSciScale>
    <YSciScale>0.1</YSciScale>
    <DetSciYAngle>0</DetSciYAngle>
    <DetSciParity>-1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-47.45</XIdlVert1>
    <XIdlVert2>47.55</XIdlVert2>
    <XIdlVert3>47.55</XIdlVert3>
    <XIdlVert4>-47.45</XIdlVert4>
    <YIdlVert1>-43.55</YIdlVert1>
    <YIdlVert2>-43.55</YIdlVert2>
    <YIdlVert3>43.65</YIdlVert3>
    <YIdlVert4>43.65</YIdlVert4>
    <V2Ref>372.358910444126</V2Ref>
    <V3Ref>-343.894217503359</V3Ref>
    <V3IdlYAngle>131.5</V3IdlYAngle>
    <VIdlParity>-1</VIdlParity>
    <Comment/>
  </SiafEntry>
  <SiafEntry>
    <InstrName>NIRSPEC</InstrName>
    <AperName>NRS_FULL_MSA3CNTR</AperName>
    <UseAfterDate/>
    <AperShape>QUAD</AperShape>
    <XDetSize>2130</XDetSize>
    <YDetSize>2104</YDetSize>
    <XDetRef>475</XDetRef>
    <YDetRef>1668</YDetRef>
    <XSciSize>950</XSciSize>
    <YSciSize>872</YSciSize>
    <XSciRef>475</XSciRef>
    <YSciRef>436</YSciRef>
    <XSciScale>0.1</XSciScale>
    <YSciScale>0.1</YSciScale>
    <DetSciYAngle>0</DetSciYAngle>
    <DetSciParity>-1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-47.45</XIdlVert1>
    <XIdlVert2>47.55</XIdlVert2>
    <XIdlVert3>47.55</XIdlVert3>
    <XIdlVert4>-47.45</XIdlVert4>
    <YIdlVert1>-43.55</YIdlVert1>
    <YIdlVert2>-43.55</YIdlVert2>
    <YIdlVert3>43.65</YIdlVert3>
    <YIdlVert4>43.65</YIdlVert4>
    <V2Ref>386.441089555874</V2Ref>
    <V3Ref>-513.905782496641</V3Ref>
    <V3IdlYAngle>131.5</V3IdlYAngle>
    <VIdlParity>-1</VIdlParity>
    <Comment/>
  </SiafEntry>
  <SiafEntry>
    <InstrName>NIRSPEC</InstrName>
    <AperName>NRS_FULL_MSA4CNTR</AperName>
    <UseAfterDate/>
    <AperShape>QUAD</AperShape>
    <XDetSize>2130</XDetSize>
    <YDetSize>2104</YDetSize>
    <XDetRef>475</XDetRef>
    <YDetRef>436</YDetRef>
    <XSciSize>950</XSciSize>
    <YSciSize>872</YSciSize>
    <XSciRef>475</XSciRef>
    <YSciRef>436</YSciRef>
    <XSciScale>0.1</XSciScale>
    <YSciScale>0.1</YSciScale>
    <DetSciYAngle>0</DetSciYAngle>
    <DetSciParity>-1</DetSciParity>
    <V3SciXAngle>41.5</V3SciXAngle>
    <V3SciYAngle>131.5</V3SciYAngle>
    <Sci2IdlDeg>2</Sci2IdlDeg>
    <Sci2IdlX10>0.1</Sci2IdlX10>
    <Sci2IdlX11>0</Sci2IdlX11>
    <Sci2IdlX20>0</Sci2IdlX20>
    <Sci2IdlX21>0</Sci2IdlX21>
    <Sci2IdlX22>0</Sci2IdlX22>
    <Sci2IdlY10>0</Sci2IdlY10>
    <Sci2IdlY11>0.1</Sci2IdlY11>
    <Sci2IdlY20>0</Sci2IdlY20>
    <Sci2IdlY21>0</Sci2IdlY21>
    <Sci2IdlY22>0</Sci2IdlY22>
    <Idl2SciX10>10</Idl2SciX10>
    <Idl2SciX11>0</Idl2SciX11>
    <Idl2SciX20>0</Idl2SciX20>
    <Idl2SciX21>0</Idl2SciX21>
    <Idl2SciX22>0</Idl2SciX22>
    <Idl2SciY10>0</Idl2SciY10>
    <Idl2SciY11>10</Idl2SciY11>
    <Idl2SciY20>0</Idl2SciY20>
    <Idl2SciY21>0</Idl2SciY21>
    <Idl2SciY22>0</Idl2SciY22>
    <XIdlVert1>-47.45</XIdlVert1>
    <XIdlVert2>47.55</XIdlVert2>
    <XIdlVert3>47.55</XIdlVert3>
    <XIdlVert4>-47.45</XIdlVert4>
    <YIdlVert1>-43.55</YIdlVert1>
    <YIdlVert2>-43.55</YIdlVert2>
    <YIdlVert3>43.65</YIdlVert3>
    <YIdlVert4>43.65</YIdlVert4>
    <V2Ref>294.169744754669</V2Ref>
    <V3Ref>-432.270992556462</V3Ref>
    <V3IdlYAngle>131.5</V3IdlYAngle>
    <VIdlParity>-1</VIdlParity>
    <Comment/>
  </SiafEntry>
</SiafEntries>
</file>

<file path=customXml/item4.xml><?xml version="1.0" encoding="utf-8"?>
<SiafEntries>
  <SiafEntry>
    <InstrName>NIRSPEC</InstrName>
    <AperName>NRS1_FULL_CNTR_OSS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305.8</V2Ref>
    <V3Ref>-512.1</V3Ref>
    <V3IdlYAngle>131.5</V3IdlYAngle>
    <VIdlParity>1</VIdlParity>
    <DetSciYAngle>0</DetSciYAngle>
    <DetSciParity>1</DetSciParity>
    <V3SciXAngle>41.5</V3SciXAngle>
    <V3SciYAngle>131.5</V3SciYAngle>
    <XIdlVert1>102.35</XIdlVert1>
    <XIdlVert2>-102.45</XIdlVert2>
    <XIdlVert3>-102.45</XIdlVert3>
    <XIdlVert4>102.35</XIdlVert4>
    <YIdlVert1>-102.35</YIdlVert1>
    <YIdlVert2>-102.35</YIdlVert2>
    <YIdlVert3>102.45</YIdlVert3>
    <YIdlVert4>102.45</YIdlVert4>
    <UseAfterDate/>
    <Comment/>
    <Sci2IdlDeg>2</Sci2IdlDeg>
    <Sci2IdlX10>-0.1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-10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NRS1_FULL_CNTR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305.8</V2Ref>
    <V3Ref>-512.1</V3Ref>
    <V3IdlYAngle>131.5</V3IdlYAngle>
    <VIdlParity>-1</VIdlParity>
    <DetSciYAngle>0</DetSciYAngle>
    <DetSciParity>1</DetSciParity>
    <V3SciXAngle>41.5</V3SciXAngle>
    <V3SciYAngle>131.5</V3SciYAngle>
    <XIdlVert1>-102.35</XIdlVert1>
    <XIdlVert2>102.45</XIdlVert2>
    <XIdlVert3>102.45</XIdlVert3>
    <XIdlVert4>-102.35</XIdlVert4>
    <YIdlVert1>-102.35</YIdlVert1>
    <YIdlVert2>-102.35</YIdlVert2>
    <YIdlVert3>102.45</YIdlVert3>
    <YIdlVert4>102.45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NRS2_FULL_CNTR_OSS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453</V2Ref>
    <V3Ref>-345.7</V3Ref>
    <V3IdlYAngle>311.5</V3IdlYAngle>
    <VIdlParity>1</VIdlParity>
    <DetSciYAngle>0</DetSciYAngle>
    <DetSciParity>1</DetSciParity>
    <V3SciXAngle>-138.5</V3SciXAngle>
    <V3SciYAngle>131.5</V3SciYAngle>
    <XIdlVert1>-102.35</XIdlVert1>
    <XIdlVert2>102.45</XIdlVert2>
    <XIdlVert3>102.45</XIdlVert3>
    <XIdlVert4>-102.35</XIdlVert4>
    <YIdlVert1>102.35</YIdlVert1>
    <YIdlVert2>102.35</YIdlVert2>
    <YIdlVert3>-102.45</YIdlVert3>
    <YIdlVert4>-102.45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-0.1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-10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NRS2_FULL_CNTR</AperName>
    <AperShape>QUAD</AperShape>
    <XDetSize>2048</XDetSize>
    <YDetSize>2048</YDetSize>
    <XDetRef>1024</XDetRef>
    <YDetRef>1024</YDetRef>
    <XSciSize>2048</XSciSize>
    <YSciSize>2048</YSciSize>
    <XSciRef>1024</XSciRef>
    <YSciRef>1024</YSciRef>
    <XSciScale>0.1</XSciScale>
    <YSciScale>0.1</YSciScale>
    <V2Ref>453</V2Ref>
    <V3Ref>-345.7</V3Ref>
    <V3IdlYAngle>131.5</V3IdlYAngle>
    <VIdlParity>-1</VIdlParity>
    <DetSciYAngle>180</DetSciYAngle>
    <DetSciParity>1</DetSciParity>
    <V3SciXAngle>41.5</V3SciXAngle>
    <V3SciYAngle>131.5</V3SciYAngle>
    <XIdlVert1>-102.35</XIdlVert1>
    <XIdlVert2>102.45</XIdlVert2>
    <XIdlVert3>102.45</XIdlVert3>
    <XIdlVert4>-102.35</XIdlVert4>
    <YIdlVert1>-102.35</YIdlVert1>
    <YIdlVert2>-102.35</YIdlVert2>
    <YIdlVert3>102.45</YIdlVert3>
    <YIdlVert4>102.45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NRS_FULL_IFU_IFUCNTR</AperName>
    <AperShape>QUAD</AperShape>
    <XDetSize>4269</XDetSize>
    <YDetSize>2048</YDetSize>
    <XDetRef>910</XDetRef>
    <YDetRef>1040</YDetRef>
    <XSciSize>4269</XSciSize>
    <YSciSize>64</YSciSize>
    <XSciRef>910</XSciRef>
    <YSciRef>32</YSciRef>
    <XSciScale>0.1</XSciScale>
    <YSciScale>0.1</YSciScale>
    <V2Ref>299.444460603603</V2Ref>
    <V3Ref>-521.69828729414</V3Ref>
    <V3IdlYAngle>131.5</V3IdlYAngle>
    <VIdlParity>-1</VIdlParity>
    <DetSciYAngle>0</DetSciYAngle>
    <DetSciParity>1</DetSciParity>
    <V3SciXAngle>41.5</V3SciXAngle>
    <V3SciYAngle>131.5</V3SciYAngle>
    <XIdlVert1>-1.5015</XIdlVert1>
    <XIdlVert2>1.5015</XIdlVert2>
    <XIdlVert3>1.5015</XIdlVert3>
    <XIdlVert4>-1.5015</XIdlVert4>
    <YIdlVert1>-1.5015</YIdlVert1>
    <YIdlVert2>-1.5015</YIdlVert2>
    <YIdlVert3>1.5015</YIdlVert3>
    <YIdlVert4>1.5015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NRS_S200A1_SLITCNTR</AperName>
    <AperShape>QUAD</AperShape>
    <XDetSize>2048</XDetSize>
    <YDetSize>64</YDetSize>
    <XDetRef>1456.5</XDetRef>
    <YDetRef>1095</YDetRef>
    <XSciSize>4269</XSciSize>
    <YSciSize>64</YSciSize>
    <XSciRef>1456.5</XSciRef>
    <YSciRef>32</YSciRef>
    <XSciScale>0.1</XSciScale>
    <YSciScale>0.1</YSciScale>
    <V2Ref>339.775902702933</V2Ref>
    <V3Ref>-484.412267418207</V3Ref>
    <V3IdlYAngle>131.5</V3IdlYAngle>
    <VIdlParity>-1</VIdlParity>
    <DetSciYAngle>0</DetSciYAngle>
    <DetSciParity>1</DetSciParity>
    <V3SciXAngle>41.5</V3SciXAngle>
    <V3SciYAngle>131.5</V3SciYAngle>
    <XIdlVert1>-0.099</XIdlVert1>
    <XIdlVert2>0.099</XIdlVert2>
    <XIdlVert3>0.099</XIdlVert3>
    <XIdlVert4>-0.099</XIdlVert4>
    <YIdlVert1>-1.6775</YIdlVert1>
    <YIdlVert2>-1.6775</YIdlVert2>
    <YIdlVert3>1.6775</YIdlVert3>
    <YIdlVert4>1.6775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NRS_S400A1_SLITCNTR</AperName>
    <AperShape>QUAD</AperShape>
    <XDetSize>2048</XDetSize>
    <YDetSize>64</YDetSize>
    <XDetRef>1389.9</XDetRef>
    <YDetRef>1021</YDetRef>
    <XSciSize>4269</XSciSize>
    <YSciSize>64</YSciSize>
    <XSciRef>1389.9</XSciRef>
    <YSciRef>32</YSciRef>
    <XSciScale>0.1</XSciScale>
    <YSciScale>0.1</YSciScale>
    <V2Ref>329.820580847977</V2Ref>
    <V3Ref>-484.496924161866</V3Ref>
    <V3IdlYAngle>131.5</V3IdlYAngle>
    <VIdlParity>-1</VIdlParity>
    <DetSciYAngle>0</DetSciYAngle>
    <DetSciParity>1</DetSciParity>
    <V3SciXAngle>41.5</V3SciXAngle>
    <V3SciYAngle>131.5</V3SciYAngle>
    <XIdlVert1>-0.209</XIdlVert1>
    <XIdlVert2>0.209</XIdlVert2>
    <XIdlVert3>0.209</XIdlVert3>
    <XIdlVert4>-0.209</XIdlVert4>
    <YIdlVert1>-1.9415</YIdlVert1>
    <YIdlVert2>-1.9415</YIdlVert2>
    <YIdlVert3>1.9415</YIdlVert3>
    <YIdlVert4>1.9415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NRS_S200A2_SLITCNTR</AperName>
    <AperShape>QUAD</AperShape>
    <XDetSize>2048</XDetSize>
    <YDetSize>64</YDetSize>
    <XDetRef>1266</XDetRef>
    <YDetRef>1058.5</YDetRef>
    <XSciSize>4269</XSciSize>
    <YSciSize>64</YSciSize>
    <XSciRef>1266</XSciRef>
    <YSciRef>32</YSciRef>
    <XSciScale>0.1</XSciScale>
    <YSciScale>0.1</YSciScale>
    <V2Ref>324.419302403543</V2Ref>
    <V3Ref>-496.26131072325</V3Ref>
    <V3IdlYAngle>131.5</V3IdlYAngle>
    <VIdlParity>-1</VIdlParity>
    <DetSciYAngle>0</DetSciYAngle>
    <DetSciParity>1</DetSciParity>
    <V3SciXAngle>41.5</V3SciXAngle>
    <V3SciYAngle>131.5</V3SciYAngle>
    <XIdlVert1>-0.099</XIdlVert1>
    <XIdlVert2>0.099</XIdlVert2>
    <XIdlVert3>0.099</XIdlVert3>
    <XIdlVert4>-0.099</XIdlVert4>
    <YIdlVert1>-1.6775</YIdlVert1>
    <YIdlVert2>-1.6775</YIdlVert2>
    <YIdlVert3>1.6775</YIdlVert3>
    <YIdlVert4>1.6775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NRS_S1600A1_SLITCNTR</AperName>
    <AperShape>QUAD</AperShape>
    <XDetSize>2048</XDetSize>
    <YDetSize>32</YDetSize>
    <XDetRef>1414.5</XDetRef>
    <YDetRef>989.5</YDetRef>
    <XSciSize>4269</XSciSize>
    <YSciSize>32</YSciSize>
    <XSciRef>1414.5</XSciRef>
    <YSciRef>16</YSciRef>
    <XSciScale>0.1</XSciScale>
    <YSciScale>0.1</YSciScale>
    <V2Ref>329.091415646103</V2Ref>
    <V3Ref>-480.567239936845</V3Ref>
    <V3IdlYAngle>131.5</V3IdlYAngle>
    <VIdlParity>-1</VIdlParity>
    <DetSciYAngle>0</DetSciYAngle>
    <DetSciParity>1</DetSciParity>
    <V3SciXAngle>41.5</V3SciXAngle>
    <V3SciYAngle>131.5</V3SciYAngle>
    <XIdlVert1>-0.847</XIdlVert1>
    <XIdlVert2>0.847</XIdlVert2>
    <XIdlVert3>0.847</XIdlVert3>
    <XIdlVert4>-0.847</XIdlVert4>
    <YIdlVert1>-0.847</YIdlVert1>
    <YIdlVert2>-0.847</YIdlVert2>
    <YIdlVert3>0.847</YIdlVert3>
    <YIdlVert4>0.847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NRS_S200B1_SLITCNTR</AperName>
    <AperShape>QUAD</AperShape>
    <XDetSize>2048</XDetSize>
    <YDetSize>64</YDetSize>
    <XDetRef>790.7</XDetRef>
    <YDetRef>959.7</YDetRef>
    <XSciSize>4269</XSciSize>
    <YSciSize>64</YSciSize>
    <XSciRef>3478.3</XSciRef>
    <YSciRef>32</YSciRef>
    <XSciScale>0.1</XSciScale>
    <YSciScale>0.1</YSciScale>
    <V2Ref>432.725288990454</V2Ref>
    <V3Ref>-358.91249005598</V3Ref>
    <V3IdlYAngle>131.5</V3IdlYAngle>
    <VIdlParity>-1</VIdlParity>
    <DetSciYAngle>180</DetSciYAngle>
    <DetSciParity>1</DetSciParity>
    <V3SciXAngle>41.5</V3SciXAngle>
    <V3SciYAngle>131.5</V3SciYAngle>
    <XIdlVert1>-0.099</XIdlVert1>
    <XIdlVert2>0.099</XIdlVert2>
    <XIdlVert3>0.099</XIdlVert3>
    <XIdlVert4>-0.099</XIdlVert4>
    <YIdlVert1>-1.6775</YIdlVert1>
    <YIdlVert2>-1.6775</YIdlVert2>
    <YIdlVert3>1.6775</YIdlVert3>
    <YIdlVert4>1.6775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NRS_FULL_MSACNTR</AperName>
    <AperShape>QUAD</AperShape>
    <XDetSize>2130</XDetSize>
    <YDetSize>2104</YDetSize>
    <XDetRef>1065</XDetRef>
    <YDetRef>1052</YDetRef>
    <XSciSize>2130</XSciSize>
    <YSciSize>2104</YSciSize>
    <XSciRef>1065</XSciRef>
    <YSciRef>1052</YSciRef>
    <XSciScale>0.1</XSciScale>
    <YSciScale>0.1</YSciScale>
    <V2Ref>379.4</V2Ref>
    <V3Ref>-428.9</V3Ref>
    <V3IdlYAngle>131.5</V3IdlYAngle>
    <VIdlParity>-1</VIdlParity>
    <DetSciYAngle>0</DetSciYAngle>
    <DetSciParity>-1</DetSciParity>
    <V3SciXAngle>41.5</V3SciXAngle>
    <V3SciYAngle>131.5</V3SciYAngle>
    <XIdlVert1>-106.45</XIdlVert1>
    <XIdlVert2>106.55</XIdlVert2>
    <XIdlVert3>106.55</XIdlVert3>
    <XIdlVert4>-106.45</XIdlVert4>
    <YIdlVert1>-105.15</YIdlVert1>
    <YIdlVert2>-105.15</YIdlVert2>
    <YIdlVert3>105.25</YIdlVert3>
    <YIdlVert4>105.25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NRS_FULL_MSA1CNTR</AperName>
    <AperShape>QUAD</AperShape>
    <XDetSize>2130</XDetSize>
    <YDetSize>2104</YDetSize>
    <XDetRef>1655</XDetRef>
    <YDetRef>1668</YDetRef>
    <XSciSize>950</XSciSize>
    <YSciSize>872</YSciSize>
    <XSciRef>475</XSciRef>
    <YSciRef>436</YSciRef>
    <XSciScale>0.1</XSciScale>
    <YSciScale>0.1</YSciScale>
    <V2Ref>464.630255245331</V2Ref>
    <V3Ref>-425.529007443538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NRS_FULL_MSA2CNTR</AperName>
    <AperShape>QUAD</AperShape>
    <XDetSize>2130</XDetSize>
    <YDetSize>2104</YDetSize>
    <XDetRef>1655</XDetRef>
    <YDetRef>436</YDetRef>
    <XSciSize>950</XSciSize>
    <YSciSize>872</YSciSize>
    <XSciRef>475</XSciRef>
    <YSciRef>436</YSciRef>
    <XSciScale>0.1</XSciScale>
    <YSciScale>0.1</YSciScale>
    <V2Ref>372.358910444126</V2Ref>
    <V3Ref>-343.894217503359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NRS_FULL_MSA3CNTR</AperName>
    <AperShape>QUAD</AperShape>
    <XDetSize>2130</XDetSize>
    <YDetSize>2104</YDetSize>
    <XDetRef>475</XDetRef>
    <YDetRef>1668</YDetRef>
    <XSciSize>950</XSciSize>
    <YSciSize>872</YSciSize>
    <XSciRef>475</XSciRef>
    <YSciRef>436</YSciRef>
    <XSciScale>0.1</XSciScale>
    <YSciScale>0.1</YSciScale>
    <V2Ref>386.441089555874</V2Ref>
    <V3Ref>-513.905782496641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  <SiafEntry>
    <InstrName>NIRSPEC</InstrName>
    <AperName>NRS_FULL_MSA4CNTR</AperName>
    <AperShape>QUAD</AperShape>
    <XDetSize>2130</XDetSize>
    <YDetSize>2104</YDetSize>
    <XDetRef>475</XDetRef>
    <YDetRef>436</YDetRef>
    <XSciSize>950</XSciSize>
    <YSciSize>872</YSciSize>
    <XSciRef>475</XSciRef>
    <YSciRef>436</YSciRef>
    <XSciScale>0.1</XSciScale>
    <YSciScale>0.1</YSciScale>
    <V2Ref>294.169744754669</V2Ref>
    <V3Ref>-432.270992556462</V3Ref>
    <V3IdlYAngle>131.5</V3IdlYAngle>
    <VIdlParity>-1</VIdlParity>
    <DetSciYAngle>0</DetSciYAngle>
    <DetSciParity>-1</DetSciParity>
    <V3SciXAngle>41.5</V3SciXAngle>
    <V3SciYAngle>131.5</V3SciYAngle>
    <XIdlVert1>-47.45</XIdlVert1>
    <XIdlVert2>47.55</XIdlVert2>
    <XIdlVert3>47.55</XIdlVert3>
    <XIdlVert4>-47.45</XIdlVert4>
    <YIdlVert1>-43.55</YIdlVert1>
    <YIdlVert2>-43.55</YIdlVert2>
    <YIdlVert3>43.65</YIdlVert3>
    <YIdlVert4>43.65</YIdlVert4>
    <UseAfterDate/>
    <Comment/>
    <Sci2IdlDeg>2</Sci2IdlDeg>
    <Sci2IdlX10>0.1</Sci2IdlX10>
    <Sci2IdlX11>0</Sci2IdlX11>
    <Sci2IdlX20>0</Sci2IdlX20>
    <Sci2IdlX21>0</Sci2IdlX21>
    <Sci2IdlX22>0</Sci2IdlX22>
    <Sci2IdlX30/>
    <Sci2IdlX31/>
    <Sci2IdlX32/>
    <Sci2IdlX33/>
    <Sci2IdlX40/>
    <Sci2IdlX41/>
    <Sci2IdlX42/>
    <Sci2IdlX43/>
    <Sci2IdlX44/>
    <Sci2IdlX50/>
    <Sci2IdlX51/>
    <Sci2IdlX52/>
    <Sci2IdlX53/>
    <Sci2IdlX54/>
    <Sci2IdlX55/>
    <Sci2IdlY10>0</Sci2IdlY10>
    <Sci2IdlY11>0.1</Sci2IdlY11>
    <Sci2IdlY20>0</Sci2IdlY20>
    <Sci2IdlY21>0</Sci2IdlY21>
    <Sci2IdlY22>0</Sci2IdlY22>
    <Sci2IdlY30/>
    <Sci2IdlY31/>
    <Sci2IdlY32/>
    <Sci2IdlY33/>
    <Sci2IdlY40/>
    <Sci2IdlY41/>
    <Sci2IdlY42/>
    <Sci2IdlY43/>
    <Sci2IdlY44/>
    <Sci2IdlY50/>
    <Sci2IdlY51/>
    <Sci2IdlY52/>
    <Sci2IdlY53/>
    <Sci2IdlY54/>
    <Sci2IdlY55/>
    <Idl2SciX10>10</Idl2SciX10>
    <Idl2SciX11>0</Idl2SciX11>
    <Idl2SciX20>0</Idl2SciX20>
    <Idl2SciX21>0</Idl2SciX21>
    <Idl2SciX22>0</Idl2SciX22>
    <Idl2SciX30/>
    <Idl2SciX31/>
    <Idl2SciX32/>
    <Idl2SciX33/>
    <Idl2SciX40/>
    <Idl2SciX41/>
    <Idl2SciX42/>
    <Idl2SciX43/>
    <Idl2SciX44/>
    <Idl2SciX50/>
    <Idl2SciX51/>
    <Idl2SciX52/>
    <Idl2SciX53/>
    <Idl2SciX54/>
    <Idl2SciX55/>
    <Idl2SciY10>0</Idl2SciY10>
    <Idl2SciY11>10</Idl2SciY11>
    <Idl2SciY20>0</Idl2SciY20>
    <Idl2SciY21>0</Idl2SciY21>
    <Idl2SciY22>0</Idl2SciY22>
    <Idl2SciY30/>
    <Idl2SciY31/>
    <Idl2SciY32/>
    <Idl2SciY33/>
    <Idl2SciY40/>
    <Idl2SciY41/>
    <Idl2SciY42/>
    <Idl2SciY43/>
    <Idl2SciY44/>
    <Idl2SciY50/>
    <Idl2SciY51/>
    <Idl2SciY52/>
    <Idl2SciY53/>
    <Idl2SciY54/>
    <Idl2SciY55/>
  </SiafEntry>
</SiafEntries>
</file>

<file path=customXml/itemProps1.xml><?xml version="1.0" encoding="utf-8"?>
<ds:datastoreItem xmlns:ds="http://schemas.openxmlformats.org/officeDocument/2006/customXml" ds:itemID="{276B530D-4DD7-4C58-88E4-F7259CEA06C8}">
  <ds:schemaRefs/>
</ds:datastoreItem>
</file>

<file path=customXml/itemProps2.xml><?xml version="1.0" encoding="utf-8"?>
<ds:datastoreItem xmlns:ds="http://schemas.openxmlformats.org/officeDocument/2006/customXml" ds:itemID="{604B818D-601E-440A-AC05-89B5D3866C88}">
  <ds:schemaRefs/>
</ds:datastoreItem>
</file>

<file path=customXml/itemProps3.xml><?xml version="1.0" encoding="utf-8"?>
<ds:datastoreItem xmlns:ds="http://schemas.openxmlformats.org/officeDocument/2006/customXml" ds:itemID="{57571C65-9830-4BE1-A0E0-8755E50FBDE4}">
  <ds:schemaRefs/>
</ds:datastoreItem>
</file>

<file path=customXml/itemProps4.xml><?xml version="1.0" encoding="utf-8"?>
<ds:datastoreItem xmlns:ds="http://schemas.openxmlformats.org/officeDocument/2006/customXml" ds:itemID="{030FC84F-5AA9-4EB0-A5E4-205B5FC0F1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SIAF</vt:lpstr>
      <vt:lpstr>Calc</vt:lpstr>
      <vt:lpstr>DDC</vt:lpstr>
      <vt:lpstr>XML</vt:lpstr>
      <vt:lpstr>Slits</vt:lpstr>
      <vt:lpstr>GWA</vt:lpstr>
      <vt:lpstr>Plot</vt:lpstr>
    </vt:vector>
  </TitlesOfParts>
  <Company>STScI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Cox</dc:creator>
  <cp:lastModifiedBy>Microsoft Office User</cp:lastModifiedBy>
  <cp:lastPrinted>2014-01-16T19:05:14Z</cp:lastPrinted>
  <dcterms:created xsi:type="dcterms:W3CDTF">2012-10-29T19:20:29Z</dcterms:created>
  <dcterms:modified xsi:type="dcterms:W3CDTF">2018-04-13T01:41:17Z</dcterms:modified>
</cp:coreProperties>
</file>