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80\Documents\Bonsai\Github repo\"/>
    </mc:Choice>
  </mc:AlternateContent>
  <xr:revisionPtr revIDLastSave="0" documentId="13_ncr:1_{D3A28332-5482-4E16-BE9D-7B2E6E69291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Sheet1!$B$9:$K$60</definedName>
    <definedName name="Attd">Sheet1!$C$3</definedName>
    <definedName name="NKit">Sheet1!$G$11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I44" i="1" s="1"/>
  <c r="D53" i="1"/>
  <c r="D52" i="1"/>
  <c r="D35" i="1"/>
  <c r="G41" i="1"/>
  <c r="G42" i="1"/>
  <c r="G43" i="1"/>
  <c r="D21" i="1"/>
  <c r="G56" i="1"/>
  <c r="G55" i="1"/>
  <c r="G54" i="1"/>
  <c r="D20" i="1"/>
  <c r="D14" i="1"/>
  <c r="G14" i="1" s="1"/>
  <c r="G53" i="1"/>
  <c r="H53" i="1" s="1"/>
  <c r="G52" i="1"/>
  <c r="D11" i="1"/>
  <c r="G27" i="1"/>
  <c r="D18" i="1"/>
  <c r="G25" i="1"/>
  <c r="G18" i="1"/>
  <c r="G11" i="1"/>
  <c r="D10" i="1"/>
  <c r="G10" i="1" s="1"/>
  <c r="G31" i="1"/>
  <c r="G32" i="1"/>
  <c r="G26" i="1"/>
  <c r="D19" i="1"/>
  <c r="G19" i="1" s="1"/>
  <c r="G48" i="1"/>
  <c r="G49" i="1"/>
  <c r="G30" i="1"/>
  <c r="G29" i="1"/>
  <c r="G50" i="1"/>
  <c r="G47" i="1"/>
  <c r="G46" i="1"/>
  <c r="G45" i="1"/>
  <c r="G40" i="1"/>
  <c r="I40" i="1" s="1"/>
  <c r="G39" i="1"/>
  <c r="I39" i="1" s="1"/>
  <c r="G37" i="1"/>
  <c r="D34" i="1"/>
  <c r="G17" i="1"/>
  <c r="G36" i="1"/>
  <c r="G35" i="1"/>
  <c r="H35" i="1" s="1"/>
  <c r="G38" i="1"/>
  <c r="G34" i="1"/>
  <c r="H34" i="1" s="1"/>
  <c r="D13" i="1"/>
  <c r="G13" i="1" s="1"/>
  <c r="D12" i="1"/>
  <c r="G12" i="1" s="1"/>
  <c r="J44" i="1" l="1"/>
  <c r="H44" i="1"/>
  <c r="J12" i="1"/>
  <c r="H12" i="1"/>
  <c r="J13" i="1"/>
  <c r="H13" i="1"/>
  <c r="J38" i="1"/>
  <c r="H38" i="1"/>
  <c r="J36" i="1"/>
  <c r="H36" i="1"/>
  <c r="J17" i="1"/>
  <c r="H17" i="1"/>
  <c r="J37" i="1"/>
  <c r="H37" i="1"/>
  <c r="J39" i="1"/>
  <c r="H39" i="1"/>
  <c r="J40" i="1"/>
  <c r="H40" i="1"/>
  <c r="J45" i="1"/>
  <c r="H45" i="1"/>
  <c r="J46" i="1"/>
  <c r="H46" i="1"/>
  <c r="J47" i="1"/>
  <c r="H47" i="1"/>
  <c r="J50" i="1"/>
  <c r="H50" i="1"/>
  <c r="J29" i="1"/>
  <c r="H29" i="1"/>
  <c r="J30" i="1"/>
  <c r="H30" i="1"/>
  <c r="J49" i="1"/>
  <c r="H49" i="1"/>
  <c r="J48" i="1"/>
  <c r="H48" i="1"/>
  <c r="J19" i="1"/>
  <c r="H19" i="1"/>
  <c r="J26" i="1"/>
  <c r="H26" i="1"/>
  <c r="J32" i="1"/>
  <c r="H32" i="1"/>
  <c r="J31" i="1"/>
  <c r="H31" i="1"/>
  <c r="J10" i="1"/>
  <c r="H10" i="1"/>
  <c r="J11" i="1"/>
  <c r="H11" i="1"/>
  <c r="J18" i="1"/>
  <c r="H18" i="1"/>
  <c r="J25" i="1"/>
  <c r="H25" i="1"/>
  <c r="J27" i="1"/>
  <c r="H27" i="1"/>
  <c r="J52" i="1"/>
  <c r="H52" i="1"/>
  <c r="J14" i="1"/>
  <c r="H14" i="1"/>
  <c r="J54" i="1"/>
  <c r="H54" i="1"/>
  <c r="J55" i="1"/>
  <c r="H55" i="1"/>
  <c r="J56" i="1"/>
  <c r="H56" i="1"/>
  <c r="J43" i="1"/>
  <c r="H43" i="1"/>
  <c r="J42" i="1"/>
  <c r="H42" i="1"/>
  <c r="J41" i="1"/>
  <c r="H41" i="1"/>
  <c r="I34" i="1"/>
  <c r="J34" i="1" s="1"/>
  <c r="I35" i="1"/>
  <c r="J35" i="1" s="1"/>
  <c r="G21" i="1"/>
  <c r="G24" i="1"/>
  <c r="D15" i="1"/>
  <c r="I53" i="1"/>
  <c r="J53" i="1" s="1"/>
  <c r="D23" i="1"/>
  <c r="D22" i="1"/>
  <c r="D16" i="1"/>
  <c r="G16" i="1" s="1"/>
  <c r="G15" i="1"/>
  <c r="G23" i="1"/>
  <c r="G22" i="1"/>
  <c r="G20" i="1"/>
  <c r="J20" i="1" l="1"/>
  <c r="H20" i="1"/>
  <c r="J22" i="1"/>
  <c r="H22" i="1"/>
  <c r="J23" i="1"/>
  <c r="H23" i="1"/>
  <c r="J15" i="1"/>
  <c r="H15" i="1"/>
  <c r="J16" i="1"/>
  <c r="H16" i="1"/>
  <c r="J24" i="1"/>
  <c r="H24" i="1"/>
  <c r="J21" i="1"/>
  <c r="H21" i="1"/>
  <c r="C6" i="1" l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44780</author>
    <author>AJL</author>
  </authors>
  <commentList>
    <comment ref="E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 use Ryman A4 transparent letter trays</t>
        </r>
      </text>
    </comment>
    <comment ref="F1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…Or equivalent - e.g. a table with plastic sheeting laid out</t>
        </r>
      </text>
    </comment>
    <comment ref="D1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This is not essential; I'm just trying to use this workshop as a jumping-off point for building out WG's bonsai capabilities</t>
        </r>
      </text>
    </comment>
    <comment ref="I1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https://www.herons.co.uk/14254-All-In-One-Basic-Bonsai-Tool-Kit-
Good kit - only essentials it's really missing are the wire-cutters and jin pliers</t>
        </r>
      </text>
    </comment>
    <comment ref="E1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 went through a Chinese Takeaway phase; still got enough chopsticks to last until doomsday!</t>
        </r>
      </text>
    </comment>
    <comment ref="E1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Bought a large pack a while back; no danger of running out.</t>
        </r>
      </text>
    </comment>
    <comment ref="E14" authorId="1" shapeId="0" xr:uid="{512377B9-B90A-48CF-8BDE-EF49572996A6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Whilst I have toothbrushes, they're all "pre-loved" which is unlikely to be appreciated by attendees!</t>
        </r>
      </text>
    </comment>
    <comment ref="I14" authorId="1" shapeId="0" xr:uid="{2B0B6534-6A86-4256-97BD-08A10041585A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…ish</t>
        </r>
      </text>
    </comment>
    <comment ref="E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2x Superdrug nail scissors</t>
        </r>
      </text>
    </comment>
    <comment ref="F1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These may be used for root-pruning in stony soil, so the cutting edge may take a battering.  That aside, small pruning shears or nail scissors are fine.</t>
        </r>
      </text>
    </comment>
    <comment ref="E16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1x heavy-duty scissors/shears
1x bonsai root shears
(Also 1x bonsai pruning shears, but I'd like to keep those pristine…)</t>
        </r>
      </text>
    </comment>
    <comment ref="F1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These may be used for root-pruning in stony soil, so the cutting edge may take a battering.  That aside, large pruning shears or secateurs are fine.</t>
        </r>
      </text>
    </comment>
    <comment ref="C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Substitutes for traditional root hook.
Only really needed if someone brings their own pot-bound bonsai in… but </t>
        </r>
        <r>
          <rPr>
            <i/>
            <sz val="9"/>
            <color indexed="81"/>
            <rFont val="Tahoma"/>
            <family val="2"/>
          </rPr>
          <t>really</t>
        </r>
        <r>
          <rPr>
            <sz val="9"/>
            <color indexed="81"/>
            <rFont val="Tahoma"/>
            <family val="2"/>
          </rPr>
          <t xml:space="preserve"> needed in that case!</t>
        </r>
      </text>
    </comment>
    <comment ref="E1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1x terrifying-looking asparagus trimmer (seriously, it looks like something out of a slasher film…)</t>
        </r>
      </text>
    </comment>
    <comment ref="E18" authorId="1" shapeId="0" xr:uid="{410C94B4-3CC9-4C7B-9FF5-2D0A7840BEAF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Can be improvised from hacked-about plastic bottles</t>
        </r>
      </text>
    </comment>
    <comment ref="F18" authorId="1" shapeId="0" xr:uid="{8C1CA977-104F-4E3D-A5B1-40EF36D2129A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I'm assuming you have at least a couple of "real" scoops lying around?</t>
        </r>
      </text>
    </comment>
    <comment ref="D19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Soil mix: 1
Sphagnum rehydration: 1
Drench watering: 1</t>
        </r>
      </text>
    </comment>
    <comment ref="F1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I'm assuming you're not short on buckets!</t>
        </r>
      </text>
    </comment>
    <comment ref="C20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Substitutes for traditional jin pliers</t>
        </r>
      </text>
    </comment>
    <comment ref="I20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E.g. https://cpc.farnell.com/duratool/d00119/pliers-mini-long-nose/dp/TL10328</t>
        </r>
      </text>
    </comment>
    <comment ref="C2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Note: bonsai wire cutters need to be able to cut very finely (close to a pot); electrician's wire-cutters may not be appropriate</t>
        </r>
      </text>
    </comment>
    <comment ref="I21" authorId="1" shapeId="0" xr:uid="{4DF56BE7-BC91-422B-91D6-E0874F88D144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E.g. https://www.thecakedecoratingcompany.co.uk/pme-sugarcraft-wire-cutters-p7125/s7136?cid=GBP&amp;glCurrency=GBP&amp;glCountry=GB&amp;msclkid=b36400d1d39e104f27b164cbf1a1d18e&amp;utm_source=bing&amp;utm_medium=cpc&amp;utm_campaign=SS%7C%7CTools%20%26%20Equipment&amp;utm_term=4587849713086048&amp;utm_content=SS%7C%7CTools%20%26%20Equipment</t>
        </r>
      </text>
    </comment>
    <comment ref="C23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 find these are rarely necessary</t>
        </r>
      </text>
    </comment>
    <comment ref="E23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…hence why it's the one standard tool I don't own!</t>
        </r>
      </text>
    </comment>
    <comment ref="C24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For demonstration purposes only</t>
        </r>
      </text>
    </comment>
    <comment ref="C25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For removing stupidly large branches/roots</t>
        </r>
      </text>
    </comment>
    <comment ref="C26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For use with tile bit if anyone needs a pot drilled out - stops the china cracking</t>
        </r>
      </text>
    </comment>
    <comment ref="C27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For use with lime sulphate</t>
        </r>
      </text>
    </comment>
    <comment ref="B2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Probably</t>
        </r>
        <r>
          <rPr>
            <sz val="9"/>
            <color indexed="81"/>
            <rFont val="Tahoma"/>
            <family val="2"/>
          </rPr>
          <t xml:space="preserve"> just for demonstration purposes</t>
        </r>
      </text>
    </comment>
    <comment ref="C30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In case anyone brings in a china pot or similar that they want bonsai'd</t>
        </r>
      </text>
    </comment>
    <comment ref="D32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Rough estimate - I'll bring a selection</t>
        </r>
      </text>
    </comment>
    <comment ref="C3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Mesh wiring: 10cm per attendee
Trunk wiring: 25cm per attendee
Branch wiring (thick): 50cm per ~3 attendees
Contingency: 2m</t>
        </r>
      </text>
    </comment>
    <comment ref="D34" authorId="1" shapeId="0" xr:uid="{7F5DFB2A-F344-42D5-93DC-A11283A3A8B9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Mesh wiring + trunk wiring + heavy-branch wiring (1/3 attendees est) + contingency</t>
        </r>
      </text>
    </comment>
    <comment ref="E3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I'm happy for my supplies to be used as contingency, but this really should be covered by WG</t>
        </r>
      </text>
    </comment>
    <comment ref="I34" authorId="1" shapeId="0" xr:uid="{0EE8306A-4849-49B7-98FA-8EA890E9DEB2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E.g. https://www.amazon.co.uk/100grms-of-2-0mm-Bonsai-wire/dp/B000MWXN9Q - £6 for 12m</t>
        </r>
      </text>
    </comment>
    <comment ref="D35" authorId="1" shapeId="0" xr:uid="{133537D4-8C67-4A6D-9E1B-771B9AD41C3C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Pot ties + light-branch wiring (2/3 of attendees) + contingency</t>
        </r>
      </text>
    </comment>
    <comment ref="E35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I'm happy for my supplies to be used as contingency, but this really should be covered by WG</t>
        </r>
      </text>
    </comment>
    <comment ref="I35" authorId="1" shapeId="0" xr:uid="{CE7259EB-AD48-4D08-AD0C-104F45726770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E.g. https://bonsai2u.co.uk/p/bonsai-wire-100gram-1-5mm/ - £5 for 11m</t>
        </r>
      </text>
    </comment>
    <comment ref="C36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Probably</t>
        </r>
        <r>
          <rPr>
            <sz val="9"/>
            <color indexed="81"/>
            <rFont val="Tahoma"/>
            <family val="2"/>
          </rPr>
          <t xml:space="preserve"> won't use this outside of demonstrations, but it'd be helpful to have some just in case</t>
        </r>
      </text>
    </comment>
    <comment ref="E36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I'm happy for my supplies to be used as contingency, but this really should be covered by WG</t>
        </r>
      </text>
    </comment>
    <comment ref="C37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Probably</t>
        </r>
        <r>
          <rPr>
            <sz val="9"/>
            <color indexed="81"/>
            <rFont val="Tahoma"/>
            <family val="2"/>
          </rPr>
          <t xml:space="preserve"> won't use this outside of demonstrations, but it'd be helpful to have some just in case</t>
        </r>
      </text>
    </comment>
    <comment ref="E37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I'm happy for my supplies to be used as contingency, but this really should be covered by WG</t>
        </r>
      </text>
    </comment>
    <comment ref="D3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A single sheet goes quite a long way; the second is mostly in case the first gets mislaid mid-session</t>
        </r>
      </text>
    </comment>
    <comment ref="E38" authorId="1" shapeId="0" xr:uid="{A0E6ABD4-6196-484D-AA80-C893689EBF32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This is a pain to buy in small quantities so I'll eat the cost</t>
        </r>
      </text>
    </comment>
    <comment ref="E39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I'm happy for my supplies to be used as contingency, but this really should be covered by WG</t>
        </r>
      </text>
    </comment>
    <comment ref="I39" authorId="1" shapeId="0" xr:uid="{EB9EB9A3-2E9B-43D5-B04F-7E847056696C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https://www.herons.co.uk/Akadama-Bonsai-Soil-14L-Heat-Treated</t>
        </r>
      </text>
    </comment>
    <comment ref="E40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I'm happy for my supplies to be used as contingency, but this really should be covered by WG</t>
        </r>
      </text>
    </comment>
    <comment ref="I40" authorId="1" shapeId="0" xr:uid="{A929E8AF-F90F-46B0-8222-5A8636C82F66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https://www.woodsidecacti.co.uk/ourshop/prod_6829064-Horticultural-Pumice-3-litres.html</t>
        </r>
      </text>
    </comment>
    <comment ref="D41" authorId="1" shapeId="0" xr:uid="{0A8F9308-A8F8-4144-B524-D81E4EF3872C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Primarily for demo purposes</t>
        </r>
      </text>
    </comment>
    <comment ref="C42" authorId="1" shapeId="0" xr:uid="{DAF84588-F4E2-47FF-8F4A-8E94A80C7C11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Biogold wedges or Naruko granules</t>
        </r>
      </text>
    </comment>
    <comment ref="E42" authorId="1" shapeId="0" xr:uid="{3A76E6A2-BF88-45A8-85A5-00563D58A4C1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This is a pain to buy in small quantities so I'll eat the cost</t>
        </r>
      </text>
    </comment>
    <comment ref="D43" authorId="1" shapeId="0" xr:uid="{5A18125E-496A-4DE8-83B9-0B8868BBFFF7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Primarily for demo purposes</t>
        </r>
      </text>
    </comment>
    <comment ref="D44" authorId="1" shapeId="0" xr:uid="{DDDAC714-84F2-4701-8935-204622698049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Primarily for demo purposes</t>
        </r>
      </text>
    </comment>
    <comment ref="I44" authorId="1" shapeId="0" xr:uid="{6911F121-F330-4BFC-B871-3AD915A38FDC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https://www.herons.co.uk/Moss-small-bag</t>
        </r>
      </text>
    </comment>
    <comment ref="E45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Source: my apartment block's roof!</t>
        </r>
      </text>
    </comment>
    <comment ref="D4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Demo purpose only</t>
        </r>
      </text>
    </comment>
    <comment ref="D47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Primarily for demo purposes</t>
        </r>
      </text>
    </comment>
    <comment ref="C48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Neem oil: 5 parts
Washing-up liquid: 5 parts
Warm water: 1000 parts</t>
        </r>
      </text>
    </comment>
    <comment ref="D48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Emergency pest control only - we'll be careful not to use it where it can harm WG's ecosystem</t>
        </r>
      </text>
    </comment>
    <comment ref="D4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Demo purpose only</t>
        </r>
      </text>
    </comment>
    <comment ref="D50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Demo purpose only</t>
        </r>
      </text>
    </comment>
    <comment ref="C52" authorId="1" shapeId="0" xr:uid="{C25E19AA-52AF-476E-913E-F52F367C91AE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https://www.woodlodge.co.uk/products/hh12-outer-5in-spang-half-pot?variant=40351613878408
The Tool Shop near Waterloo sometimes stocks these.</t>
        </r>
      </text>
    </comment>
    <comment ref="D52" authorId="1" shapeId="0" xr:uid="{B5754946-D9AC-4B3B-B666-7305E4D5C321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Assume half of attendees will pick a tree that can't immediately be repotted into a display pot</t>
        </r>
      </text>
    </comment>
    <comment ref="I52" authorId="1" shapeId="0" xr:uid="{3F59980F-EF98-450C-ABE7-E1548E7B289C}">
      <text>
        <r>
          <rPr>
            <b/>
            <sz val="9"/>
            <color indexed="81"/>
            <rFont val="Tahoma"/>
            <charset val="1"/>
          </rPr>
          <t>AJL:</t>
        </r>
        <r>
          <rPr>
            <sz val="9"/>
            <color indexed="81"/>
            <rFont val="Tahoma"/>
            <charset val="1"/>
          </rPr>
          <t xml:space="preserve">
Based on previous experience
Available from PlantSocietree round the corner</t>
        </r>
      </text>
    </comment>
    <comment ref="D53" authorId="1" shapeId="0" xr:uid="{A2194091-7D5A-4C6F-B039-D6CB6DC7F294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Make a cheap display pot available for each attendee</t>
        </r>
      </text>
    </comment>
    <comment ref="I53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AJL:</t>
        </r>
        <r>
          <rPr>
            <sz val="9"/>
            <color indexed="81"/>
            <rFont val="Tahoma"/>
            <family val="2"/>
          </rPr>
          <t xml:space="preserve">
https://www.herons.co.uk/Blue-Pots-3-for-10
https://www.herons.co.uk/Green-Glazed-Bonsai-Pot--3-for-10</t>
        </r>
      </text>
    </comment>
  </commentList>
</comments>
</file>

<file path=xl/sharedStrings.xml><?xml version="1.0" encoding="utf-8"?>
<sst xmlns="http://schemas.openxmlformats.org/spreadsheetml/2006/main" count="114" uniqueCount="79">
  <si>
    <t># needed</t>
  </si>
  <si>
    <t># to buy</t>
  </si>
  <si>
    <t>Unit price</t>
  </si>
  <si>
    <t>Attendees</t>
  </si>
  <si>
    <t>Category</t>
  </si>
  <si>
    <t>Description</t>
  </si>
  <si>
    <t>Budget rqd</t>
  </si>
  <si>
    <t>Scissors/shears - large</t>
  </si>
  <si>
    <t>Comment</t>
  </si>
  <si>
    <t># from WG</t>
  </si>
  <si>
    <t>Garden knife</t>
  </si>
  <si>
    <t>Key</t>
  </si>
  <si>
    <t>Wire - 2mm anodised al'm</t>
  </si>
  <si>
    <t>Est. budget</t>
  </si>
  <si>
    <t>Static formula</t>
  </si>
  <si>
    <t>Non-numeric info</t>
  </si>
  <si>
    <t>Mesh</t>
  </si>
  <si>
    <t>N/a</t>
  </si>
  <si>
    <t>Wire - 1.5mm anodised al'm</t>
  </si>
  <si>
    <t>Wire - 1mm anodised al'm</t>
  </si>
  <si>
    <t>Wire - 3.5mm anodised al'm</t>
  </si>
  <si>
    <t>Akadama</t>
  </si>
  <si>
    <t>Horticultural pumice</t>
  </si>
  <si>
    <t>Live moss</t>
  </si>
  <si>
    <t>Consumables</t>
  </si>
  <si>
    <t>Wound sealant</t>
  </si>
  <si>
    <t>Camellia oil</t>
  </si>
  <si>
    <t># from Alex</t>
  </si>
  <si>
    <t>Lime sulphate</t>
  </si>
  <si>
    <t>Cordless drill</t>
  </si>
  <si>
    <t>Power tools</t>
  </si>
  <si>
    <t>Bucket</t>
  </si>
  <si>
    <t>Fertiliser - liquid</t>
  </si>
  <si>
    <t>Pesticide - neem oil (conc.)</t>
  </si>
  <si>
    <t>Pesticide - neem oil (mixed)</t>
  </si>
  <si>
    <t>Bonsai chopstick</t>
  </si>
  <si>
    <t>Barbecue stick</t>
  </si>
  <si>
    <t>Electrician's tape</t>
  </si>
  <si>
    <t>Diamond hole saw - 16mm</t>
  </si>
  <si>
    <t>Dremel</t>
  </si>
  <si>
    <t>Dead-wood drill bits/burrs</t>
  </si>
  <si>
    <t>Hand tools</t>
  </si>
  <si>
    <t>Soil scoop</t>
  </si>
  <si>
    <t>Workspace tray</t>
  </si>
  <si>
    <t>Standard bonsai tool-kit</t>
  </si>
  <si>
    <t>Hand saw</t>
  </si>
  <si>
    <t>Branch cutter</t>
  </si>
  <si>
    <t>Knob cutter</t>
  </si>
  <si>
    <t>Pots</t>
  </si>
  <si>
    <t>Paintbrush</t>
  </si>
  <si>
    <t>Buy a toolkit?</t>
  </si>
  <si>
    <t>Yes</t>
  </si>
  <si>
    <t>Wire cutters</t>
  </si>
  <si>
    <t>Alex input (including ad-hoc formulae)</t>
  </si>
  <si>
    <t>WG input / confirmation required</t>
  </si>
  <si>
    <t>Ceramic - basic glazed 10-20cm</t>
  </si>
  <si>
    <t>Ceramic - glazed misc sizes</t>
  </si>
  <si>
    <t>Ceramic - unglazed misc sizes</t>
  </si>
  <si>
    <t>Scissors/shears/snips - small</t>
  </si>
  <si>
    <t>Toothbrush</t>
  </si>
  <si>
    <t>Trunk splitter</t>
  </si>
  <si>
    <t>Suggested pots are pre-used but should be fine</t>
  </si>
  <si>
    <t>Ceramic - improvised</t>
  </si>
  <si>
    <t>Display / recording</t>
  </si>
  <si>
    <t>Display stand</t>
  </si>
  <si>
    <t>Rock</t>
  </si>
  <si>
    <t>Accent plant</t>
  </si>
  <si>
    <t>Long-nosed pliers</t>
  </si>
  <si>
    <t>Fertiliser - solid</t>
  </si>
  <si>
    <t>Keto-tsuchi</t>
  </si>
  <si>
    <t>To do:</t>
  </si>
  <si>
    <t>Estimate needed soil volume</t>
  </si>
  <si>
    <t>Substitute unit prices w. internet sources</t>
  </si>
  <si>
    <t>Add delivery fees</t>
  </si>
  <si>
    <t>Terracotta half-pot - 5"</t>
  </si>
  <si>
    <t/>
  </si>
  <si>
    <t>Visible</t>
  </si>
  <si>
    <t>Dried sphagnum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</si>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</sst>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=1]0\ &quot;sheet&quot;;[&lt;&gt;1]0\ &quot;sheets&quot;"/>
    <numFmt numFmtId="165" formatCode="[=0]&quot;-&quot;;[&gt;0]\ 0.00\ &quot;m&quot;"/>
    <numFmt numFmtId="166" formatCode="[=0]&quot;-&quot;;[&gt;0]\ 0.00\ &quot;kg&quot;"/>
    <numFmt numFmtId="167" formatCode="[=1]0\ &quot;pot&quot;;[&lt;&gt;1]0\ &quot;pots&quot;"/>
    <numFmt numFmtId="168" formatCode="[=1]0\ &quot;bottle&quot;;[&lt;&gt;1]0\ &quot;bottles&quot;"/>
    <numFmt numFmtId="169" formatCode="[=1]0\ &quot;tub&quot;;[&lt;&gt;1]0\ &quot;tub&quot;"/>
    <numFmt numFmtId="170" formatCode="[=0]&quot;-&quot;;[&gt;0]\ 0.00\ &quot;L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0" fillId="0" borderId="2" xfId="0" applyBorder="1"/>
    <xf numFmtId="164" fontId="0" fillId="3" borderId="0" xfId="0" applyNumberFormat="1" applyFill="1"/>
    <xf numFmtId="164" fontId="0" fillId="2" borderId="0" xfId="0" applyNumberFormat="1" applyFill="1"/>
    <xf numFmtId="4" fontId="0" fillId="3" borderId="0" xfId="0" applyNumberFormat="1" applyFill="1"/>
    <xf numFmtId="4" fontId="0" fillId="2" borderId="0" xfId="0" applyNumberFormat="1" applyFill="1"/>
    <xf numFmtId="165" fontId="0" fillId="3" borderId="0" xfId="0" applyNumberFormat="1" applyFill="1"/>
    <xf numFmtId="165" fontId="0" fillId="2" borderId="0" xfId="0" applyNumberFormat="1" applyFill="1"/>
    <xf numFmtId="166" fontId="0" fillId="3" borderId="0" xfId="0" applyNumberFormat="1" applyFill="1"/>
    <xf numFmtId="166" fontId="0" fillId="2" borderId="0" xfId="0" applyNumberFormat="1" applyFill="1"/>
    <xf numFmtId="167" fontId="0" fillId="3" borderId="0" xfId="0" applyNumberFormat="1" applyFill="1"/>
    <xf numFmtId="167" fontId="0" fillId="2" borderId="0" xfId="0" applyNumberFormat="1" applyFill="1"/>
    <xf numFmtId="168" fontId="0" fillId="3" borderId="0" xfId="0" applyNumberFormat="1" applyFill="1"/>
    <xf numFmtId="168" fontId="0" fillId="2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169" fontId="0" fillId="3" borderId="0" xfId="0" applyNumberFormat="1" applyFill="1"/>
    <xf numFmtId="170" fontId="0" fillId="3" borderId="0" xfId="0" applyNumberFormat="1" applyFill="1"/>
    <xf numFmtId="170" fontId="0" fillId="2" borderId="0" xfId="0" applyNumberFormat="1" applyFill="1"/>
    <xf numFmtId="0" fontId="0" fillId="0" borderId="0" xfId="0" quotePrefix="1"/>
    <xf numFmtId="170" fontId="7" fillId="3" borderId="0" xfId="0" applyNumberFormat="1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K60"/>
  <sheetViews>
    <sheetView tabSelected="1" workbookViewId="0">
      <selection activeCell="I40" sqref="I40"/>
    </sheetView>
  </sheetViews>
  <sheetFormatPr defaultRowHeight="15" x14ac:dyDescent="0.25"/>
  <cols>
    <col min="2" max="2" width="18.85546875" customWidth="1"/>
    <col min="3" max="3" width="30.28515625" customWidth="1"/>
    <col min="4" max="7" width="11.85546875" customWidth="1"/>
    <col min="8" max="8" width="11.85546875" hidden="1" customWidth="1"/>
    <col min="9" max="10" width="11.85546875" customWidth="1"/>
    <col min="11" max="11" width="37.85546875" customWidth="1"/>
    <col min="13" max="13" width="16.85546875" customWidth="1"/>
  </cols>
  <sheetData>
    <row r="2" spans="2:11" x14ac:dyDescent="0.25">
      <c r="E2" t="s">
        <v>70</v>
      </c>
      <c r="F2" t="s">
        <v>71</v>
      </c>
      <c r="K2" s="4" t="s">
        <v>11</v>
      </c>
    </row>
    <row r="3" spans="2:11" x14ac:dyDescent="0.25">
      <c r="B3" t="s">
        <v>3</v>
      </c>
      <c r="C3" s="21">
        <v>4</v>
      </c>
      <c r="F3" t="s">
        <v>72</v>
      </c>
      <c r="K3" s="5" t="s">
        <v>53</v>
      </c>
    </row>
    <row r="4" spans="2:11" x14ac:dyDescent="0.25">
      <c r="B4" t="s">
        <v>50</v>
      </c>
      <c r="C4" s="21" t="s">
        <v>51</v>
      </c>
      <c r="F4" t="s">
        <v>73</v>
      </c>
      <c r="K4" s="20" t="s">
        <v>54</v>
      </c>
    </row>
    <row r="5" spans="2:11" x14ac:dyDescent="0.25">
      <c r="B5" s="1"/>
      <c r="K5" s="6" t="s">
        <v>14</v>
      </c>
    </row>
    <row r="6" spans="2:11" x14ac:dyDescent="0.25">
      <c r="B6" t="s">
        <v>13</v>
      </c>
      <c r="C6" s="2">
        <f>SUM(J:J)</f>
        <v>158</v>
      </c>
      <c r="K6" s="7" t="s">
        <v>15</v>
      </c>
    </row>
    <row r="7" spans="2:11" x14ac:dyDescent="0.25">
      <c r="B7" t="s">
        <v>78</v>
      </c>
      <c r="C7" s="2">
        <f>85*Attd-C6</f>
        <v>182</v>
      </c>
    </row>
    <row r="9" spans="2:11" x14ac:dyDescent="0.25">
      <c r="B9" s="1" t="s">
        <v>4</v>
      </c>
      <c r="C9" s="1" t="s">
        <v>5</v>
      </c>
      <c r="D9" s="1" t="s">
        <v>0</v>
      </c>
      <c r="E9" s="1" t="s">
        <v>27</v>
      </c>
      <c r="F9" s="1" t="s">
        <v>9</v>
      </c>
      <c r="G9" s="1" t="s">
        <v>1</v>
      </c>
      <c r="H9" s="1" t="s">
        <v>76</v>
      </c>
      <c r="I9" s="1" t="s">
        <v>2</v>
      </c>
      <c r="J9" s="1" t="s">
        <v>6</v>
      </c>
      <c r="K9" s="1" t="s">
        <v>8</v>
      </c>
    </row>
    <row r="10" spans="2:11" hidden="1" x14ac:dyDescent="0.25">
      <c r="B10" s="27" t="s">
        <v>41</v>
      </c>
      <c r="C10" t="s">
        <v>43</v>
      </c>
      <c r="D10" s="3">
        <f>Attd</f>
        <v>4</v>
      </c>
      <c r="E10" s="3">
        <v>4</v>
      </c>
      <c r="F10" s="20">
        <v>2</v>
      </c>
      <c r="G10" s="2">
        <f>MAX(0,D10-E10-F10)</f>
        <v>0</v>
      </c>
      <c r="H10" s="2" t="b">
        <f>OR(F10&gt;0,G10&gt;0)</f>
        <v>1</v>
      </c>
      <c r="I10" s="10" t="s">
        <v>17</v>
      </c>
      <c r="J10" s="11">
        <f>IF(AND(G10&lt;&gt;"N/a",G10&gt;0),G10*I10,0)</f>
        <v>0</v>
      </c>
    </row>
    <row r="11" spans="2:11" x14ac:dyDescent="0.25">
      <c r="B11" s="27"/>
      <c r="C11" t="s">
        <v>44</v>
      </c>
      <c r="D11" s="3">
        <f>IF(C4="Yes",1,0)</f>
        <v>1</v>
      </c>
      <c r="E11" s="3"/>
      <c r="F11" s="3"/>
      <c r="G11" s="2">
        <f>MAX(0,D11-E11-F11)</f>
        <v>1</v>
      </c>
      <c r="H11" s="2" t="b">
        <f t="shared" ref="H11:H27" si="0">OR(F11&gt;0,G11&gt;0)</f>
        <v>1</v>
      </c>
      <c r="I11" s="10">
        <v>69</v>
      </c>
      <c r="J11" s="11">
        <f t="shared" ref="J11:J32" si="1">IF(AND(G11&lt;&gt;"N/a",G11&gt;0),G11*I11,0)</f>
        <v>69</v>
      </c>
    </row>
    <row r="12" spans="2:11" hidden="1" x14ac:dyDescent="0.25">
      <c r="B12" s="27"/>
      <c r="C12" t="s">
        <v>35</v>
      </c>
      <c r="D12" s="3">
        <f>Attd</f>
        <v>4</v>
      </c>
      <c r="E12" s="3">
        <v>50</v>
      </c>
      <c r="F12" s="3"/>
      <c r="G12" s="2">
        <f>MAX(0,D12-E12-F12)</f>
        <v>0</v>
      </c>
      <c r="H12" s="2" t="b">
        <f t="shared" si="0"/>
        <v>0</v>
      </c>
      <c r="I12" s="10" t="s">
        <v>17</v>
      </c>
      <c r="J12" s="11">
        <f t="shared" si="1"/>
        <v>0</v>
      </c>
    </row>
    <row r="13" spans="2:11" hidden="1" x14ac:dyDescent="0.25">
      <c r="B13" s="27"/>
      <c r="C13" t="s">
        <v>36</v>
      </c>
      <c r="D13" s="3">
        <f>Attd</f>
        <v>4</v>
      </c>
      <c r="E13" s="3">
        <v>50</v>
      </c>
      <c r="F13" s="3"/>
      <c r="G13" s="2">
        <f t="shared" ref="G13:G17" si="2">MAX(0,D13-E13-F13)</f>
        <v>0</v>
      </c>
      <c r="H13" s="2" t="b">
        <f t="shared" si="0"/>
        <v>0</v>
      </c>
      <c r="I13" s="10" t="s">
        <v>17</v>
      </c>
      <c r="J13" s="11">
        <f t="shared" si="1"/>
        <v>0</v>
      </c>
    </row>
    <row r="14" spans="2:11" x14ac:dyDescent="0.25">
      <c r="B14" s="27"/>
      <c r="C14" t="s">
        <v>59</v>
      </c>
      <c r="D14" s="3">
        <f>ROUND(Attd/2,0)</f>
        <v>2</v>
      </c>
      <c r="E14" s="3">
        <v>0</v>
      </c>
      <c r="F14" s="3"/>
      <c r="G14" s="2">
        <f t="shared" ref="G14" si="3">MAX(0,D14-E14-F14)</f>
        <v>2</v>
      </c>
      <c r="H14" s="2" t="b">
        <f t="shared" si="0"/>
        <v>1</v>
      </c>
      <c r="I14" s="10">
        <v>1</v>
      </c>
      <c r="J14" s="11">
        <f t="shared" si="1"/>
        <v>2</v>
      </c>
    </row>
    <row r="15" spans="2:11" hidden="1" x14ac:dyDescent="0.25">
      <c r="B15" s="27"/>
      <c r="C15" t="s">
        <v>58</v>
      </c>
      <c r="D15" s="3">
        <f>ROUND(Attd/2,0)-NKit*2</f>
        <v>0</v>
      </c>
      <c r="E15" s="3">
        <v>3</v>
      </c>
      <c r="F15" s="20">
        <v>1</v>
      </c>
      <c r="G15" s="2">
        <f t="shared" si="2"/>
        <v>0</v>
      </c>
      <c r="H15" s="2" t="b">
        <f t="shared" si="0"/>
        <v>1</v>
      </c>
      <c r="I15" s="10" t="s">
        <v>17</v>
      </c>
      <c r="J15" s="11">
        <f t="shared" si="1"/>
        <v>0</v>
      </c>
    </row>
    <row r="16" spans="2:11" hidden="1" x14ac:dyDescent="0.25">
      <c r="B16" s="27"/>
      <c r="C16" t="s">
        <v>7</v>
      </c>
      <c r="D16" s="3">
        <f>ROUND(Attd/3,0)-NKit</f>
        <v>0</v>
      </c>
      <c r="E16" s="3">
        <v>2</v>
      </c>
      <c r="F16" s="20">
        <v>1</v>
      </c>
      <c r="G16" s="2">
        <f t="shared" si="2"/>
        <v>0</v>
      </c>
      <c r="H16" s="2" t="b">
        <f t="shared" si="0"/>
        <v>1</v>
      </c>
      <c r="I16" s="10" t="s">
        <v>17</v>
      </c>
      <c r="J16" s="11">
        <f t="shared" si="1"/>
        <v>0</v>
      </c>
    </row>
    <row r="17" spans="2:10" hidden="1" x14ac:dyDescent="0.25">
      <c r="B17" s="27"/>
      <c r="C17" t="s">
        <v>10</v>
      </c>
      <c r="D17" s="3">
        <v>2</v>
      </c>
      <c r="E17" s="3">
        <v>1</v>
      </c>
      <c r="F17" s="20">
        <v>1</v>
      </c>
      <c r="G17" s="2">
        <f t="shared" si="2"/>
        <v>0</v>
      </c>
      <c r="H17" s="2" t="b">
        <f t="shared" si="0"/>
        <v>1</v>
      </c>
      <c r="I17" s="10" t="s">
        <v>17</v>
      </c>
      <c r="J17" s="11">
        <f t="shared" si="1"/>
        <v>0</v>
      </c>
    </row>
    <row r="18" spans="2:10" hidden="1" x14ac:dyDescent="0.25">
      <c r="B18" s="27"/>
      <c r="C18" t="s">
        <v>42</v>
      </c>
      <c r="D18" s="3">
        <f>ROUND(Attd/2,0)</f>
        <v>2</v>
      </c>
      <c r="E18" s="3">
        <v>4</v>
      </c>
      <c r="F18" s="20">
        <v>1</v>
      </c>
      <c r="G18" s="2">
        <f>MAX(0,D18-E18-F18)</f>
        <v>0</v>
      </c>
      <c r="H18" s="2" t="b">
        <f t="shared" si="0"/>
        <v>1</v>
      </c>
      <c r="I18" s="10" t="s">
        <v>17</v>
      </c>
      <c r="J18" s="11">
        <f t="shared" si="1"/>
        <v>0</v>
      </c>
    </row>
    <row r="19" spans="2:10" hidden="1" x14ac:dyDescent="0.25">
      <c r="B19" s="27"/>
      <c r="C19" t="s">
        <v>31</v>
      </c>
      <c r="D19" s="3">
        <f>ROUND(Attd/3,0)</f>
        <v>1</v>
      </c>
      <c r="E19" s="3">
        <v>0</v>
      </c>
      <c r="F19" s="20">
        <v>3</v>
      </c>
      <c r="G19" s="2">
        <f t="shared" ref="G19" si="4">MAX(0,D19-E19-F19)</f>
        <v>0</v>
      </c>
      <c r="H19" s="2" t="b">
        <f t="shared" si="0"/>
        <v>1</v>
      </c>
      <c r="I19" s="10" t="s">
        <v>17</v>
      </c>
      <c r="J19" s="11">
        <f t="shared" si="1"/>
        <v>0</v>
      </c>
    </row>
    <row r="20" spans="2:10" hidden="1" x14ac:dyDescent="0.25">
      <c r="B20" s="27"/>
      <c r="C20" t="s">
        <v>67</v>
      </c>
      <c r="D20" s="3">
        <f>ROUND(Attd/2,0)</f>
        <v>2</v>
      </c>
      <c r="E20" s="3">
        <v>2</v>
      </c>
      <c r="F20" s="3"/>
      <c r="G20" s="2">
        <f t="shared" ref="G20:G25" si="5">MAX(0,D20-E20-F20)</f>
        <v>0</v>
      </c>
      <c r="H20" s="2" t="b">
        <f t="shared" si="0"/>
        <v>0</v>
      </c>
      <c r="I20" s="10">
        <v>5</v>
      </c>
      <c r="J20" s="11">
        <f t="shared" si="1"/>
        <v>0</v>
      </c>
    </row>
    <row r="21" spans="2:10" x14ac:dyDescent="0.25">
      <c r="B21" s="27"/>
      <c r="C21" t="s">
        <v>52</v>
      </c>
      <c r="D21" s="3">
        <f>ROUND(Attd/2,0)</f>
        <v>2</v>
      </c>
      <c r="E21" s="3">
        <v>1</v>
      </c>
      <c r="F21" s="3"/>
      <c r="G21" s="2">
        <f t="shared" si="5"/>
        <v>1</v>
      </c>
      <c r="H21" s="2" t="b">
        <f t="shared" si="0"/>
        <v>1</v>
      </c>
      <c r="I21" s="10">
        <v>6</v>
      </c>
      <c r="J21" s="11">
        <f t="shared" si="1"/>
        <v>6</v>
      </c>
    </row>
    <row r="22" spans="2:10" hidden="1" x14ac:dyDescent="0.25">
      <c r="B22" s="27"/>
      <c r="C22" t="s">
        <v>46</v>
      </c>
      <c r="D22" s="3">
        <f>2-NKit</f>
        <v>1</v>
      </c>
      <c r="E22" s="3">
        <v>1</v>
      </c>
      <c r="F22" s="3"/>
      <c r="G22" s="2">
        <f t="shared" si="5"/>
        <v>0</v>
      </c>
      <c r="H22" s="2" t="b">
        <f t="shared" si="0"/>
        <v>0</v>
      </c>
      <c r="I22" s="10" t="s">
        <v>17</v>
      </c>
      <c r="J22" s="11">
        <f t="shared" si="1"/>
        <v>0</v>
      </c>
    </row>
    <row r="23" spans="2:10" hidden="1" x14ac:dyDescent="0.25">
      <c r="B23" s="27"/>
      <c r="C23" t="s">
        <v>47</v>
      </c>
      <c r="D23" s="3">
        <f>1-NKit</f>
        <v>0</v>
      </c>
      <c r="E23" s="3">
        <v>0</v>
      </c>
      <c r="F23" s="3"/>
      <c r="G23" s="2">
        <f t="shared" si="5"/>
        <v>0</v>
      </c>
      <c r="H23" s="2" t="b">
        <f t="shared" si="0"/>
        <v>0</v>
      </c>
      <c r="I23" s="10" t="s">
        <v>17</v>
      </c>
      <c r="J23" s="11">
        <f t="shared" si="1"/>
        <v>0</v>
      </c>
    </row>
    <row r="24" spans="2:10" hidden="1" x14ac:dyDescent="0.25">
      <c r="B24" s="27"/>
      <c r="C24" t="s">
        <v>60</v>
      </c>
      <c r="D24" s="3">
        <v>1</v>
      </c>
      <c r="E24" s="3">
        <v>1</v>
      </c>
      <c r="F24" s="3"/>
      <c r="G24" s="2">
        <f t="shared" si="5"/>
        <v>0</v>
      </c>
      <c r="H24" s="2" t="b">
        <f t="shared" si="0"/>
        <v>0</v>
      </c>
      <c r="I24" s="10" t="s">
        <v>17</v>
      </c>
      <c r="J24" s="11">
        <f t="shared" si="1"/>
        <v>0</v>
      </c>
    </row>
    <row r="25" spans="2:10" hidden="1" x14ac:dyDescent="0.25">
      <c r="B25" s="27"/>
      <c r="C25" t="s">
        <v>45</v>
      </c>
      <c r="D25" s="3">
        <v>1</v>
      </c>
      <c r="E25" s="3">
        <v>1</v>
      </c>
      <c r="F25" s="3"/>
      <c r="G25" s="2">
        <f t="shared" si="5"/>
        <v>0</v>
      </c>
      <c r="H25" s="2" t="b">
        <f t="shared" si="0"/>
        <v>0</v>
      </c>
      <c r="I25" s="10" t="s">
        <v>17</v>
      </c>
      <c r="J25" s="11">
        <f t="shared" si="1"/>
        <v>0</v>
      </c>
    </row>
    <row r="26" spans="2:10" hidden="1" x14ac:dyDescent="0.25">
      <c r="B26" s="27"/>
      <c r="C26" t="s">
        <v>37</v>
      </c>
      <c r="D26" s="12">
        <v>1</v>
      </c>
      <c r="E26" s="12">
        <v>1</v>
      </c>
      <c r="F26" s="12"/>
      <c r="G26" s="13">
        <f t="shared" ref="G26" si="6">MAX(0,D26-E26-F26)</f>
        <v>0</v>
      </c>
      <c r="H26" s="2" t="b">
        <f t="shared" si="0"/>
        <v>0</v>
      </c>
      <c r="I26" s="10" t="s">
        <v>17</v>
      </c>
      <c r="J26" s="11">
        <f t="shared" si="1"/>
        <v>0</v>
      </c>
    </row>
    <row r="27" spans="2:10" hidden="1" x14ac:dyDescent="0.25">
      <c r="B27" s="27"/>
      <c r="C27" t="s">
        <v>49</v>
      </c>
      <c r="D27" s="3">
        <v>1</v>
      </c>
      <c r="E27" s="3">
        <v>1</v>
      </c>
      <c r="F27" s="3"/>
      <c r="G27" s="2">
        <f t="shared" ref="G27" si="7">MAX(0,D27-E27-F27)</f>
        <v>0</v>
      </c>
      <c r="H27" s="2" t="b">
        <f t="shared" si="0"/>
        <v>0</v>
      </c>
      <c r="I27" s="10" t="s">
        <v>17</v>
      </c>
      <c r="J27" s="11">
        <f t="shared" si="1"/>
        <v>0</v>
      </c>
    </row>
    <row r="28" spans="2:10" hidden="1" x14ac:dyDescent="0.25">
      <c r="B28" s="25" t="s">
        <v>75</v>
      </c>
    </row>
    <row r="29" spans="2:10" hidden="1" x14ac:dyDescent="0.25">
      <c r="B29" s="27" t="s">
        <v>30</v>
      </c>
      <c r="C29" t="s">
        <v>29</v>
      </c>
      <c r="D29" s="3">
        <v>1</v>
      </c>
      <c r="E29" s="3">
        <v>1</v>
      </c>
      <c r="F29" s="3"/>
      <c r="G29" s="2">
        <f t="shared" ref="G29:G31" si="8">MAX(0,D29-E29-F29)</f>
        <v>0</v>
      </c>
      <c r="H29" s="2" t="b">
        <f t="shared" ref="H29:H32" si="9">OR(F29&gt;0,G29&gt;0)</f>
        <v>0</v>
      </c>
      <c r="I29" s="10" t="s">
        <v>17</v>
      </c>
      <c r="J29" s="11">
        <f t="shared" si="1"/>
        <v>0</v>
      </c>
    </row>
    <row r="30" spans="2:10" hidden="1" x14ac:dyDescent="0.25">
      <c r="B30" s="27"/>
      <c r="C30" t="s">
        <v>38</v>
      </c>
      <c r="D30" s="3">
        <v>1</v>
      </c>
      <c r="E30" s="3">
        <v>1</v>
      </c>
      <c r="F30" s="3"/>
      <c r="G30" s="2">
        <f t="shared" si="8"/>
        <v>0</v>
      </c>
      <c r="H30" s="2" t="b">
        <f t="shared" si="9"/>
        <v>0</v>
      </c>
      <c r="I30" s="10" t="s">
        <v>17</v>
      </c>
      <c r="J30" s="11">
        <f t="shared" si="1"/>
        <v>0</v>
      </c>
    </row>
    <row r="31" spans="2:10" hidden="1" x14ac:dyDescent="0.25">
      <c r="B31" s="27"/>
      <c r="C31" t="s">
        <v>39</v>
      </c>
      <c r="D31" s="3">
        <v>1</v>
      </c>
      <c r="E31" s="3">
        <v>1</v>
      </c>
      <c r="F31" s="3"/>
      <c r="G31" s="2">
        <f t="shared" si="8"/>
        <v>0</v>
      </c>
      <c r="H31" s="2" t="b">
        <f t="shared" si="9"/>
        <v>0</v>
      </c>
      <c r="I31" s="10" t="s">
        <v>17</v>
      </c>
      <c r="J31" s="11">
        <f t="shared" si="1"/>
        <v>0</v>
      </c>
    </row>
    <row r="32" spans="2:10" hidden="1" x14ac:dyDescent="0.25">
      <c r="B32" s="27"/>
      <c r="C32" t="s">
        <v>40</v>
      </c>
      <c r="D32" s="3">
        <v>10</v>
      </c>
      <c r="E32" s="3">
        <v>10</v>
      </c>
      <c r="F32" s="3"/>
      <c r="G32" s="2">
        <f t="shared" ref="G32" si="10">MAX(0,D32-E32-F32)</f>
        <v>0</v>
      </c>
      <c r="H32" s="2" t="b">
        <f t="shared" si="9"/>
        <v>0</v>
      </c>
      <c r="I32" s="10" t="s">
        <v>17</v>
      </c>
      <c r="J32" s="11">
        <f t="shared" si="1"/>
        <v>0</v>
      </c>
    </row>
    <row r="33" spans="2:10" hidden="1" x14ac:dyDescent="0.25">
      <c r="B33" s="25" t="s">
        <v>75</v>
      </c>
    </row>
    <row r="34" spans="2:10" x14ac:dyDescent="0.25">
      <c r="B34" s="27" t="s">
        <v>24</v>
      </c>
      <c r="C34" t="s">
        <v>12</v>
      </c>
      <c r="D34" s="12">
        <f>0.1*Attd+0.25*Attd +0.5*ROUND(Attd/3,0)+2</f>
        <v>3.9</v>
      </c>
      <c r="E34" s="12">
        <v>2</v>
      </c>
      <c r="F34" s="12"/>
      <c r="G34" s="13">
        <f t="shared" ref="G34" si="11">MAX(0,D34-E34-F34)</f>
        <v>1.9</v>
      </c>
      <c r="H34" s="2" t="b">
        <f t="shared" ref="H34:H43" si="12">OR(F34&gt;0,G34&gt;0)</f>
        <v>1</v>
      </c>
      <c r="I34" s="10">
        <f>ROUNDUP(G34/12,0)*6/G34</f>
        <v>3.1578947368421053</v>
      </c>
      <c r="J34" s="11">
        <f t="shared" ref="J34:J56" si="13">IF(AND(G34&lt;&gt;"N/a",G34&gt;0),G34*I34,0)</f>
        <v>6</v>
      </c>
    </row>
    <row r="35" spans="2:10" x14ac:dyDescent="0.25">
      <c r="B35" s="27"/>
      <c r="C35" t="s">
        <v>18</v>
      </c>
      <c r="D35" s="12">
        <f>0.3*2*Attd+0.5*ROUND(Attd*2/3,0)+2</f>
        <v>5.9</v>
      </c>
      <c r="E35" s="12">
        <v>2</v>
      </c>
      <c r="F35" s="12"/>
      <c r="G35" s="13">
        <f t="shared" ref="G35:G36" si="14">MAX(0,D35-E35-F35)</f>
        <v>3.9000000000000004</v>
      </c>
      <c r="H35" s="2" t="b">
        <f t="shared" si="12"/>
        <v>1</v>
      </c>
      <c r="I35" s="10">
        <f>ROUNDUP(G35/11,0)*5/G35</f>
        <v>1.2820512820512819</v>
      </c>
      <c r="J35" s="11">
        <f t="shared" si="13"/>
        <v>5</v>
      </c>
    </row>
    <row r="36" spans="2:10" hidden="1" x14ac:dyDescent="0.25">
      <c r="B36" s="27"/>
      <c r="C36" t="s">
        <v>19</v>
      </c>
      <c r="D36" s="12">
        <v>1</v>
      </c>
      <c r="E36" s="12">
        <v>1</v>
      </c>
      <c r="F36" s="12"/>
      <c r="G36" s="13">
        <f t="shared" si="14"/>
        <v>0</v>
      </c>
      <c r="H36" s="2" t="b">
        <f t="shared" si="12"/>
        <v>0</v>
      </c>
      <c r="I36" s="10" t="s">
        <v>17</v>
      </c>
      <c r="J36" s="11">
        <f t="shared" si="13"/>
        <v>0</v>
      </c>
    </row>
    <row r="37" spans="2:10" hidden="1" x14ac:dyDescent="0.25">
      <c r="B37" s="27"/>
      <c r="C37" t="s">
        <v>20</v>
      </c>
      <c r="D37" s="12">
        <v>1</v>
      </c>
      <c r="E37" s="12">
        <v>1</v>
      </c>
      <c r="F37" s="12"/>
      <c r="G37" s="13">
        <f t="shared" ref="G37" si="15">MAX(0,D37-E37-F37)</f>
        <v>0</v>
      </c>
      <c r="H37" s="2" t="b">
        <f t="shared" si="12"/>
        <v>0</v>
      </c>
      <c r="I37" s="10" t="s">
        <v>17</v>
      </c>
      <c r="J37" s="11">
        <f t="shared" si="13"/>
        <v>0</v>
      </c>
    </row>
    <row r="38" spans="2:10" hidden="1" x14ac:dyDescent="0.25">
      <c r="B38" s="27"/>
      <c r="C38" t="s">
        <v>16</v>
      </c>
      <c r="D38" s="8">
        <v>2</v>
      </c>
      <c r="E38" s="8">
        <v>2</v>
      </c>
      <c r="F38" s="8"/>
      <c r="G38" s="9">
        <f>MAX(0,D38-E38-F38)</f>
        <v>0</v>
      </c>
      <c r="H38" s="2" t="b">
        <f t="shared" si="12"/>
        <v>0</v>
      </c>
      <c r="I38" s="10" t="s">
        <v>17</v>
      </c>
      <c r="J38" s="11">
        <f t="shared" si="13"/>
        <v>0</v>
      </c>
    </row>
    <row r="39" spans="2:10" x14ac:dyDescent="0.25">
      <c r="B39" s="27"/>
      <c r="C39" t="s">
        <v>21</v>
      </c>
      <c r="D39" s="26">
        <v>5</v>
      </c>
      <c r="E39" s="23">
        <v>1</v>
      </c>
      <c r="F39" s="14"/>
      <c r="G39" s="15">
        <f t="shared" ref="G39" si="16">MAX(0,D39-E39-F39)</f>
        <v>4</v>
      </c>
      <c r="H39" s="2" t="b">
        <f t="shared" si="12"/>
        <v>1</v>
      </c>
      <c r="I39" s="10">
        <f>ROUNDUP(G39/14,0)*27/G39</f>
        <v>6.75</v>
      </c>
      <c r="J39" s="11">
        <f t="shared" si="13"/>
        <v>27</v>
      </c>
    </row>
    <row r="40" spans="2:10" x14ac:dyDescent="0.25">
      <c r="B40" s="27"/>
      <c r="C40" t="s">
        <v>22</v>
      </c>
      <c r="D40" s="26">
        <v>2.5</v>
      </c>
      <c r="E40" s="23">
        <v>1</v>
      </c>
      <c r="F40" s="14"/>
      <c r="G40" s="15">
        <f t="shared" ref="G40:G43" si="17">MAX(0,D40-E40-F40)</f>
        <v>1.5</v>
      </c>
      <c r="H40" s="2" t="b">
        <f t="shared" si="12"/>
        <v>1</v>
      </c>
      <c r="I40" s="10">
        <f>ROUNDUP(G40/3,0)*9/G40</f>
        <v>6</v>
      </c>
      <c r="J40" s="11">
        <f t="shared" si="13"/>
        <v>9</v>
      </c>
    </row>
    <row r="41" spans="2:10" hidden="1" x14ac:dyDescent="0.25">
      <c r="B41" s="27"/>
      <c r="C41" t="s">
        <v>69</v>
      </c>
      <c r="D41" s="22">
        <v>1</v>
      </c>
      <c r="E41" s="22">
        <v>1</v>
      </c>
      <c r="F41" s="22"/>
      <c r="G41" s="15">
        <f t="shared" si="17"/>
        <v>0</v>
      </c>
      <c r="H41" s="2" t="b">
        <f t="shared" si="12"/>
        <v>0</v>
      </c>
      <c r="I41" s="10" t="s">
        <v>17</v>
      </c>
      <c r="J41" s="11">
        <f t="shared" si="13"/>
        <v>0</v>
      </c>
    </row>
    <row r="42" spans="2:10" hidden="1" x14ac:dyDescent="0.25">
      <c r="B42" s="27"/>
      <c r="C42" t="s">
        <v>68</v>
      </c>
      <c r="D42" s="14">
        <v>0.1</v>
      </c>
      <c r="E42" s="14">
        <v>0.1</v>
      </c>
      <c r="F42" s="14"/>
      <c r="G42" s="15">
        <f t="shared" si="17"/>
        <v>0</v>
      </c>
      <c r="H42" s="2" t="b">
        <f t="shared" si="12"/>
        <v>0</v>
      </c>
      <c r="I42" s="10" t="s">
        <v>17</v>
      </c>
      <c r="J42" s="11">
        <f t="shared" si="13"/>
        <v>0</v>
      </c>
    </row>
    <row r="43" spans="2:10" hidden="1" x14ac:dyDescent="0.25">
      <c r="B43" s="27"/>
      <c r="C43" t="s">
        <v>32</v>
      </c>
      <c r="D43" s="23">
        <v>0.01</v>
      </c>
      <c r="E43" s="23">
        <v>0.01</v>
      </c>
      <c r="F43" s="23"/>
      <c r="G43" s="24">
        <f t="shared" si="17"/>
        <v>0</v>
      </c>
      <c r="H43" s="2" t="b">
        <f t="shared" si="12"/>
        <v>0</v>
      </c>
      <c r="I43" s="10" t="s">
        <v>17</v>
      </c>
      <c r="J43" s="11">
        <f t="shared" si="13"/>
        <v>0</v>
      </c>
    </row>
    <row r="44" spans="2:10" x14ac:dyDescent="0.25">
      <c r="B44" s="27"/>
      <c r="C44" t="s">
        <v>77</v>
      </c>
      <c r="D44" s="26">
        <v>2</v>
      </c>
      <c r="E44" s="23"/>
      <c r="F44" s="23"/>
      <c r="G44" s="24">
        <f t="shared" ref="G44" si="18">MAX(0,D44-E44-F44)</f>
        <v>2</v>
      </c>
      <c r="H44" s="2" t="b">
        <f t="shared" ref="H44" si="19">OR(F44&gt;0,G44&gt;0)</f>
        <v>1</v>
      </c>
      <c r="I44" s="10">
        <f>ROUNDUP(G44/2,0)*8/G44</f>
        <v>4</v>
      </c>
      <c r="J44" s="11">
        <f t="shared" ref="J44" si="20">IF(AND(G44&lt;&gt;"N/a",G44&gt;0),G44*I44,0)</f>
        <v>8</v>
      </c>
    </row>
    <row r="45" spans="2:10" hidden="1" x14ac:dyDescent="0.25">
      <c r="B45" s="27"/>
      <c r="C45" t="s">
        <v>23</v>
      </c>
      <c r="D45" s="14">
        <v>0.01</v>
      </c>
      <c r="E45" s="14">
        <v>0.01</v>
      </c>
      <c r="F45" s="14"/>
      <c r="G45" s="15">
        <f t="shared" ref="G45" si="21">MAX(0,D45-E45-F45)</f>
        <v>0</v>
      </c>
      <c r="H45" s="2" t="b">
        <f t="shared" ref="H45:H50" si="22">OR(F45&gt;0,G45&gt;0)</f>
        <v>0</v>
      </c>
      <c r="I45" s="10" t="s">
        <v>17</v>
      </c>
      <c r="J45" s="11">
        <f t="shared" si="13"/>
        <v>0</v>
      </c>
    </row>
    <row r="46" spans="2:10" hidden="1" x14ac:dyDescent="0.25">
      <c r="B46" s="27"/>
      <c r="C46" t="s">
        <v>25</v>
      </c>
      <c r="D46" s="16">
        <v>1</v>
      </c>
      <c r="E46" s="16">
        <v>1</v>
      </c>
      <c r="F46" s="16"/>
      <c r="G46" s="17">
        <f>MAX(0,D46-E46-F46)</f>
        <v>0</v>
      </c>
      <c r="H46" s="2" t="b">
        <f t="shared" si="22"/>
        <v>0</v>
      </c>
      <c r="I46" s="10" t="s">
        <v>17</v>
      </c>
      <c r="J46" s="11">
        <f t="shared" si="13"/>
        <v>0</v>
      </c>
    </row>
    <row r="47" spans="2:10" hidden="1" x14ac:dyDescent="0.25">
      <c r="B47" s="27"/>
      <c r="C47" t="s">
        <v>33</v>
      </c>
      <c r="D47" s="18">
        <v>1</v>
      </c>
      <c r="E47" s="18">
        <v>1</v>
      </c>
      <c r="F47" s="18"/>
      <c r="G47" s="19">
        <f>MAX(0,D47-E47-F47)</f>
        <v>0</v>
      </c>
      <c r="H47" s="2" t="b">
        <f t="shared" si="22"/>
        <v>0</v>
      </c>
      <c r="I47" s="10" t="s">
        <v>17</v>
      </c>
      <c r="J47" s="11">
        <f t="shared" si="13"/>
        <v>0</v>
      </c>
    </row>
    <row r="48" spans="2:10" hidden="1" x14ac:dyDescent="0.25">
      <c r="B48" s="27"/>
      <c r="C48" t="s">
        <v>34</v>
      </c>
      <c r="D48" s="18">
        <v>1</v>
      </c>
      <c r="E48" s="18">
        <v>1</v>
      </c>
      <c r="F48" s="18"/>
      <c r="G48" s="19">
        <f>MAX(0,D48-E48-F48)</f>
        <v>0</v>
      </c>
      <c r="H48" s="2" t="b">
        <f t="shared" si="22"/>
        <v>0</v>
      </c>
      <c r="I48" s="10" t="s">
        <v>17</v>
      </c>
      <c r="J48" s="11">
        <f t="shared" si="13"/>
        <v>0</v>
      </c>
    </row>
    <row r="49" spans="2:11" hidden="1" x14ac:dyDescent="0.25">
      <c r="B49" s="27"/>
      <c r="C49" t="s">
        <v>26</v>
      </c>
      <c r="D49" s="18">
        <v>1</v>
      </c>
      <c r="E49" s="18">
        <v>1</v>
      </c>
      <c r="F49" s="18"/>
      <c r="G49" s="19">
        <f>MAX(0,D49-E49-F49)</f>
        <v>0</v>
      </c>
      <c r="H49" s="2" t="b">
        <f t="shared" si="22"/>
        <v>0</v>
      </c>
      <c r="I49" s="10" t="s">
        <v>17</v>
      </c>
      <c r="J49" s="11">
        <f t="shared" si="13"/>
        <v>0</v>
      </c>
    </row>
    <row r="50" spans="2:11" hidden="1" x14ac:dyDescent="0.25">
      <c r="B50" s="27"/>
      <c r="C50" t="s">
        <v>28</v>
      </c>
      <c r="D50" s="18">
        <v>1</v>
      </c>
      <c r="E50" s="18">
        <v>1</v>
      </c>
      <c r="F50" s="18"/>
      <c r="G50" s="19">
        <f>MAX(0,D50-E50-F50)</f>
        <v>0</v>
      </c>
      <c r="H50" s="2" t="b">
        <f t="shared" si="22"/>
        <v>0</v>
      </c>
      <c r="I50" s="10" t="s">
        <v>17</v>
      </c>
      <c r="J50" s="11">
        <f t="shared" si="13"/>
        <v>0</v>
      </c>
    </row>
    <row r="51" spans="2:11" hidden="1" x14ac:dyDescent="0.25">
      <c r="B51" s="25" t="s">
        <v>75</v>
      </c>
    </row>
    <row r="52" spans="2:11" x14ac:dyDescent="0.25">
      <c r="B52" s="27" t="s">
        <v>48</v>
      </c>
      <c r="C52" t="s">
        <v>74</v>
      </c>
      <c r="D52" s="3">
        <f>ROUNDUP(Attd/2,0)</f>
        <v>2</v>
      </c>
      <c r="E52" s="3"/>
      <c r="F52" s="3"/>
      <c r="G52" s="2">
        <f t="shared" ref="G52" si="23">MAX(0,D52-E52-F52)</f>
        <v>2</v>
      </c>
      <c r="H52" s="2" t="b">
        <f t="shared" ref="H52:H56" si="24">OR(F52&gt;0,G52&gt;0)</f>
        <v>1</v>
      </c>
      <c r="I52" s="10">
        <v>3</v>
      </c>
      <c r="J52" s="11">
        <f t="shared" si="13"/>
        <v>6</v>
      </c>
    </row>
    <row r="53" spans="2:11" x14ac:dyDescent="0.25">
      <c r="B53" s="27"/>
      <c r="C53" t="s">
        <v>55</v>
      </c>
      <c r="D53" s="3">
        <f>Attd</f>
        <v>4</v>
      </c>
      <c r="E53" s="3"/>
      <c r="F53" s="3"/>
      <c r="G53" s="2">
        <f t="shared" ref="G53" si="25">MAX(0,D53-E53-F53)</f>
        <v>4</v>
      </c>
      <c r="H53" s="2" t="b">
        <f t="shared" si="24"/>
        <v>1</v>
      </c>
      <c r="I53" s="10">
        <f>ROUNDUP(G53/3,0)*10/G53</f>
        <v>5</v>
      </c>
      <c r="J53" s="11">
        <f t="shared" si="13"/>
        <v>20</v>
      </c>
      <c r="K53" t="s">
        <v>61</v>
      </c>
    </row>
    <row r="54" spans="2:11" hidden="1" x14ac:dyDescent="0.25">
      <c r="B54" s="27"/>
      <c r="C54" t="s">
        <v>56</v>
      </c>
      <c r="D54" s="3">
        <v>5</v>
      </c>
      <c r="E54" s="3">
        <v>5</v>
      </c>
      <c r="F54" s="3"/>
      <c r="G54" s="2">
        <f t="shared" ref="G54" si="26">MAX(0,D54-E54-F54)</f>
        <v>0</v>
      </c>
      <c r="H54" s="2" t="b">
        <f t="shared" si="24"/>
        <v>0</v>
      </c>
      <c r="I54" s="10" t="s">
        <v>17</v>
      </c>
      <c r="J54" s="11">
        <f t="shared" si="13"/>
        <v>0</v>
      </c>
    </row>
    <row r="55" spans="2:11" hidden="1" x14ac:dyDescent="0.25">
      <c r="B55" s="27"/>
      <c r="C55" t="s">
        <v>57</v>
      </c>
      <c r="D55" s="3">
        <v>5</v>
      </c>
      <c r="E55" s="3">
        <v>5</v>
      </c>
      <c r="F55" s="3"/>
      <c r="G55" s="2">
        <f t="shared" ref="G55:G56" si="27">MAX(0,D55-E55-F55)</f>
        <v>0</v>
      </c>
      <c r="H55" s="2" t="b">
        <f t="shared" si="24"/>
        <v>0</v>
      </c>
      <c r="I55" s="10" t="s">
        <v>17</v>
      </c>
      <c r="J55" s="11">
        <f t="shared" si="13"/>
        <v>0</v>
      </c>
    </row>
    <row r="56" spans="2:11" hidden="1" x14ac:dyDescent="0.25">
      <c r="B56" s="27"/>
      <c r="C56" t="s">
        <v>62</v>
      </c>
      <c r="D56" s="3">
        <v>5</v>
      </c>
      <c r="E56" s="3">
        <v>5</v>
      </c>
      <c r="F56" s="3"/>
      <c r="G56" s="2">
        <f t="shared" si="27"/>
        <v>0</v>
      </c>
      <c r="H56" s="2" t="b">
        <f t="shared" si="24"/>
        <v>0</v>
      </c>
      <c r="I56" s="10" t="s">
        <v>17</v>
      </c>
      <c r="J56" s="11">
        <f t="shared" si="13"/>
        <v>0</v>
      </c>
    </row>
    <row r="57" spans="2:11" hidden="1" x14ac:dyDescent="0.25">
      <c r="B57" s="25" t="s">
        <v>75</v>
      </c>
    </row>
    <row r="58" spans="2:11" hidden="1" x14ac:dyDescent="0.25">
      <c r="B58" t="s">
        <v>63</v>
      </c>
      <c r="C58" t="s">
        <v>64</v>
      </c>
    </row>
    <row r="59" spans="2:11" hidden="1" x14ac:dyDescent="0.25">
      <c r="C59" t="s">
        <v>65</v>
      </c>
    </row>
    <row r="60" spans="2:11" hidden="1" x14ac:dyDescent="0.25">
      <c r="C60" t="s">
        <v>66</v>
      </c>
    </row>
  </sheetData>
  <autoFilter ref="B9:K60" xr:uid="{00000000-0001-0000-0000-000000000000}">
    <filterColumn colId="5">
      <filters>
        <filter val="1"/>
        <filter val="1.50 kg"/>
        <filter val="1.90 m"/>
        <filter val="2"/>
        <filter val="2.00 L"/>
        <filter val="3.90 m"/>
        <filter val="4"/>
        <filter val="4.00 kg"/>
      </filters>
    </filterColumn>
    <filterColumn colId="6">
      <filters>
        <filter val="TRUE"/>
      </filters>
    </filterColumn>
  </autoFilter>
  <mergeCells count="4">
    <mergeCell ref="B29:B32"/>
    <mergeCell ref="B10:B27"/>
    <mergeCell ref="B52:B56"/>
    <mergeCell ref="B34:B50"/>
  </mergeCells>
  <dataValidations count="1">
    <dataValidation type="list" allowBlank="1" showInputMessage="1" showErrorMessage="1" sqref="C4" xr:uid="{00000000-0002-0000-0000-000000000000}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Attd</vt:lpstr>
      <vt:lpstr>NKit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44780</dc:creator>
  <cp:lastModifiedBy>AJL</cp:lastModifiedBy>
  <dcterms:created xsi:type="dcterms:W3CDTF">2022-10-21T17:33:37Z</dcterms:created>
  <dcterms:modified xsi:type="dcterms:W3CDTF">2023-04-26T15:41:18Z</dcterms:modified>
</cp:coreProperties>
</file>