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exi\OneDrive - USherbrooke\Uni\S2\APP4 S2\RemiseAPP4\"/>
    </mc:Choice>
  </mc:AlternateContent>
  <xr:revisionPtr revIDLastSave="0" documentId="8_{0B399A97-202B-4757-A9E2-FC5B3044D3AF}" xr6:coauthVersionLast="47" xr6:coauthVersionMax="47" xr10:uidLastSave="{00000000-0000-0000-0000-000000000000}"/>
  <bookViews>
    <workbookView xWindow="-108" yWindow="-108" windowWidth="23256" windowHeight="12456" tabRatio="691" xr2:uid="{00000000-000D-0000-FFFF-FFFF00000000}"/>
  </bookViews>
  <sheets>
    <sheet name="CIP" sheetId="6" r:id="rId1"/>
    <sheet name="Annexe 1" sheetId="1" r:id="rId2"/>
    <sheet name="Annexe 2" sheetId="3" r:id="rId3"/>
    <sheet name="Graphique 1" sheetId="4" r:id="rId4"/>
    <sheet name="Graphique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39" i="3"/>
  <c r="B50" i="3"/>
  <c r="D28" i="3"/>
  <c r="C51" i="3"/>
  <c r="B51" i="3"/>
  <c r="C50" i="3"/>
  <c r="E51" i="3"/>
  <c r="E50" i="3"/>
  <c r="E49" i="3"/>
  <c r="C49" i="3"/>
  <c r="F28" i="3"/>
  <c r="E28" i="3"/>
  <c r="C28" i="3"/>
  <c r="B28" i="3"/>
  <c r="N28" i="3"/>
  <c r="M28" i="3"/>
  <c r="N29" i="3"/>
  <c r="N30" i="3"/>
  <c r="N31" i="3"/>
  <c r="N32" i="3"/>
  <c r="N33" i="3"/>
  <c r="N34" i="3"/>
  <c r="N35" i="3"/>
  <c r="N36" i="3"/>
  <c r="N37" i="3"/>
  <c r="N39" i="3"/>
  <c r="N41" i="3"/>
  <c r="N42" i="3"/>
  <c r="N43" i="3"/>
  <c r="M29" i="3"/>
  <c r="M30" i="3"/>
  <c r="M31" i="3"/>
  <c r="M32" i="3"/>
  <c r="M33" i="3"/>
  <c r="M34" i="3"/>
  <c r="M35" i="3"/>
  <c r="M36" i="3"/>
  <c r="M37" i="3"/>
  <c r="M39" i="3"/>
  <c r="M41" i="3"/>
  <c r="M42" i="3"/>
  <c r="M43" i="3"/>
  <c r="L30" i="3"/>
  <c r="K29" i="3"/>
  <c r="K30" i="3"/>
  <c r="K31" i="3"/>
  <c r="K32" i="3"/>
  <c r="K33" i="3"/>
  <c r="K34" i="3"/>
  <c r="K35" i="3"/>
  <c r="K36" i="3"/>
  <c r="K37" i="3"/>
  <c r="K39" i="3"/>
  <c r="K41" i="3"/>
  <c r="K42" i="3"/>
  <c r="K43" i="3"/>
  <c r="K28" i="3"/>
  <c r="J29" i="3"/>
  <c r="J30" i="3"/>
  <c r="J31" i="3"/>
  <c r="J32" i="3"/>
  <c r="J33" i="3"/>
  <c r="J34" i="3"/>
  <c r="J35" i="3"/>
  <c r="J36" i="3"/>
  <c r="J37" i="3"/>
  <c r="J39" i="3"/>
  <c r="J41" i="3"/>
  <c r="J42" i="3"/>
  <c r="J43" i="3"/>
  <c r="J28" i="3"/>
  <c r="I29" i="3"/>
  <c r="I30" i="3"/>
  <c r="I31" i="3"/>
  <c r="I32" i="3"/>
  <c r="I33" i="3"/>
  <c r="I34" i="3"/>
  <c r="I35" i="3"/>
  <c r="I36" i="3"/>
  <c r="I37" i="3"/>
  <c r="I39" i="3"/>
  <c r="I41" i="3"/>
  <c r="I42" i="3"/>
  <c r="I43" i="3"/>
  <c r="I28" i="3"/>
  <c r="H29" i="3"/>
  <c r="H30" i="3"/>
  <c r="H31" i="3"/>
  <c r="H32" i="3"/>
  <c r="H33" i="3"/>
  <c r="H34" i="3"/>
  <c r="H35" i="3"/>
  <c r="H36" i="3"/>
  <c r="H37" i="3"/>
  <c r="H39" i="3"/>
  <c r="H41" i="3"/>
  <c r="H42" i="3"/>
  <c r="H43" i="3"/>
  <c r="H28" i="3"/>
  <c r="D29" i="3"/>
  <c r="D30" i="3"/>
  <c r="D31" i="3"/>
  <c r="D32" i="3"/>
  <c r="D33" i="3"/>
  <c r="D34" i="3"/>
  <c r="D35" i="3"/>
  <c r="D36" i="3"/>
  <c r="D37" i="3"/>
  <c r="D39" i="3"/>
  <c r="D41" i="3"/>
  <c r="D42" i="3"/>
  <c r="D43" i="3"/>
  <c r="G29" i="3"/>
  <c r="G30" i="3"/>
  <c r="G31" i="3"/>
  <c r="G32" i="3"/>
  <c r="G33" i="3"/>
  <c r="G34" i="3"/>
  <c r="G35" i="3"/>
  <c r="G36" i="3"/>
  <c r="G37" i="3"/>
  <c r="G39" i="3"/>
  <c r="G41" i="3"/>
  <c r="G42" i="3"/>
  <c r="G43" i="3"/>
  <c r="G28" i="3"/>
  <c r="F29" i="3"/>
  <c r="F30" i="3"/>
  <c r="F31" i="3"/>
  <c r="F32" i="3"/>
  <c r="F33" i="3"/>
  <c r="F34" i="3"/>
  <c r="F35" i="3"/>
  <c r="F36" i="3"/>
  <c r="F37" i="3"/>
  <c r="F39" i="3"/>
  <c r="F41" i="3"/>
  <c r="F42" i="3"/>
  <c r="F43" i="3"/>
  <c r="E29" i="3"/>
  <c r="E30" i="3"/>
  <c r="E31" i="3"/>
  <c r="E32" i="3"/>
  <c r="E33" i="3"/>
  <c r="E34" i="3"/>
  <c r="E35" i="3"/>
  <c r="E36" i="3"/>
  <c r="E37" i="3"/>
  <c r="E39" i="3"/>
  <c r="E41" i="3"/>
  <c r="E42" i="3"/>
  <c r="E43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C39" i="3"/>
  <c r="B41" i="3"/>
  <c r="C41" i="3"/>
  <c r="B42" i="3"/>
  <c r="C42" i="3"/>
  <c r="B43" i="3"/>
  <c r="C43" i="3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B3" i="5"/>
  <c r="C4" i="4"/>
  <c r="D4" i="4"/>
  <c r="E4" i="4"/>
  <c r="F4" i="4"/>
  <c r="G4" i="4"/>
  <c r="H4" i="4"/>
  <c r="I4" i="4"/>
  <c r="J4" i="4"/>
  <c r="K4" i="4"/>
  <c r="L4" i="4"/>
  <c r="M4" i="4"/>
  <c r="O4" i="4"/>
  <c r="P4" i="4"/>
  <c r="B4" i="4"/>
  <c r="C3" i="4"/>
  <c r="D3" i="4"/>
  <c r="E3" i="4"/>
  <c r="F3" i="4"/>
  <c r="G3" i="4"/>
  <c r="H3" i="4"/>
  <c r="I3" i="4"/>
  <c r="J3" i="4"/>
  <c r="K3" i="4"/>
  <c r="L3" i="4"/>
  <c r="M3" i="4"/>
  <c r="O3" i="4"/>
  <c r="P3" i="4"/>
  <c r="B3" i="4"/>
  <c r="C2" i="4"/>
  <c r="D2" i="4"/>
  <c r="E2" i="4"/>
  <c r="F2" i="4"/>
  <c r="G2" i="4"/>
  <c r="H2" i="4"/>
  <c r="I2" i="4"/>
  <c r="J2" i="4"/>
  <c r="K2" i="4"/>
  <c r="L2" i="4"/>
  <c r="M2" i="4"/>
  <c r="O2" i="4"/>
  <c r="P2" i="4"/>
  <c r="B2" i="4"/>
  <c r="N6" i="3"/>
  <c r="L29" i="3" s="1"/>
  <c r="N7" i="3"/>
  <c r="N8" i="3"/>
  <c r="L31" i="3" s="1"/>
  <c r="N9" i="3"/>
  <c r="L32" i="3" s="1"/>
  <c r="N10" i="3"/>
  <c r="L33" i="3" s="1"/>
  <c r="N11" i="3"/>
  <c r="L34" i="3" s="1"/>
  <c r="N12" i="3"/>
  <c r="L35" i="3" s="1"/>
  <c r="N13" i="3"/>
  <c r="L36" i="3" s="1"/>
  <c r="N14" i="3"/>
  <c r="L37" i="3" s="1"/>
  <c r="N16" i="3"/>
  <c r="N3" i="4" s="1"/>
  <c r="N18" i="3"/>
  <c r="N19" i="3"/>
  <c r="L42" i="3" s="1"/>
  <c r="N20" i="3"/>
  <c r="L43" i="3" s="1"/>
  <c r="N5" i="3"/>
  <c r="L28" i="3" s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5" i="1" s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4" i="1" s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3" i="1" s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1" i="1" s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9" i="1" s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8" i="1" s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7" i="1" s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6" i="1" s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5" i="1" s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4" i="1" s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3" i="1" s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2" i="1" s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1" i="1" s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50" i="1" s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0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28" i="1"/>
  <c r="B29" i="1"/>
  <c r="B30" i="1"/>
  <c r="B31" i="1"/>
  <c r="B32" i="1"/>
  <c r="B33" i="1"/>
  <c r="B34" i="1"/>
  <c r="B35" i="1"/>
  <c r="B36" i="1"/>
  <c r="B27" i="1"/>
  <c r="D49" i="3" l="1"/>
  <c r="N4" i="4"/>
  <c r="L41" i="3"/>
  <c r="D51" i="3" s="1"/>
  <c r="L39" i="3"/>
  <c r="D50" i="3" s="1"/>
  <c r="N2" i="4"/>
</calcChain>
</file>

<file path=xl/sharedStrings.xml><?xml version="1.0" encoding="utf-8"?>
<sst xmlns="http://schemas.openxmlformats.org/spreadsheetml/2006/main" count="315" uniqueCount="91">
  <si>
    <t>Substance émise</t>
  </si>
  <si>
    <t>CO2</t>
  </si>
  <si>
    <t>CO</t>
  </si>
  <si>
    <t>HFC-152a</t>
  </si>
  <si>
    <t>HFC-134a</t>
  </si>
  <si>
    <t>CFC-113</t>
  </si>
  <si>
    <t>CFC-114</t>
  </si>
  <si>
    <t>HFC-116</t>
  </si>
  <si>
    <t>Halon 1211</t>
  </si>
  <si>
    <t>Halon 1301</t>
  </si>
  <si>
    <t>HCFC-22</t>
  </si>
  <si>
    <t>CFC-12</t>
  </si>
  <si>
    <t>CH4</t>
  </si>
  <si>
    <t>CFC-10</t>
  </si>
  <si>
    <t>CFC-14</t>
  </si>
  <si>
    <t>HFC-23</t>
  </si>
  <si>
    <t>SF6</t>
  </si>
  <si>
    <t>Unités</t>
  </si>
  <si>
    <t>kg</t>
  </si>
  <si>
    <t>g</t>
  </si>
  <si>
    <t>µg</t>
  </si>
  <si>
    <t>mg</t>
  </si>
  <si>
    <t>Production</t>
  </si>
  <si>
    <t>N2O</t>
  </si>
  <si>
    <t>Fin de vie</t>
  </si>
  <si>
    <t>Toxicité humaine cancérigène</t>
  </si>
  <si>
    <t>Toxicité humaine non-cancérigène</t>
  </si>
  <si>
    <t>Respiratoire inorganique</t>
  </si>
  <si>
    <t>Radiation ionisante</t>
  </si>
  <si>
    <t>Destruction de la couche d'ozone</t>
  </si>
  <si>
    <t>Ecotoxicité aquatique</t>
  </si>
  <si>
    <t>Ecotoxicité terrestre</t>
  </si>
  <si>
    <t>Occupation des terres</t>
  </si>
  <si>
    <t>Acidification terrestre</t>
  </si>
  <si>
    <t>Acidification aquatique</t>
  </si>
  <si>
    <t>Eutrophisation aquatique</t>
  </si>
  <si>
    <t>Réchauffement climatique</t>
  </si>
  <si>
    <t>Energie non renouvelable</t>
  </si>
  <si>
    <t>Extraction minière</t>
  </si>
  <si>
    <t>kg-eq PM-2,5</t>
  </si>
  <si>
    <t>bq-eq C14</t>
  </si>
  <si>
    <t>kg-eq CFC11</t>
  </si>
  <si>
    <t>kg-eq éthylène</t>
  </si>
  <si>
    <t>kg-eq triéthylène glycol</t>
  </si>
  <si>
    <t>kg-eq triéthylène</t>
  </si>
  <si>
    <t>m².an</t>
  </si>
  <si>
    <t>kg-eq SO2</t>
  </si>
  <si>
    <t>kg-eq S02</t>
  </si>
  <si>
    <t>kg-eq PO4</t>
  </si>
  <si>
    <t>kg-eq CO2</t>
  </si>
  <si>
    <t>MJ primaires</t>
  </si>
  <si>
    <t>MJ additionnels</t>
  </si>
  <si>
    <t>Respiratoire organique</t>
  </si>
  <si>
    <t>Utilisation</t>
  </si>
  <si>
    <t>Unité de refroidissement</t>
  </si>
  <si>
    <t>Pompe</t>
  </si>
  <si>
    <t>Infrastructure</t>
  </si>
  <si>
    <t>Réfrigérant</t>
  </si>
  <si>
    <t>Transport production</t>
  </si>
  <si>
    <t>Serveurs</t>
  </si>
  <si>
    <t>Batiments</t>
  </si>
  <si>
    <t>Enfouissement plastique</t>
  </si>
  <si>
    <t>Enfouissement aluminium</t>
  </si>
  <si>
    <t>Transport FdV</t>
  </si>
  <si>
    <r>
      <t xml:space="preserve">SCORE D'IMPACT EN FONCTION </t>
    </r>
    <r>
      <rPr>
        <b/>
        <sz val="11"/>
        <color theme="1"/>
        <rFont val="Calibri"/>
        <family val="2"/>
        <scheme val="minor"/>
      </rPr>
      <t>DU DATA CENTER</t>
    </r>
  </si>
  <si>
    <t>Plastiques</t>
  </si>
  <si>
    <t>Cuivre</t>
  </si>
  <si>
    <t>Circuits imprimés</t>
  </si>
  <si>
    <t>Électricité</t>
  </si>
  <si>
    <t>Métaux</t>
  </si>
  <si>
    <t>Structure d'aération</t>
  </si>
  <si>
    <t>Enfouissement plastiques</t>
  </si>
  <si>
    <t>Enfouissement métaux</t>
  </si>
  <si>
    <t>kg-eq chloroéthylène</t>
  </si>
  <si>
    <t>Facteurs</t>
  </si>
  <si>
    <t>CONVERSION EN KG</t>
  </si>
  <si>
    <t>TABLEAU DE CONVERSION</t>
  </si>
  <si>
    <t>CO2 EQUIVALENT PAR SUBSTANCES</t>
  </si>
  <si>
    <t>CO2 tot</t>
  </si>
  <si>
    <t>kg eq Co2</t>
  </si>
  <si>
    <t xml:space="preserve">kg </t>
  </si>
  <si>
    <t>FACTEUR DOMMAGE</t>
  </si>
  <si>
    <t>santé humaine</t>
  </si>
  <si>
    <t>écosysteme</t>
  </si>
  <si>
    <t>changement climatique</t>
  </si>
  <si>
    <t>ressource</t>
  </si>
  <si>
    <t>production</t>
  </si>
  <si>
    <t>utilisation</t>
  </si>
  <si>
    <t>fin de vie</t>
  </si>
  <si>
    <t>Raphael Bouchard – bour0703 – 22 111 652 – T10</t>
  </si>
  <si>
    <t>Alexis Guérard – guea0902 – 22 070 553 – 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</si>
</sst>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/>
    <xf numFmtId="0" fontId="6" fillId="0" borderId="0" xfId="0" applyFont="1"/>
    <xf numFmtId="11" fontId="6" fillId="0" borderId="9" xfId="0" applyNumberFormat="1" applyFont="1" applyBorder="1" applyAlignment="1">
      <alignment horizontal="right"/>
    </xf>
    <xf numFmtId="0" fontId="3" fillId="0" borderId="12" xfId="0" applyFont="1" applyBorder="1"/>
    <xf numFmtId="11" fontId="0" fillId="0" borderId="0" xfId="0" applyNumberFormat="1"/>
    <xf numFmtId="11" fontId="6" fillId="0" borderId="14" xfId="0" applyNumberFormat="1" applyFont="1" applyBorder="1" applyAlignment="1">
      <alignment horizontal="right" vertical="center"/>
    </xf>
    <xf numFmtId="11" fontId="6" fillId="0" borderId="0" xfId="0" applyNumberFormat="1" applyFont="1" applyAlignment="1">
      <alignment horizontal="right"/>
    </xf>
    <xf numFmtId="11" fontId="6" fillId="0" borderId="15" xfId="0" applyNumberFormat="1" applyFont="1" applyBorder="1" applyAlignment="1">
      <alignment horizontal="right"/>
    </xf>
    <xf numFmtId="11" fontId="6" fillId="0" borderId="11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/>
    <xf numFmtId="11" fontId="6" fillId="0" borderId="13" xfId="0" applyNumberFormat="1" applyFont="1" applyBorder="1" applyAlignment="1">
      <alignment horizontal="right"/>
    </xf>
    <xf numFmtId="11" fontId="6" fillId="0" borderId="7" xfId="0" applyNumberFormat="1" applyFont="1" applyBorder="1" applyAlignment="1">
      <alignment horizontal="right"/>
    </xf>
    <xf numFmtId="11" fontId="6" fillId="0" borderId="14" xfId="0" applyNumberFormat="1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11" fontId="6" fillId="0" borderId="5" xfId="0" applyNumberFormat="1" applyFont="1" applyBorder="1" applyAlignment="1">
      <alignment horizontal="right"/>
    </xf>
    <xf numFmtId="0" fontId="8" fillId="0" borderId="16" xfId="0" applyFont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10" fillId="0" borderId="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1" fontId="6" fillId="0" borderId="0" xfId="0" applyNumberFormat="1" applyFont="1" applyAlignment="1">
      <alignment horizontal="right" vertical="center"/>
    </xf>
    <xf numFmtId="11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13" xfId="0" applyNumberFormat="1" applyBorder="1"/>
    <xf numFmtId="11" fontId="0" fillId="0" borderId="9" xfId="0" applyNumberFormat="1" applyBorder="1"/>
    <xf numFmtId="11" fontId="0" fillId="0" borderId="7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5" xfId="0" applyNumberFormat="1" applyBorder="1"/>
    <xf numFmtId="11" fontId="0" fillId="0" borderId="11" xfId="0" applyNumberFormat="1" applyBorder="1"/>
    <xf numFmtId="11" fontId="0" fillId="0" borderId="5" xfId="0" applyNumberFormat="1" applyBorder="1"/>
    <xf numFmtId="9" fontId="0" fillId="0" borderId="0" xfId="1" applyFont="1"/>
    <xf numFmtId="11" fontId="7" fillId="0" borderId="10" xfId="0" applyNumberFormat="1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12" fillId="0" borderId="0" xfId="0" applyFont="1"/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" fillId="0" borderId="0" xfId="0" applyFont="1"/>
    <xf numFmtId="0" fontId="5" fillId="2" borderId="1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8" xfId="0" applyFont="1" applyFill="1" applyBorder="1" applyAlignment="1">
      <alignment vertical="center"/>
    </xf>
    <xf numFmtId="11" fontId="6" fillId="0" borderId="17" xfId="0" applyNumberFormat="1" applyFont="1" applyBorder="1" applyAlignment="1">
      <alignment horizontal="right"/>
    </xf>
    <xf numFmtId="11" fontId="6" fillId="0" borderId="18" xfId="0" applyNumberFormat="1" applyFont="1" applyBorder="1" applyAlignment="1">
      <alignment horizontal="right"/>
    </xf>
    <xf numFmtId="11" fontId="6" fillId="0" borderId="19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1" fontId="7" fillId="0" borderId="14" xfId="0" applyNumberFormat="1" applyFont="1" applyBorder="1" applyAlignment="1">
      <alignment horizontal="center"/>
    </xf>
    <xf numFmtId="0" fontId="0" fillId="0" borderId="8" xfId="0" applyBorder="1"/>
    <xf numFmtId="11" fontId="7" fillId="0" borderId="15" xfId="0" applyNumberFormat="1" applyFont="1" applyBorder="1" applyAlignment="1">
      <alignment horizontal="center"/>
    </xf>
    <xf numFmtId="0" fontId="0" fillId="0" borderId="5" xfId="0" applyBorder="1"/>
    <xf numFmtId="0" fontId="1" fillId="0" borderId="17" xfId="0" applyFont="1" applyBorder="1"/>
    <xf numFmtId="0" fontId="1" fillId="0" borderId="19" xfId="0" applyFont="1" applyBorder="1"/>
    <xf numFmtId="0" fontId="5" fillId="3" borderId="6" xfId="0" applyFont="1" applyFill="1" applyBorder="1" applyAlignment="1">
      <alignment horizontal="center"/>
    </xf>
    <xf numFmtId="0" fontId="0" fillId="2" borderId="19" xfId="0" applyFill="1" applyBorder="1"/>
    <xf numFmtId="11" fontId="0" fillId="2" borderId="18" xfId="0" applyNumberFormat="1" applyFill="1" applyBorder="1"/>
    <xf numFmtId="0" fontId="9" fillId="0" borderId="0" xfId="0" applyFont="1" applyAlignment="1">
      <alignment horizontal="center" wrapText="1"/>
    </xf>
    <xf numFmtId="11" fontId="0" fillId="0" borderId="17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0" fontId="4" fillId="2" borderId="0" xfId="0" applyFont="1" applyFill="1" applyAlignment="1">
      <alignment horizontal="center" vertical="center" textRotation="180" wrapText="1"/>
    </xf>
    <xf numFmtId="11" fontId="4" fillId="2" borderId="0" xfId="0" applyNumberFormat="1" applyFont="1" applyFill="1" applyAlignment="1">
      <alignment horizontal="center" vertical="center" textRotation="180"/>
    </xf>
    <xf numFmtId="11" fontId="0" fillId="0" borderId="0" xfId="0" applyNumberFormat="1" applyBorder="1"/>
    <xf numFmtId="0" fontId="2" fillId="0" borderId="20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Impacts problèmes selon les étapes du cycle de vie en</a:t>
            </a:r>
            <a:r>
              <a:rPr lang="fr-CA" baseline="0"/>
              <a:t> Alberta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'Graphique 1'!$A$2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'Graphique 1'!$B$1:$P$1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'Graphique 1'!$B$2:$P$2</c:f>
              <c:numCache>
                <c:formatCode>0.00E+00</c:formatCode>
                <c:ptCount val="15"/>
                <c:pt idx="0">
                  <c:v>713.15313281583337</c:v>
                </c:pt>
                <c:pt idx="1">
                  <c:v>2454.7227497833333</c:v>
                </c:pt>
                <c:pt idx="2">
                  <c:v>40.653719849916662</c:v>
                </c:pt>
                <c:pt idx="3">
                  <c:v>143749.17921999996</c:v>
                </c:pt>
                <c:pt idx="4">
                  <c:v>0.14601107931624999</c:v>
                </c:pt>
                <c:pt idx="5">
                  <c:v>8.5406290209999991</c:v>
                </c:pt>
                <c:pt idx="6">
                  <c:v>6240369.4515833333</c:v>
                </c:pt>
                <c:pt idx="7">
                  <c:v>2119130.6477499995</c:v>
                </c:pt>
                <c:pt idx="8">
                  <c:v>411.34953836666665</c:v>
                </c:pt>
                <c:pt idx="9">
                  <c:v>458.41844814166666</c:v>
                </c:pt>
                <c:pt idx="10">
                  <c:v>184.46727913166666</c:v>
                </c:pt>
                <c:pt idx="11">
                  <c:v>57.54340862916667</c:v>
                </c:pt>
                <c:pt idx="12">
                  <c:v>11368.799845316322</c:v>
                </c:pt>
                <c:pt idx="13">
                  <c:v>186934.38348333334</c:v>
                </c:pt>
                <c:pt idx="14">
                  <c:v>17575.281798841668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E-4D55-8DEE-BE51884ABF7C}"/>
            </c:ext>
          </c:extLst>
        </c:ser>
        <c:ser>
          <c:idx val="1"/>
          <c:order val="1"/>
          <c:tx>
            <c:strRef>
              <c:f>'Graphique 1'!$A$3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'Graphique 1'!$B$1:$P$1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'Graphique 1'!$B$3:$P$3</c:f>
              <c:numCache>
                <c:formatCode>0.00E+00</c:formatCode>
                <c:ptCount val="15"/>
                <c:pt idx="0">
                  <c:v>9068.8016666666663</c:v>
                </c:pt>
                <c:pt idx="1">
                  <c:v>29976.997499999998</c:v>
                </c:pt>
                <c:pt idx="2">
                  <c:v>1597.9040833333331</c:v>
                </c:pt>
                <c:pt idx="3">
                  <c:v>1427003.8333333333</c:v>
                </c:pt>
                <c:pt idx="4">
                  <c:v>0.11479331666666666</c:v>
                </c:pt>
                <c:pt idx="5">
                  <c:v>274.40165000000002</c:v>
                </c:pt>
                <c:pt idx="6">
                  <c:v>50722880.833333336</c:v>
                </c:pt>
                <c:pt idx="7">
                  <c:v>18380032.5</c:v>
                </c:pt>
                <c:pt idx="8">
                  <c:v>36140.488333333335</c:v>
                </c:pt>
                <c:pt idx="9">
                  <c:v>27672.6875</c:v>
                </c:pt>
                <c:pt idx="10">
                  <c:v>12211.555833333334</c:v>
                </c:pt>
                <c:pt idx="11">
                  <c:v>1725.6525833333333</c:v>
                </c:pt>
                <c:pt idx="12">
                  <c:v>2849746.369942693</c:v>
                </c:pt>
                <c:pt idx="13">
                  <c:v>38844689.166666664</c:v>
                </c:pt>
                <c:pt idx="14">
                  <c:v>18764.445833333335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E-4D55-8DEE-BE51884ABF7C}"/>
            </c:ext>
          </c:extLst>
        </c:ser>
        <c:ser>
          <c:idx val="2"/>
          <c:order val="2"/>
          <c:tx>
            <c:strRef>
              <c:f>'Graphique 1'!$A$4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'Graphique 1'!$B$1:$P$1</c:f>
              <c:strCache>
                <c:ptCount val="15"/>
                <c:pt idx="0">
                  <c:v>Toxicité humaine cancérigène</c:v>
                </c:pt>
                <c:pt idx="1">
                  <c:v>Toxicité humaine non-cancérigène</c:v>
                </c:pt>
                <c:pt idx="2">
                  <c:v>Respiratoire inorganique</c:v>
                </c:pt>
                <c:pt idx="3">
                  <c:v>Radiation ionisante</c:v>
                </c:pt>
                <c:pt idx="4">
                  <c:v>Destruction de la couche d'ozone</c:v>
                </c:pt>
                <c:pt idx="5">
                  <c:v>Respiratoire organique</c:v>
                </c:pt>
                <c:pt idx="6">
                  <c:v>Ecotoxicité aquatique</c:v>
                </c:pt>
                <c:pt idx="7">
                  <c:v>Ecotoxicité terrestre</c:v>
                </c:pt>
                <c:pt idx="8">
                  <c:v>Occupation des terres</c:v>
                </c:pt>
                <c:pt idx="9">
                  <c:v>Acidification terrestre</c:v>
                </c:pt>
                <c:pt idx="10">
                  <c:v>Acidification aquatique</c:v>
                </c:pt>
                <c:pt idx="11">
                  <c:v>Eutrophisation aquatique</c:v>
                </c:pt>
                <c:pt idx="12">
                  <c:v>Réchauffement climatique</c:v>
                </c:pt>
                <c:pt idx="13">
                  <c:v>Energie non renouvelable</c:v>
                </c:pt>
                <c:pt idx="14">
                  <c:v>Extraction minière</c:v>
                </c:pt>
              </c:strCache>
            </c:strRef>
          </c:cat>
          <c:val>
            <c:numRef>
              <c:f>'Graphique 1'!$B$4:$P$4</c:f>
              <c:numCache>
                <c:formatCode>0.00E+00</c:formatCode>
                <c:ptCount val="15"/>
                <c:pt idx="0">
                  <c:v>0.50800867566666663</c:v>
                </c:pt>
                <c:pt idx="1">
                  <c:v>2.1949579335</c:v>
                </c:pt>
                <c:pt idx="2">
                  <c:v>4.8495154266666667E-2</c:v>
                </c:pt>
                <c:pt idx="3">
                  <c:v>405.56504466666661</c:v>
                </c:pt>
                <c:pt idx="4">
                  <c:v>9.2154588241666663E-6</c:v>
                </c:pt>
                <c:pt idx="5">
                  <c:v>3.0603866273333336E-2</c:v>
                </c:pt>
                <c:pt idx="6">
                  <c:v>747597.26024249988</c:v>
                </c:pt>
                <c:pt idx="7">
                  <c:v>5448.0057380833332</c:v>
                </c:pt>
                <c:pt idx="8">
                  <c:v>4.0383746841666666</c:v>
                </c:pt>
                <c:pt idx="9">
                  <c:v>0.63267682624999999</c:v>
                </c:pt>
                <c:pt idx="10">
                  <c:v>0.17045311275</c:v>
                </c:pt>
                <c:pt idx="11">
                  <c:v>6.0885168208333331E-3</c:v>
                </c:pt>
                <c:pt idx="12">
                  <c:v>48.598898452493536</c:v>
                </c:pt>
                <c:pt idx="13">
                  <c:v>843.65014925000003</c:v>
                </c:pt>
                <c:pt idx="14">
                  <c:v>0.64131222716666669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E-4D55-8DEE-BE51884A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394063"/>
        <c:axId val="604392815"/>
      </c:barChart>
      <c:catAx>
        <c:axId val="604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92815"/>
        <c:crosses val="autoZero"/>
        <c:auto val="1"/>
        <c:lblAlgn val="ctr"/>
        <c:lblOffset val="100"/>
        <c:noMultiLvlLbl val="0"/>
      </c:catAx>
      <c:valAx>
        <c:axId val="6043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Gaz</a:t>
            </a:r>
            <a:r>
              <a:rPr lang="fr-CA" baseline="0"/>
              <a:t> à effet de serre selon les étapes du cycle de vie en Alberta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Graphique2!$A$3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Graphique2!$B$2:$R$2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Graphique2!$B$3:$R$3</c:f>
              <c:numCache>
                <c:formatCode>0.00E+00</c:formatCode>
                <c:ptCount val="17"/>
                <c:pt idx="0">
                  <c:v>931.25995266523751</c:v>
                </c:pt>
                <c:pt idx="1">
                  <c:v>185086.37110767001</c:v>
                </c:pt>
                <c:pt idx="2">
                  <c:v>6.1697175389423089</c:v>
                </c:pt>
                <c:pt idx="3">
                  <c:v>1.2057780773305552E-2</c:v>
                </c:pt>
                <c:pt idx="4">
                  <c:v>679.17405141401264</c:v>
                </c:pt>
                <c:pt idx="5">
                  <c:v>7.788568840334327E-2</c:v>
                </c:pt>
                <c:pt idx="6">
                  <c:v>6.4690657788840844E-3</c:v>
                </c:pt>
                <c:pt idx="7">
                  <c:v>5.7137886563867611E-2</c:v>
                </c:pt>
                <c:pt idx="8">
                  <c:v>7.3611219078322616E-4</c:v>
                </c:pt>
                <c:pt idx="9">
                  <c:v>0.30939798453343254</c:v>
                </c:pt>
                <c:pt idx="10">
                  <c:v>1.9162314586544566E-2</c:v>
                </c:pt>
                <c:pt idx="11">
                  <c:v>9.3452561034804583E-3</c:v>
                </c:pt>
                <c:pt idx="12">
                  <c:v>2.475880721546234</c:v>
                </c:pt>
                <c:pt idx="13">
                  <c:v>3.5168266524685828E-4</c:v>
                </c:pt>
                <c:pt idx="14">
                  <c:v>4.7257469671945929</c:v>
                </c:pt>
                <c:pt idx="15">
                  <c:v>4.2045931758776946E-2</c:v>
                </c:pt>
                <c:pt idx="16">
                  <c:v>1.3305933051651351E-4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A07-8809-315CFD9E1970}"/>
            </c:ext>
          </c:extLst>
        </c:ser>
        <c:ser>
          <c:idx val="1"/>
          <c:order val="1"/>
          <c:tx>
            <c:strRef>
              <c:f>Graphique2!$A$4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Graphique2!$B$2:$R$2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Graphique2!$B$4:$R$4</c:f>
              <c:numCache>
                <c:formatCode>0.00E+00</c:formatCode>
                <c:ptCount val="17"/>
                <c:pt idx="0">
                  <c:v>37469.642930422255</c:v>
                </c:pt>
                <c:pt idx="1">
                  <c:v>50520707.561807998</c:v>
                </c:pt>
                <c:pt idx="2">
                  <c:v>1191.9293692307695</c:v>
                </c:pt>
                <c:pt idx="3">
                  <c:v>8.1319671481481457</c:v>
                </c:pt>
                <c:pt idx="4">
                  <c:v>23143.437248407645</c:v>
                </c:pt>
                <c:pt idx="5">
                  <c:v>0.28637718876404494</c:v>
                </c:pt>
                <c:pt idx="6">
                  <c:v>2.0989994666666661E-2</c:v>
                </c:pt>
                <c:pt idx="7">
                  <c:v>2.5445231307692308E-2</c:v>
                </c:pt>
                <c:pt idx="8">
                  <c:v>1.9250172965517242E-2</c:v>
                </c:pt>
                <c:pt idx="9">
                  <c:v>0.40232218888888882</c:v>
                </c:pt>
                <c:pt idx="10">
                  <c:v>3.0908404560000004E-3</c:v>
                </c:pt>
                <c:pt idx="11">
                  <c:v>4.3658139724137924E-3</c:v>
                </c:pt>
                <c:pt idx="12">
                  <c:v>0.13073778666666669</c:v>
                </c:pt>
                <c:pt idx="13">
                  <c:v>8.6437633333333347E-2</c:v>
                </c:pt>
                <c:pt idx="14">
                  <c:v>0.25817796840000001</c:v>
                </c:pt>
                <c:pt idx="15">
                  <c:v>4.1007740756756755E-2</c:v>
                </c:pt>
                <c:pt idx="16">
                  <c:v>9.6594746769230758E-2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A07-8809-315CFD9E1970}"/>
            </c:ext>
          </c:extLst>
        </c:ser>
        <c:ser>
          <c:idx val="2"/>
          <c:order val="2"/>
          <c:tx>
            <c:strRef>
              <c:f>Graphique2!$A$5</c:f>
              <c:strCache>
                <c:ptCount val="1"/>
                <c:pt idx="0">
                  <c:v>Fin de 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Graphique2!$B$2:$R$2</c:f>
              <c:strCache>
                <c:ptCount val="17"/>
                <c:pt idx="0">
                  <c:v>CH4</c:v>
                </c:pt>
                <c:pt idx="1">
                  <c:v>CO2</c:v>
                </c:pt>
                <c:pt idx="2">
                  <c:v>N2O</c:v>
                </c:pt>
                <c:pt idx="3">
                  <c:v>SF6</c:v>
                </c:pt>
                <c:pt idx="4">
                  <c:v>CO</c:v>
                </c:pt>
                <c:pt idx="5">
                  <c:v>CFC-14</c:v>
                </c:pt>
                <c:pt idx="6">
                  <c:v>HFC-116</c:v>
                </c:pt>
                <c:pt idx="7">
                  <c:v>CFC-12</c:v>
                </c:pt>
                <c:pt idx="8">
                  <c:v>CFC-114</c:v>
                </c:pt>
                <c:pt idx="9">
                  <c:v>HCFC-22</c:v>
                </c:pt>
                <c:pt idx="10">
                  <c:v>HFC-23</c:v>
                </c:pt>
                <c:pt idx="11">
                  <c:v>CFC-10</c:v>
                </c:pt>
                <c:pt idx="12">
                  <c:v>CFC-113</c:v>
                </c:pt>
                <c:pt idx="13">
                  <c:v>Halon 1301</c:v>
                </c:pt>
                <c:pt idx="14">
                  <c:v>HFC-134a</c:v>
                </c:pt>
                <c:pt idx="15">
                  <c:v>HFC-152a</c:v>
                </c:pt>
                <c:pt idx="16">
                  <c:v>Halon 1211</c:v>
                </c:pt>
              </c:strCache>
            </c:strRef>
          </c:cat>
          <c:val>
            <c:numRef>
              <c:f>Graphique2!$B$5:$R$5</c:f>
              <c:numCache>
                <c:formatCode>0.00E+00</c:formatCode>
                <c:ptCount val="17"/>
                <c:pt idx="0">
                  <c:v>1.8801485764705759</c:v>
                </c:pt>
                <c:pt idx="1">
                  <c:v>850.81768869181485</c:v>
                </c:pt>
                <c:pt idx="2">
                  <c:v>3.6798361488461544E-2</c:v>
                </c:pt>
                <c:pt idx="3">
                  <c:v>2.0829400249999996E-5</c:v>
                </c:pt>
                <c:pt idx="4">
                  <c:v>1.9259534400955414</c:v>
                </c:pt>
                <c:pt idx="5">
                  <c:v>1.6276583378089886E-5</c:v>
                </c:pt>
                <c:pt idx="6">
                  <c:v>1.20563498275E-6</c:v>
                </c:pt>
                <c:pt idx="7">
                  <c:v>5.6458944478846157E-7</c:v>
                </c:pt>
                <c:pt idx="8">
                  <c:v>2.1761560898275866E-6</c:v>
                </c:pt>
                <c:pt idx="9">
                  <c:v>1.1535602588888886E-5</c:v>
                </c:pt>
                <c:pt idx="10">
                  <c:v>1.7214159531E-7</c:v>
                </c:pt>
                <c:pt idx="11">
                  <c:v>3.6940680106034481E-7</c:v>
                </c:pt>
                <c:pt idx="12">
                  <c:v>2.9686064222222224E-7</c:v>
                </c:pt>
                <c:pt idx="13">
                  <c:v>1.3356452198333334E-5</c:v>
                </c:pt>
                <c:pt idx="14">
                  <c:v>1.3022806979999999E-6</c:v>
                </c:pt>
                <c:pt idx="15">
                  <c:v>2.5436464791891893E-6</c:v>
                </c:pt>
                <c:pt idx="16">
                  <c:v>2.9511956242307687E-7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A07-8809-315CFD9E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435727"/>
        <c:axId val="800424079"/>
      </c:barChart>
      <c:catAx>
        <c:axId val="8004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24079"/>
        <c:crosses val="autoZero"/>
        <c:auto val="1"/>
        <c:lblAlgn val="ctr"/>
        <c:lblOffset val="100"/>
        <c:noMultiLvlLbl val="0"/>
      </c:catAx>
      <c:valAx>
        <c:axId val="8004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175260</xdr:rowOff>
    </xdr:from>
    <xdr:to>
      <xdr:col>15</xdr:col>
      <xdr:colOff>549897</xdr:colOff>
      <xdr:row>31</xdr:row>
      <xdr:rowOff>70701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E43640C4-64BB-468E-59A9-563B8903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462915</xdr:colOff>
      <xdr:row>8</xdr:row>
      <xdr:rowOff>50482</xdr:rowOff>
    </xdr:from>
    <xdr:to>
      <xdr:col>14</xdr:col>
      <xdr:colOff>325755</xdr:colOff>
      <xdr:row>27</xdr:row>
      <xdr:rowOff>35242</xdr:rowOff>
    </xdr:to>
    <xdr:graphicFrame macro="">
      <xdr:nvGraphicFramePr>
        <xdr:cNvPr id="20" name="Graphique 1">
          <a:extLst>
            <a:ext uri="{FF2B5EF4-FFF2-40B4-BE49-F238E27FC236}">
              <a16:creationId xmlns:a16="http://schemas.microsoft.com/office/drawing/2014/main" id="{4D5762FD-3E16-5117-A24B-A80B20424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F301-EE25-45E0-9B8F-0DD760E30015}">
  <dimension ref="A1:A2"/>
  <sheetViews>
    <sheetView tabSelected="1" workbookViewId="0">
      <selection activeCell="A2" sqref="A1:A2"/>
    </sheetView>
  </sheetViews>
  <sheetFormatPr baseColWidth="10" defaultRowHeight="14.4" x14ac:dyDescent="0.3"/>
  <cols>
    <col min="1" max="1" width="50.88671875" customWidth="1"/>
  </cols>
  <sheetData>
    <row r="1" spans="1:1" ht="15.6" x14ac:dyDescent="0.3">
      <c r="A1" s="76" t="s">
        <v>89</v>
      </c>
    </row>
    <row r="2" spans="1:1" ht="16.2" thickBot="1" x14ac:dyDescent="0.35">
      <c r="A2" s="77" t="s">
        <v>90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zoomScale="85" zoomScaleNormal="85" workbookViewId="0">
      <selection activeCell="A2" sqref="A1:A2"/>
    </sheetView>
  </sheetViews>
  <sheetFormatPr baseColWidth="10" defaultColWidth="11.44140625" defaultRowHeight="14.4" x14ac:dyDescent="0.3"/>
  <cols>
    <col min="1" max="1" width="54.109375" customWidth="1"/>
    <col min="18" max="18" width="12.109375" customWidth="1"/>
    <col min="19" max="19" width="12.6640625" customWidth="1"/>
    <col min="22" max="22" width="12.44140625" bestFit="1" customWidth="1"/>
    <col min="25" max="25" width="12" customWidth="1"/>
    <col min="26" max="26" width="12.44140625" customWidth="1"/>
  </cols>
  <sheetData>
    <row r="1" spans="1:34" ht="15.6" x14ac:dyDescent="0.3">
      <c r="A1" s="76" t="s">
        <v>89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4" ht="16.2" thickBot="1" x14ac:dyDescent="0.35">
      <c r="A2" s="77" t="s">
        <v>90</v>
      </c>
      <c r="B2" s="2"/>
      <c r="C2" s="2"/>
      <c r="D2" s="4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1" t="s">
        <v>76</v>
      </c>
    </row>
    <row r="3" spans="1:34" ht="15" thickBot="1" x14ac:dyDescent="0.35">
      <c r="A3" s="75" t="s">
        <v>0</v>
      </c>
      <c r="B3" s="10" t="s">
        <v>12</v>
      </c>
      <c r="C3" s="10" t="s">
        <v>1</v>
      </c>
      <c r="D3" s="10" t="s">
        <v>23</v>
      </c>
      <c r="E3" s="10" t="s">
        <v>16</v>
      </c>
      <c r="F3" s="10" t="s">
        <v>2</v>
      </c>
      <c r="G3" s="10" t="s">
        <v>14</v>
      </c>
      <c r="H3" s="10" t="s">
        <v>7</v>
      </c>
      <c r="I3" s="10" t="s">
        <v>11</v>
      </c>
      <c r="J3" s="10" t="s">
        <v>6</v>
      </c>
      <c r="K3" s="10" t="s">
        <v>10</v>
      </c>
      <c r="L3" s="10" t="s">
        <v>15</v>
      </c>
      <c r="M3" s="10" t="s">
        <v>13</v>
      </c>
      <c r="N3" s="10" t="s">
        <v>5</v>
      </c>
      <c r="O3" s="10" t="s">
        <v>9</v>
      </c>
      <c r="P3" s="10" t="s">
        <v>4</v>
      </c>
      <c r="Q3" s="10" t="s">
        <v>3</v>
      </c>
      <c r="R3" s="10" t="s">
        <v>8</v>
      </c>
      <c r="S3" s="2"/>
      <c r="T3" s="2"/>
      <c r="U3" s="63" t="s">
        <v>17</v>
      </c>
      <c r="V3" s="64" t="s">
        <v>74</v>
      </c>
    </row>
    <row r="4" spans="1:34" ht="15" thickBot="1" x14ac:dyDescent="0.35">
      <c r="A4" s="4" t="s">
        <v>17</v>
      </c>
      <c r="B4" s="36" t="s">
        <v>18</v>
      </c>
      <c r="C4" s="36" t="s">
        <v>18</v>
      </c>
      <c r="D4" s="36" t="s">
        <v>19</v>
      </c>
      <c r="E4" s="36" t="s">
        <v>21</v>
      </c>
      <c r="F4" s="36" t="s">
        <v>19</v>
      </c>
      <c r="G4" s="36" t="s">
        <v>21</v>
      </c>
      <c r="H4" s="36" t="s">
        <v>21</v>
      </c>
      <c r="I4" s="36" t="s">
        <v>20</v>
      </c>
      <c r="J4" s="36" t="s">
        <v>20</v>
      </c>
      <c r="K4" s="36" t="s">
        <v>21</v>
      </c>
      <c r="L4" s="36" t="s">
        <v>20</v>
      </c>
      <c r="M4" s="36" t="s">
        <v>21</v>
      </c>
      <c r="N4" s="36" t="s">
        <v>20</v>
      </c>
      <c r="O4" s="36" t="s">
        <v>20</v>
      </c>
      <c r="P4" s="36" t="s">
        <v>20</v>
      </c>
      <c r="Q4" s="36" t="s">
        <v>20</v>
      </c>
      <c r="R4" s="36" t="s">
        <v>20</v>
      </c>
      <c r="S4" s="2"/>
      <c r="T4" s="2"/>
      <c r="U4" s="59" t="s">
        <v>20</v>
      </c>
      <c r="V4" s="60">
        <v>1.0000000000000001E-9</v>
      </c>
      <c r="Z4" s="23"/>
      <c r="AA4" s="11"/>
      <c r="AD4" s="26"/>
      <c r="AE4" s="26"/>
    </row>
    <row r="5" spans="1:34" ht="15.75" customHeight="1" thickBot="1" x14ac:dyDescent="0.35">
      <c r="A5" s="46" t="s">
        <v>22</v>
      </c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2"/>
      <c r="T5" s="38"/>
      <c r="U5" s="59" t="s">
        <v>21</v>
      </c>
      <c r="V5" s="31">
        <v>9.9999999999999995E-7</v>
      </c>
    </row>
    <row r="6" spans="1:34" ht="15" customHeight="1" x14ac:dyDescent="0.3">
      <c r="A6" s="39" t="s">
        <v>54</v>
      </c>
      <c r="B6" s="12">
        <v>156.0372521174408</v>
      </c>
      <c r="C6" s="3">
        <v>33269.751269999993</v>
      </c>
      <c r="D6" s="3">
        <v>2130.9975961538457</v>
      </c>
      <c r="E6" s="3">
        <v>5818.1592592592588</v>
      </c>
      <c r="F6" s="3">
        <v>292371.76433121017</v>
      </c>
      <c r="G6" s="3">
        <v>59078.322471910113</v>
      </c>
      <c r="H6" s="3">
        <v>5085.1386666666676</v>
      </c>
      <c r="I6" s="3">
        <v>6649687.5</v>
      </c>
      <c r="J6" s="3">
        <v>271268.89655172417</v>
      </c>
      <c r="K6" s="3">
        <v>14818.517777777779</v>
      </c>
      <c r="L6" s="3">
        <v>773165.625</v>
      </c>
      <c r="M6" s="3">
        <v>635.7685344827587</v>
      </c>
      <c r="N6" s="3">
        <v>402548.79999999987</v>
      </c>
      <c r="O6" s="3">
        <v>110893.09444444446</v>
      </c>
      <c r="P6" s="3">
        <v>1651846.6875</v>
      </c>
      <c r="Q6" s="3">
        <v>8279353.7837837851</v>
      </c>
      <c r="R6" s="13">
        <v>47179.796153846153</v>
      </c>
      <c r="S6" s="72" t="s">
        <v>70</v>
      </c>
      <c r="U6" s="59" t="s">
        <v>19</v>
      </c>
      <c r="V6" s="60">
        <v>1E-3</v>
      </c>
      <c r="Y6" s="23"/>
      <c r="Z6" s="11"/>
      <c r="AC6" s="26"/>
      <c r="AD6" s="26"/>
    </row>
    <row r="7" spans="1:34" ht="15" thickBot="1" x14ac:dyDescent="0.35">
      <c r="A7" s="40" t="s">
        <v>55</v>
      </c>
      <c r="B7" s="14">
        <v>24.952528718767105</v>
      </c>
      <c r="C7" s="7">
        <v>5130.3074586000002</v>
      </c>
      <c r="D7" s="7">
        <v>169.16990384615383</v>
      </c>
      <c r="E7" s="7">
        <v>325.8804953703704</v>
      </c>
      <c r="F7" s="7">
        <v>33057.97738853503</v>
      </c>
      <c r="G7" s="7">
        <v>603.34356741573038</v>
      </c>
      <c r="H7" s="7">
        <v>44.386777500000008</v>
      </c>
      <c r="I7" s="7">
        <v>38338.465384615381</v>
      </c>
      <c r="J7" s="7">
        <v>35387.358620689651</v>
      </c>
      <c r="K7" s="7">
        <v>658.0727777777779</v>
      </c>
      <c r="L7" s="7">
        <v>6565.2313500000009</v>
      </c>
      <c r="M7" s="7">
        <v>11.09114172413793</v>
      </c>
      <c r="N7" s="7">
        <v>8560.7733333333326</v>
      </c>
      <c r="O7" s="7">
        <v>13514.120555555555</v>
      </c>
      <c r="P7" s="7">
        <v>31855.859250000005</v>
      </c>
      <c r="Q7" s="7">
        <v>83135.48108108106</v>
      </c>
      <c r="R7" s="15">
        <v>6356.9407692307686</v>
      </c>
      <c r="S7" s="72"/>
      <c r="U7" s="61" t="s">
        <v>18</v>
      </c>
      <c r="V7" s="62">
        <v>1</v>
      </c>
      <c r="Y7" s="23"/>
      <c r="Z7" s="11"/>
      <c r="AC7" s="26"/>
      <c r="AD7" s="26"/>
    </row>
    <row r="8" spans="1:34" x14ac:dyDescent="0.3">
      <c r="A8" s="40" t="s">
        <v>56</v>
      </c>
      <c r="B8" s="14">
        <v>113.94283283424673</v>
      </c>
      <c r="C8" s="7">
        <v>21653.538184500001</v>
      </c>
      <c r="D8" s="7">
        <v>1104.3173076923078</v>
      </c>
      <c r="E8" s="7">
        <v>2656.644629629629</v>
      </c>
      <c r="F8" s="7">
        <v>111731.02547770701</v>
      </c>
      <c r="G8" s="7">
        <v>2679.2396629213481</v>
      </c>
      <c r="H8" s="7">
        <v>200.51275833333332</v>
      </c>
      <c r="I8" s="7">
        <v>8460446.8269230761</v>
      </c>
      <c r="J8" s="7">
        <v>162695.18103448275</v>
      </c>
      <c r="K8" s="7">
        <v>286566.30555555556</v>
      </c>
      <c r="L8" s="7">
        <v>18165042</v>
      </c>
      <c r="M8" s="7">
        <v>8356.993965517242</v>
      </c>
      <c r="N8" s="7">
        <v>329072.93333333335</v>
      </c>
      <c r="O8" s="7">
        <v>57686.566666666673</v>
      </c>
      <c r="P8" s="7">
        <v>20978658.75</v>
      </c>
      <c r="Q8" s="7">
        <v>1813354.3783783782</v>
      </c>
      <c r="R8" s="15">
        <v>28768.657307692298</v>
      </c>
      <c r="S8" s="72"/>
      <c r="Y8" s="23"/>
      <c r="Z8" s="11"/>
      <c r="AC8" s="26"/>
      <c r="AD8" s="26"/>
    </row>
    <row r="9" spans="1:34" x14ac:dyDescent="0.3">
      <c r="A9" s="40" t="s">
        <v>57</v>
      </c>
      <c r="B9" s="14">
        <v>116.11779211881314</v>
      </c>
      <c r="C9" s="7">
        <v>24546.669504000001</v>
      </c>
      <c r="D9" s="7">
        <v>2388.7902884615387</v>
      </c>
      <c r="E9" s="7">
        <v>2126.4643518518519</v>
      </c>
      <c r="F9" s="7">
        <v>164985.21974522294</v>
      </c>
      <c r="G9" s="7">
        <v>4910.8719101123597</v>
      </c>
      <c r="H9" s="7">
        <v>361.63049999999998</v>
      </c>
      <c r="I9" s="7">
        <v>41962944.230769232</v>
      </c>
      <c r="J9" s="7">
        <v>204940.5</v>
      </c>
      <c r="K9" s="7">
        <v>5896.6099999999988</v>
      </c>
      <c r="L9" s="7">
        <v>210890.09999999995</v>
      </c>
      <c r="M9" s="7">
        <v>260.2503103448276</v>
      </c>
      <c r="N9" s="7">
        <v>2475131000</v>
      </c>
      <c r="O9" s="7">
        <v>74610.361111111109</v>
      </c>
      <c r="P9" s="7">
        <v>4703038500</v>
      </c>
      <c r="Q9" s="7">
        <v>31788878.513513513</v>
      </c>
      <c r="R9" s="15">
        <v>33834.076538461537</v>
      </c>
      <c r="S9" s="72"/>
      <c r="Y9" s="23"/>
      <c r="Z9" s="11"/>
      <c r="AC9" s="26"/>
      <c r="AD9" s="26"/>
    </row>
    <row r="10" spans="1:34" x14ac:dyDescent="0.3">
      <c r="A10" s="40" t="s">
        <v>58</v>
      </c>
      <c r="B10" s="14">
        <v>2.0751750667000066</v>
      </c>
      <c r="C10" s="7">
        <v>1511.96878707</v>
      </c>
      <c r="D10" s="7">
        <v>68.306370192307696</v>
      </c>
      <c r="E10" s="7">
        <v>30.198332407407406</v>
      </c>
      <c r="F10" s="7">
        <v>2460.8365605095541</v>
      </c>
      <c r="G10" s="7">
        <v>30.827396629213482</v>
      </c>
      <c r="H10" s="7">
        <v>2.2746968333333335</v>
      </c>
      <c r="I10" s="7">
        <v>951.10355769230762</v>
      </c>
      <c r="J10" s="7">
        <v>2829.2036206896555</v>
      </c>
      <c r="K10" s="7">
        <v>19.618040555555552</v>
      </c>
      <c r="L10" s="7">
        <v>277.69192499999997</v>
      </c>
      <c r="M10" s="7">
        <v>0.66357501724137935</v>
      </c>
      <c r="N10" s="7">
        <v>390.6563666666666</v>
      </c>
      <c r="O10" s="7">
        <v>25230.616666666669</v>
      </c>
      <c r="P10" s="7">
        <v>1815.4096124999994</v>
      </c>
      <c r="Q10" s="7">
        <v>4264.6516216216214</v>
      </c>
      <c r="R10" s="15">
        <v>385.83346153846156</v>
      </c>
      <c r="S10" s="7"/>
      <c r="V10" s="5"/>
      <c r="Y10" s="23"/>
      <c r="Z10" s="11"/>
      <c r="AC10" s="26"/>
      <c r="AD10" s="26"/>
    </row>
    <row r="11" spans="1:34" ht="15" customHeight="1" x14ac:dyDescent="0.3">
      <c r="A11" s="40" t="s">
        <v>69</v>
      </c>
      <c r="B11" s="14">
        <v>110.19928108322367</v>
      </c>
      <c r="C11" s="7">
        <v>19722.274048800002</v>
      </c>
      <c r="D11" s="7">
        <v>1.0451435769230768</v>
      </c>
      <c r="E11" s="7">
        <v>1.3344704444444442E-2</v>
      </c>
      <c r="F11" s="7">
        <v>71.189628535031844</v>
      </c>
      <c r="G11" s="7">
        <v>9.8888023820224713E-3</v>
      </c>
      <c r="H11" s="7">
        <v>8.6109217999999987E-4</v>
      </c>
      <c r="I11" s="7">
        <v>1.0205329153846151E-3</v>
      </c>
      <c r="J11" s="7">
        <v>2.293535544827586E-4</v>
      </c>
      <c r="K11" s="7">
        <v>5.8316238000000005E-3</v>
      </c>
      <c r="L11" s="7">
        <v>1.7269595999999996E-4</v>
      </c>
      <c r="M11" s="7">
        <v>3.8392082689655177E-4</v>
      </c>
      <c r="N11" s="7">
        <v>1.0132028933333331E-4</v>
      </c>
      <c r="O11" s="7">
        <v>5.9245958666666666E-5</v>
      </c>
      <c r="P11" s="7">
        <v>3.4752365999999994E-3</v>
      </c>
      <c r="Q11" s="7">
        <v>3.3388960864864869E-3</v>
      </c>
      <c r="R11" s="15">
        <v>3.1655552307692305E-5</v>
      </c>
      <c r="S11" s="73" t="s">
        <v>59</v>
      </c>
      <c r="V11" s="5"/>
      <c r="Y11" s="23"/>
      <c r="Z11" s="11"/>
      <c r="AC11" s="26"/>
      <c r="AD11" s="26"/>
    </row>
    <row r="12" spans="1:34" ht="15" customHeight="1" x14ac:dyDescent="0.3">
      <c r="A12" s="40" t="s">
        <v>65</v>
      </c>
      <c r="B12" s="14">
        <v>55.099640541611834</v>
      </c>
      <c r="C12" s="7">
        <v>9861.1370244000009</v>
      </c>
      <c r="D12" s="7">
        <v>0.5225717884615384</v>
      </c>
      <c r="E12" s="7">
        <v>6.672352222222221E-3</v>
      </c>
      <c r="F12" s="7">
        <v>35.594814267515922</v>
      </c>
      <c r="G12" s="7">
        <v>4.9444011910112357E-3</v>
      </c>
      <c r="H12" s="7">
        <v>4.3054608999999993E-4</v>
      </c>
      <c r="I12" s="7">
        <v>5.1026645769230755E-4</v>
      </c>
      <c r="J12" s="7">
        <v>1.146767772413793E-4</v>
      </c>
      <c r="K12" s="7">
        <v>2.9158119000000002E-3</v>
      </c>
      <c r="L12" s="7">
        <v>8.6347979999999979E-5</v>
      </c>
      <c r="M12" s="7">
        <v>1.9196041344827589E-4</v>
      </c>
      <c r="N12" s="7">
        <v>5.0660144666666653E-5</v>
      </c>
      <c r="O12" s="7">
        <v>2.9622979333333333E-5</v>
      </c>
      <c r="P12" s="7">
        <v>1.7376182999999997E-3</v>
      </c>
      <c r="Q12" s="7">
        <v>1.6694480432432434E-3</v>
      </c>
      <c r="R12" s="15">
        <v>1.5827776153846153E-5</v>
      </c>
      <c r="S12" s="73"/>
      <c r="V12" s="5"/>
      <c r="Y12" s="23"/>
      <c r="Z12" s="11"/>
      <c r="AC12" s="26"/>
      <c r="AD12" s="26"/>
    </row>
    <row r="13" spans="1:34" ht="15" customHeight="1" x14ac:dyDescent="0.3">
      <c r="A13" s="40" t="s">
        <v>66</v>
      </c>
      <c r="B13" s="14">
        <v>123.97419121862663</v>
      </c>
      <c r="C13" s="7">
        <v>22187.558304900002</v>
      </c>
      <c r="D13" s="7">
        <v>1.1757865240384615</v>
      </c>
      <c r="E13" s="7">
        <v>1.50127925E-2</v>
      </c>
      <c r="F13" s="7">
        <v>80.088332101910822</v>
      </c>
      <c r="G13" s="7">
        <v>1.112490267977528E-2</v>
      </c>
      <c r="H13" s="7">
        <v>9.6872870250000009E-4</v>
      </c>
      <c r="I13" s="7">
        <v>1.1480995298076922E-3</v>
      </c>
      <c r="J13" s="7">
        <v>2.5802274879310348E-4</v>
      </c>
      <c r="K13" s="7">
        <v>6.5605767750000002E-3</v>
      </c>
      <c r="L13" s="7">
        <v>1.9428295499999997E-4</v>
      </c>
      <c r="M13" s="7">
        <v>4.3191093025862076E-4</v>
      </c>
      <c r="N13" s="7">
        <v>1.1398532549999997E-4</v>
      </c>
      <c r="O13" s="7">
        <v>6.665170349999999E-5</v>
      </c>
      <c r="P13" s="7">
        <v>3.909641174999999E-3</v>
      </c>
      <c r="Q13" s="7">
        <v>3.756258097297298E-3</v>
      </c>
      <c r="R13" s="15">
        <v>3.5612496346153845E-5</v>
      </c>
      <c r="S13" s="73"/>
      <c r="Y13" s="23"/>
      <c r="Z13" s="11"/>
      <c r="AC13" s="26"/>
      <c r="AD13" s="26"/>
    </row>
    <row r="14" spans="1:34" ht="15" customHeight="1" x14ac:dyDescent="0.3">
      <c r="A14" s="40" t="s">
        <v>67</v>
      </c>
      <c r="B14" s="14">
        <v>169.8905583366365</v>
      </c>
      <c r="C14" s="7">
        <v>30405.172491900001</v>
      </c>
      <c r="D14" s="7">
        <v>1.6112630144230766</v>
      </c>
      <c r="E14" s="7">
        <v>2.0573086018518517E-2</v>
      </c>
      <c r="F14" s="7">
        <v>109.75067732484075</v>
      </c>
      <c r="G14" s="7">
        <v>1.5245237005617975E-2</v>
      </c>
      <c r="H14" s="7">
        <v>1.3275171108333332E-3</v>
      </c>
      <c r="I14" s="7">
        <v>1.5733215778846151E-3</v>
      </c>
      <c r="J14" s="7">
        <v>3.535867298275862E-4</v>
      </c>
      <c r="K14" s="7">
        <v>8.990420025000001E-3</v>
      </c>
      <c r="L14" s="7">
        <v>2.6623960500000001E-4</v>
      </c>
      <c r="M14" s="7">
        <v>5.9187794146551729E-4</v>
      </c>
      <c r="N14" s="7">
        <v>1.5620211272222219E-4</v>
      </c>
      <c r="O14" s="7">
        <v>9.133751961111112E-5</v>
      </c>
      <c r="P14" s="7">
        <v>5.3576564249999993E-3</v>
      </c>
      <c r="Q14" s="7">
        <v>5.1474648000000012E-3</v>
      </c>
      <c r="R14" s="15">
        <v>4.8802309807692295E-5</v>
      </c>
      <c r="S14" s="73"/>
      <c r="Y14" s="23"/>
      <c r="Z14" s="11"/>
      <c r="AC14" s="26"/>
      <c r="AD14" s="26"/>
    </row>
    <row r="15" spans="1:34" ht="15" thickBot="1" x14ac:dyDescent="0.35">
      <c r="A15" s="40" t="s">
        <v>60</v>
      </c>
      <c r="B15" s="14">
        <v>58.970700629171041</v>
      </c>
      <c r="C15" s="7">
        <v>16797.994033499999</v>
      </c>
      <c r="D15" s="7">
        <v>303.78130769230768</v>
      </c>
      <c r="E15" s="7">
        <v>1100.3781018518516</v>
      </c>
      <c r="F15" s="7">
        <v>74270.604458598711</v>
      </c>
      <c r="G15" s="7">
        <v>10583.042191011236</v>
      </c>
      <c r="H15" s="7">
        <v>775.11879166666677</v>
      </c>
      <c r="I15" s="7">
        <v>25518.43298076923</v>
      </c>
      <c r="J15" s="7">
        <v>58991.05</v>
      </c>
      <c r="K15" s="7">
        <v>1438.8360833333334</v>
      </c>
      <c r="L15" s="7">
        <v>6373.9375499999996</v>
      </c>
      <c r="M15" s="7">
        <v>80.486976724137932</v>
      </c>
      <c r="N15" s="7">
        <v>9148.3827777777769</v>
      </c>
      <c r="O15" s="7">
        <v>69747.905555555568</v>
      </c>
      <c r="P15" s="7">
        <v>44290.473749999997</v>
      </c>
      <c r="Q15" s="7">
        <v>76944.936486486491</v>
      </c>
      <c r="R15" s="15">
        <v>16534.026153846149</v>
      </c>
      <c r="S15" s="2"/>
      <c r="Y15" s="23"/>
      <c r="Z15" s="11"/>
      <c r="AC15" s="26"/>
      <c r="AD15" s="26"/>
    </row>
    <row r="16" spans="1:34" ht="15" thickBot="1" x14ac:dyDescent="0.35">
      <c r="A16" s="47" t="s">
        <v>53</v>
      </c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1" ht="16.5" customHeight="1" thickBot="1" x14ac:dyDescent="0.35">
      <c r="A17" s="40" t="s">
        <v>68</v>
      </c>
      <c r="B17" s="14">
        <v>37469.642930422255</v>
      </c>
      <c r="C17" s="7">
        <v>50520707.561807998</v>
      </c>
      <c r="D17" s="7">
        <v>1191929.3692307693</v>
      </c>
      <c r="E17" s="7">
        <v>8131967.1481481465</v>
      </c>
      <c r="F17" s="7">
        <v>23143437.248407643</v>
      </c>
      <c r="G17" s="7">
        <v>286377.18876404496</v>
      </c>
      <c r="H17" s="7">
        <v>20989.994666666662</v>
      </c>
      <c r="I17" s="7">
        <v>25445231.307692308</v>
      </c>
      <c r="J17" s="7">
        <v>19250172.965517242</v>
      </c>
      <c r="K17" s="7">
        <v>402322.18888888886</v>
      </c>
      <c r="L17" s="7">
        <v>3090840.4560000002</v>
      </c>
      <c r="M17" s="7">
        <v>4365.8139724137927</v>
      </c>
      <c r="N17" s="7">
        <v>130737786.66666669</v>
      </c>
      <c r="O17" s="7">
        <v>86437633.333333343</v>
      </c>
      <c r="P17" s="7">
        <v>258177968.40000001</v>
      </c>
      <c r="Q17" s="7">
        <v>41007740.756756753</v>
      </c>
      <c r="R17" s="15">
        <v>96594746.769230753</v>
      </c>
      <c r="S17" s="2"/>
      <c r="Y17" s="23"/>
      <c r="Z17" s="11"/>
      <c r="AC17" s="26"/>
      <c r="AD17" s="26"/>
    </row>
    <row r="18" spans="1:31" ht="15" thickBot="1" x14ac:dyDescent="0.35">
      <c r="A18" s="47" t="s">
        <v>24</v>
      </c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5" customHeight="1" x14ac:dyDescent="0.3">
      <c r="A19" s="40" t="s">
        <v>71</v>
      </c>
      <c r="B19" s="14">
        <v>0.44509904750239926</v>
      </c>
      <c r="C19" s="7">
        <v>3.607353168315</v>
      </c>
      <c r="D19" s="7">
        <v>9.3912834615384591E-2</v>
      </c>
      <c r="E19" s="7">
        <v>7.6747009259259258E-2</v>
      </c>
      <c r="F19" s="7">
        <v>6.7976534713375791</v>
      </c>
      <c r="G19" s="7">
        <v>2.044528820224719E-2</v>
      </c>
      <c r="H19" s="7">
        <v>1.5118244166666666E-3</v>
      </c>
      <c r="I19" s="7">
        <v>1.5396774807692308</v>
      </c>
      <c r="J19" s="7">
        <v>6.4620898275862064</v>
      </c>
      <c r="K19" s="7">
        <v>2.8559783333333338E-2</v>
      </c>
      <c r="L19" s="7">
        <v>0.44432480999999996</v>
      </c>
      <c r="M19" s="7">
        <v>8.8028381896551697E-4</v>
      </c>
      <c r="N19" s="7">
        <v>0.95124222222222232</v>
      </c>
      <c r="O19" s="7">
        <v>29.40719833333333</v>
      </c>
      <c r="P19" s="7">
        <v>3.9705104999999992</v>
      </c>
      <c r="Q19" s="7">
        <v>6.4172035135135133</v>
      </c>
      <c r="R19" s="15">
        <v>0.77132396153846139</v>
      </c>
      <c r="S19" s="2"/>
      <c r="V19" s="23"/>
      <c r="W19" s="11"/>
      <c r="Z19" s="26"/>
      <c r="AA19" s="26"/>
    </row>
    <row r="20" spans="1:31" x14ac:dyDescent="0.3">
      <c r="A20" s="40" t="s">
        <v>72</v>
      </c>
      <c r="B20" s="14">
        <v>0.39746199571684737</v>
      </c>
      <c r="C20" s="7">
        <v>91.225971988499992</v>
      </c>
      <c r="D20" s="7">
        <v>2.5512630769230773</v>
      </c>
      <c r="E20" s="7">
        <v>5.6534870370370367</v>
      </c>
      <c r="F20" s="7">
        <v>688.73750636942668</v>
      </c>
      <c r="G20" s="7">
        <v>0.84243960674157314</v>
      </c>
      <c r="H20" s="7">
        <v>6.6774741666666665E-2</v>
      </c>
      <c r="I20" s="7">
        <v>87.497988461538469</v>
      </c>
      <c r="J20" s="7">
        <v>755.09218965517232</v>
      </c>
      <c r="K20" s="7">
        <v>1.6980225277777778</v>
      </c>
      <c r="L20" s="7">
        <v>32.851306500000007</v>
      </c>
      <c r="M20" s="7">
        <v>3.6739008620689656E-2</v>
      </c>
      <c r="N20" s="7">
        <v>100.58121666666668</v>
      </c>
      <c r="O20" s="7">
        <v>711.73666666666668</v>
      </c>
      <c r="P20" s="7">
        <v>390.6053624999999</v>
      </c>
      <c r="Q20" s="7">
        <v>404.9034648648647</v>
      </c>
      <c r="R20" s="15">
        <v>101.43150000000001</v>
      </c>
      <c r="S20" s="2"/>
      <c r="V20" s="23"/>
      <c r="W20" s="11"/>
      <c r="Z20" s="26"/>
      <c r="AA20" s="26"/>
    </row>
    <row r="21" spans="1:31" ht="15" thickBot="1" x14ac:dyDescent="0.35">
      <c r="A21" s="41" t="s">
        <v>63</v>
      </c>
      <c r="B21" s="8">
        <v>1.0375875332513291</v>
      </c>
      <c r="C21" s="9">
        <v>755.98436353499983</v>
      </c>
      <c r="D21" s="9">
        <v>34.153185576923079</v>
      </c>
      <c r="E21" s="9">
        <v>15.099166203703703</v>
      </c>
      <c r="F21" s="9">
        <v>1230.4182802547771</v>
      </c>
      <c r="G21" s="9">
        <v>15.413698483146067</v>
      </c>
      <c r="H21" s="9">
        <v>1.1373484166666668</v>
      </c>
      <c r="I21" s="9">
        <v>475.55177884615381</v>
      </c>
      <c r="J21" s="9">
        <v>1414.6018103448278</v>
      </c>
      <c r="K21" s="9">
        <v>9.8090202777777762</v>
      </c>
      <c r="L21" s="9">
        <v>138.84596399999998</v>
      </c>
      <c r="M21" s="9">
        <v>0.33178750862068968</v>
      </c>
      <c r="N21" s="9">
        <v>195.3281833333333</v>
      </c>
      <c r="O21" s="9">
        <v>12615.308333333334</v>
      </c>
      <c r="P21" s="9">
        <v>907.70482499999991</v>
      </c>
      <c r="Q21" s="9">
        <v>2132.3258108108107</v>
      </c>
      <c r="R21" s="16">
        <v>192.91673846153842</v>
      </c>
      <c r="S21" s="2"/>
      <c r="V21" s="23"/>
      <c r="W21" s="11"/>
      <c r="Z21" s="26"/>
      <c r="AA21" s="26"/>
    </row>
    <row r="22" spans="1:31" x14ac:dyDescent="0.3">
      <c r="A22" s="23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4"/>
      <c r="T22" s="2"/>
      <c r="W22" s="23"/>
      <c r="X22" s="11"/>
    </row>
    <row r="23" spans="1:31" ht="15.75" customHeight="1" thickBot="1" x14ac:dyDescent="0.35">
      <c r="A23" s="58" t="s">
        <v>75</v>
      </c>
    </row>
    <row r="24" spans="1:31" ht="17.25" customHeight="1" thickTop="1" thickBot="1" x14ac:dyDescent="0.35">
      <c r="A24" s="1" t="s">
        <v>0</v>
      </c>
      <c r="B24" s="10" t="s">
        <v>12</v>
      </c>
      <c r="C24" s="10" t="s">
        <v>1</v>
      </c>
      <c r="D24" s="10" t="s">
        <v>23</v>
      </c>
      <c r="E24" s="10" t="s">
        <v>16</v>
      </c>
      <c r="F24" s="10" t="s">
        <v>2</v>
      </c>
      <c r="G24" s="10" t="s">
        <v>14</v>
      </c>
      <c r="H24" s="10" t="s">
        <v>7</v>
      </c>
      <c r="I24" s="10" t="s">
        <v>11</v>
      </c>
      <c r="J24" s="10" t="s">
        <v>6</v>
      </c>
      <c r="K24" s="10" t="s">
        <v>10</v>
      </c>
      <c r="L24" s="10" t="s">
        <v>15</v>
      </c>
      <c r="M24" s="10" t="s">
        <v>13</v>
      </c>
      <c r="N24" s="10" t="s">
        <v>5</v>
      </c>
      <c r="O24" s="10" t="s">
        <v>9</v>
      </c>
      <c r="P24" s="10" t="s">
        <v>4</v>
      </c>
      <c r="Q24" s="10" t="s">
        <v>3</v>
      </c>
      <c r="R24" s="10" t="s">
        <v>8</v>
      </c>
    </row>
    <row r="25" spans="1:31" ht="15" thickBot="1" x14ac:dyDescent="0.35">
      <c r="A25" s="4" t="s">
        <v>17</v>
      </c>
      <c r="B25" s="36" t="s">
        <v>18</v>
      </c>
      <c r="C25" s="36" t="s">
        <v>18</v>
      </c>
      <c r="D25" s="36" t="s">
        <v>18</v>
      </c>
      <c r="E25" s="36" t="s">
        <v>18</v>
      </c>
      <c r="F25" s="36" t="s">
        <v>18</v>
      </c>
      <c r="G25" s="36" t="s">
        <v>18</v>
      </c>
      <c r="H25" s="36" t="s">
        <v>18</v>
      </c>
      <c r="I25" s="36" t="s">
        <v>18</v>
      </c>
      <c r="J25" s="36" t="s">
        <v>18</v>
      </c>
      <c r="K25" s="36" t="s">
        <v>18</v>
      </c>
      <c r="L25" s="36" t="s">
        <v>18</v>
      </c>
      <c r="M25" s="36" t="s">
        <v>18</v>
      </c>
      <c r="N25" s="36" t="s">
        <v>18</v>
      </c>
      <c r="O25" s="36" t="s">
        <v>18</v>
      </c>
      <c r="P25" s="36" t="s">
        <v>18</v>
      </c>
      <c r="Q25" s="36" t="s">
        <v>18</v>
      </c>
      <c r="R25" s="36" t="s">
        <v>18</v>
      </c>
    </row>
    <row r="26" spans="1:31" ht="15" customHeight="1" thickBot="1" x14ac:dyDescent="0.35">
      <c r="A26" s="46" t="s">
        <v>22</v>
      </c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50"/>
    </row>
    <row r="27" spans="1:31" x14ac:dyDescent="0.3">
      <c r="A27" s="39" t="s">
        <v>54</v>
      </c>
      <c r="B27" s="12">
        <f>B6*VLOOKUP(B$4,$U$3:$V$7,2,0)</f>
        <v>156.0372521174408</v>
      </c>
      <c r="C27" s="3">
        <f t="shared" ref="C27:R36" si="0">C6*VLOOKUP(C$4,$U$3:$V$7,2,0)</f>
        <v>33269.751269999993</v>
      </c>
      <c r="D27" s="3">
        <f t="shared" si="0"/>
        <v>2.1309975961538457</v>
      </c>
      <c r="E27" s="3">
        <f t="shared" si="0"/>
        <v>5.8181592592592589E-3</v>
      </c>
      <c r="F27" s="3">
        <f t="shared" si="0"/>
        <v>292.37176433121016</v>
      </c>
      <c r="G27" s="3">
        <f t="shared" si="0"/>
        <v>5.9078322471910111E-2</v>
      </c>
      <c r="H27" s="3">
        <f t="shared" si="0"/>
        <v>5.0851386666666675E-3</v>
      </c>
      <c r="I27" s="3">
        <f t="shared" si="0"/>
        <v>6.6496875000000002E-3</v>
      </c>
      <c r="J27" s="3">
        <f t="shared" si="0"/>
        <v>2.7126889655172421E-4</v>
      </c>
      <c r="K27" s="3">
        <f t="shared" si="0"/>
        <v>1.4818517777777778E-2</v>
      </c>
      <c r="L27" s="3">
        <f t="shared" si="0"/>
        <v>7.7316562500000002E-4</v>
      </c>
      <c r="M27" s="3">
        <f t="shared" si="0"/>
        <v>6.3576853448275871E-4</v>
      </c>
      <c r="N27" s="3">
        <f t="shared" si="0"/>
        <v>4.0254879999999992E-4</v>
      </c>
      <c r="O27" s="3">
        <f t="shared" si="0"/>
        <v>1.1089309444444446E-4</v>
      </c>
      <c r="P27" s="3">
        <f t="shared" si="0"/>
        <v>1.6518466875000001E-3</v>
      </c>
      <c r="Q27" s="3">
        <f t="shared" si="0"/>
        <v>8.2793537837837859E-3</v>
      </c>
      <c r="R27" s="13">
        <f t="shared" si="0"/>
        <v>4.7179796153846155E-5</v>
      </c>
    </row>
    <row r="28" spans="1:31" x14ac:dyDescent="0.3">
      <c r="A28" s="40" t="s">
        <v>55</v>
      </c>
      <c r="B28" s="14">
        <f>B7*VLOOKUP(B$4,$U$3:$V$7,2,0)</f>
        <v>24.952528718767105</v>
      </c>
      <c r="C28" s="7">
        <f t="shared" ref="B28:Q36" si="1">C7*VLOOKUP(C$4,$U$3:$V$7,2,0)</f>
        <v>5130.3074586000002</v>
      </c>
      <c r="D28" s="7">
        <f t="shared" si="1"/>
        <v>0.16916990384615382</v>
      </c>
      <c r="E28" s="7">
        <f t="shared" si="1"/>
        <v>3.2588049537037039E-4</v>
      </c>
      <c r="F28" s="7">
        <f t="shared" si="1"/>
        <v>33.057977388535029</v>
      </c>
      <c r="G28" s="7">
        <f t="shared" si="1"/>
        <v>6.033435674157304E-4</v>
      </c>
      <c r="H28" s="7">
        <f t="shared" si="1"/>
        <v>4.4386777500000009E-5</v>
      </c>
      <c r="I28" s="7">
        <f t="shared" si="1"/>
        <v>3.8338465384615384E-5</v>
      </c>
      <c r="J28" s="7">
        <f t="shared" si="1"/>
        <v>3.5387358620689655E-5</v>
      </c>
      <c r="K28" s="7">
        <f t="shared" si="1"/>
        <v>6.5807277777777784E-4</v>
      </c>
      <c r="L28" s="7">
        <f t="shared" si="1"/>
        <v>6.5652313500000015E-6</v>
      </c>
      <c r="M28" s="7">
        <f t="shared" si="1"/>
        <v>1.109114172413793E-5</v>
      </c>
      <c r="N28" s="7">
        <f t="shared" si="1"/>
        <v>8.5607733333333337E-6</v>
      </c>
      <c r="O28" s="7">
        <f t="shared" si="1"/>
        <v>1.3514120555555555E-5</v>
      </c>
      <c r="P28" s="7">
        <f t="shared" si="1"/>
        <v>3.1855859250000008E-5</v>
      </c>
      <c r="Q28" s="7">
        <f t="shared" si="1"/>
        <v>8.3135481081081069E-5</v>
      </c>
      <c r="R28" s="15">
        <f t="shared" si="0"/>
        <v>6.3569407692307691E-6</v>
      </c>
    </row>
    <row r="29" spans="1:31" x14ac:dyDescent="0.3">
      <c r="A29" s="40" t="s">
        <v>56</v>
      </c>
      <c r="B29" s="14">
        <f t="shared" si="1"/>
        <v>113.94283283424673</v>
      </c>
      <c r="C29" s="7">
        <f t="shared" si="0"/>
        <v>21653.538184500001</v>
      </c>
      <c r="D29" s="7">
        <f t="shared" si="0"/>
        <v>1.1043173076923078</v>
      </c>
      <c r="E29" s="7">
        <f t="shared" si="0"/>
        <v>2.6566446296296289E-3</v>
      </c>
      <c r="F29" s="7">
        <f t="shared" si="0"/>
        <v>111.73102547770701</v>
      </c>
      <c r="G29" s="7">
        <f t="shared" si="0"/>
        <v>2.679239662921348E-3</v>
      </c>
      <c r="H29" s="7">
        <f t="shared" si="0"/>
        <v>2.0051275833333332E-4</v>
      </c>
      <c r="I29" s="7">
        <f t="shared" si="0"/>
        <v>8.4604468269230768E-3</v>
      </c>
      <c r="J29" s="7">
        <f t="shared" si="0"/>
        <v>1.6269518103448276E-4</v>
      </c>
      <c r="K29" s="7">
        <f t="shared" si="0"/>
        <v>0.28656630555555557</v>
      </c>
      <c r="L29" s="7">
        <f t="shared" si="0"/>
        <v>1.8165042000000003E-2</v>
      </c>
      <c r="M29" s="7">
        <f t="shared" si="0"/>
        <v>8.3569939655172409E-3</v>
      </c>
      <c r="N29" s="7">
        <f t="shared" si="0"/>
        <v>3.2907293333333339E-4</v>
      </c>
      <c r="O29" s="7">
        <f t="shared" si="0"/>
        <v>5.7686566666666678E-5</v>
      </c>
      <c r="P29" s="7">
        <f t="shared" si="0"/>
        <v>2.097865875E-2</v>
      </c>
      <c r="Q29" s="7">
        <f t="shared" si="0"/>
        <v>1.8133543783783784E-3</v>
      </c>
      <c r="R29" s="15">
        <f t="shared" si="0"/>
        <v>2.8768657307692301E-5</v>
      </c>
    </row>
    <row r="30" spans="1:31" x14ac:dyDescent="0.3">
      <c r="A30" s="40" t="s">
        <v>57</v>
      </c>
      <c r="B30" s="14">
        <f t="shared" si="1"/>
        <v>116.11779211881314</v>
      </c>
      <c r="C30" s="7">
        <f t="shared" si="0"/>
        <v>24546.669504000001</v>
      </c>
      <c r="D30" s="7">
        <f t="shared" si="0"/>
        <v>2.3887902884615388</v>
      </c>
      <c r="E30" s="7">
        <f t="shared" si="0"/>
        <v>2.1264643518518517E-3</v>
      </c>
      <c r="F30" s="7">
        <f t="shared" si="0"/>
        <v>164.98521974522293</v>
      </c>
      <c r="G30" s="7">
        <f t="shared" si="0"/>
        <v>4.9108719101123594E-3</v>
      </c>
      <c r="H30" s="7">
        <f t="shared" si="0"/>
        <v>3.6163049999999995E-4</v>
      </c>
      <c r="I30" s="7">
        <f t="shared" si="0"/>
        <v>4.1962944230769232E-2</v>
      </c>
      <c r="J30" s="7">
        <f t="shared" si="0"/>
        <v>2.0494050000000001E-4</v>
      </c>
      <c r="K30" s="7">
        <f t="shared" si="0"/>
        <v>5.8966099999999983E-3</v>
      </c>
      <c r="L30" s="7">
        <f t="shared" si="0"/>
        <v>2.1089009999999996E-4</v>
      </c>
      <c r="M30" s="7">
        <f t="shared" si="0"/>
        <v>2.6025031034482759E-4</v>
      </c>
      <c r="N30" s="7">
        <f t="shared" si="0"/>
        <v>2.4751310000000002</v>
      </c>
      <c r="O30" s="7">
        <f t="shared" si="0"/>
        <v>7.4610361111111112E-5</v>
      </c>
      <c r="P30" s="7">
        <f t="shared" si="0"/>
        <v>4.7030384999999999</v>
      </c>
      <c r="Q30" s="7">
        <f t="shared" si="0"/>
        <v>3.1788878513513516E-2</v>
      </c>
      <c r="R30" s="15">
        <f t="shared" si="0"/>
        <v>3.3834076538461538E-5</v>
      </c>
    </row>
    <row r="31" spans="1:31" x14ac:dyDescent="0.3">
      <c r="A31" s="40" t="s">
        <v>58</v>
      </c>
      <c r="B31" s="14">
        <f t="shared" si="1"/>
        <v>2.0751750667000066</v>
      </c>
      <c r="C31" s="7">
        <f t="shared" si="0"/>
        <v>1511.96878707</v>
      </c>
      <c r="D31" s="7">
        <f t="shared" si="0"/>
        <v>6.8306370192307703E-2</v>
      </c>
      <c r="E31" s="7">
        <f t="shared" si="0"/>
        <v>3.0198332407407404E-5</v>
      </c>
      <c r="F31" s="7">
        <f t="shared" si="0"/>
        <v>2.4608365605095543</v>
      </c>
      <c r="G31" s="7">
        <f t="shared" si="0"/>
        <v>3.0827396629213483E-5</v>
      </c>
      <c r="H31" s="7">
        <f t="shared" si="0"/>
        <v>2.2746968333333336E-6</v>
      </c>
      <c r="I31" s="7">
        <f t="shared" si="0"/>
        <v>9.5110355769230763E-7</v>
      </c>
      <c r="J31" s="7">
        <f t="shared" si="0"/>
        <v>2.8292036206896559E-6</v>
      </c>
      <c r="K31" s="7">
        <f t="shared" si="0"/>
        <v>1.9618040555555551E-5</v>
      </c>
      <c r="L31" s="7">
        <f t="shared" si="0"/>
        <v>2.7769192499999999E-7</v>
      </c>
      <c r="M31" s="7">
        <f t="shared" si="0"/>
        <v>6.6357501724137929E-7</v>
      </c>
      <c r="N31" s="7">
        <f t="shared" si="0"/>
        <v>3.9065636666666663E-7</v>
      </c>
      <c r="O31" s="7">
        <f t="shared" si="0"/>
        <v>2.5230616666666669E-5</v>
      </c>
      <c r="P31" s="7">
        <f t="shared" si="0"/>
        <v>1.8154096124999995E-6</v>
      </c>
      <c r="Q31" s="7">
        <f t="shared" si="0"/>
        <v>4.264651621621622E-6</v>
      </c>
      <c r="R31" s="15">
        <f t="shared" si="0"/>
        <v>3.8583346153846161E-7</v>
      </c>
    </row>
    <row r="32" spans="1:31" x14ac:dyDescent="0.3">
      <c r="A32" s="40" t="s">
        <v>69</v>
      </c>
      <c r="B32" s="14">
        <f t="shared" si="1"/>
        <v>110.19928108322367</v>
      </c>
      <c r="C32" s="7">
        <f t="shared" si="0"/>
        <v>19722.274048800002</v>
      </c>
      <c r="D32" s="7">
        <f t="shared" si="0"/>
        <v>1.0451435769230769E-3</v>
      </c>
      <c r="E32" s="7">
        <f t="shared" si="0"/>
        <v>1.3344704444444441E-8</v>
      </c>
      <c r="F32" s="7">
        <f t="shared" si="0"/>
        <v>7.1189628535031843E-2</v>
      </c>
      <c r="G32" s="7">
        <f t="shared" si="0"/>
        <v>9.8888023820224701E-9</v>
      </c>
      <c r="H32" s="7">
        <f t="shared" si="0"/>
        <v>8.6109217999999986E-10</v>
      </c>
      <c r="I32" s="7">
        <f t="shared" si="0"/>
        <v>1.0205329153846152E-12</v>
      </c>
      <c r="J32" s="7">
        <f t="shared" si="0"/>
        <v>2.2935355448275862E-13</v>
      </c>
      <c r="K32" s="7">
        <f t="shared" si="0"/>
        <v>5.8316238000000006E-9</v>
      </c>
      <c r="L32" s="7">
        <f t="shared" si="0"/>
        <v>1.7269595999999996E-13</v>
      </c>
      <c r="M32" s="7">
        <f t="shared" si="0"/>
        <v>3.8392082689655176E-10</v>
      </c>
      <c r="N32" s="7">
        <f t="shared" si="0"/>
        <v>1.0132028933333331E-13</v>
      </c>
      <c r="O32" s="7">
        <f t="shared" si="0"/>
        <v>5.9245958666666675E-14</v>
      </c>
      <c r="P32" s="7">
        <f t="shared" si="0"/>
        <v>3.4752365999999997E-12</v>
      </c>
      <c r="Q32" s="7">
        <f t="shared" si="0"/>
        <v>3.3388960864864873E-12</v>
      </c>
      <c r="R32" s="15">
        <f t="shared" si="0"/>
        <v>3.1655552307692306E-14</v>
      </c>
    </row>
    <row r="33" spans="1:19" x14ac:dyDescent="0.3">
      <c r="A33" s="40" t="s">
        <v>65</v>
      </c>
      <c r="B33" s="14">
        <f t="shared" si="1"/>
        <v>55.099640541611834</v>
      </c>
      <c r="C33" s="7">
        <f t="shared" si="0"/>
        <v>9861.1370244000009</v>
      </c>
      <c r="D33" s="7">
        <f t="shared" si="0"/>
        <v>5.2257178846153846E-4</v>
      </c>
      <c r="E33" s="7">
        <f t="shared" si="0"/>
        <v>6.6723522222222203E-9</v>
      </c>
      <c r="F33" s="7">
        <f t="shared" si="0"/>
        <v>3.5594814267515922E-2</v>
      </c>
      <c r="G33" s="7">
        <f t="shared" si="0"/>
        <v>4.9444011910112351E-9</v>
      </c>
      <c r="H33" s="7">
        <f t="shared" si="0"/>
        <v>4.3054608999999993E-10</v>
      </c>
      <c r="I33" s="7">
        <f t="shared" si="0"/>
        <v>5.1026645769230762E-13</v>
      </c>
      <c r="J33" s="7">
        <f t="shared" si="0"/>
        <v>1.1467677724137931E-13</v>
      </c>
      <c r="K33" s="7">
        <f t="shared" si="0"/>
        <v>2.9158119000000003E-9</v>
      </c>
      <c r="L33" s="7">
        <f t="shared" si="0"/>
        <v>8.6347979999999978E-14</v>
      </c>
      <c r="M33" s="7">
        <f t="shared" si="0"/>
        <v>1.9196041344827588E-10</v>
      </c>
      <c r="N33" s="7">
        <f t="shared" si="0"/>
        <v>5.0660144666666655E-14</v>
      </c>
      <c r="O33" s="7">
        <f t="shared" si="0"/>
        <v>2.9622979333333337E-14</v>
      </c>
      <c r="P33" s="7">
        <f t="shared" si="0"/>
        <v>1.7376182999999998E-12</v>
      </c>
      <c r="Q33" s="7">
        <f t="shared" si="0"/>
        <v>1.6694480432432436E-12</v>
      </c>
      <c r="R33" s="15">
        <f t="shared" si="0"/>
        <v>1.5827776153846153E-14</v>
      </c>
    </row>
    <row r="34" spans="1:19" ht="15" customHeight="1" x14ac:dyDescent="0.3">
      <c r="A34" s="40" t="s">
        <v>66</v>
      </c>
      <c r="B34" s="14">
        <f t="shared" si="1"/>
        <v>123.97419121862663</v>
      </c>
      <c r="C34" s="7">
        <f t="shared" si="0"/>
        <v>22187.558304900002</v>
      </c>
      <c r="D34" s="7">
        <f t="shared" si="0"/>
        <v>1.1757865240384616E-3</v>
      </c>
      <c r="E34" s="7">
        <f t="shared" si="0"/>
        <v>1.5012792499999999E-8</v>
      </c>
      <c r="F34" s="7">
        <f t="shared" si="0"/>
        <v>8.0088332101910825E-2</v>
      </c>
      <c r="G34" s="7">
        <f t="shared" si="0"/>
        <v>1.1124902679775279E-8</v>
      </c>
      <c r="H34" s="7">
        <f t="shared" si="0"/>
        <v>9.6872870249999998E-10</v>
      </c>
      <c r="I34" s="7">
        <f t="shared" si="0"/>
        <v>1.1480995298076923E-12</v>
      </c>
      <c r="J34" s="7">
        <f t="shared" si="0"/>
        <v>2.5802274879310352E-13</v>
      </c>
      <c r="K34" s="7">
        <f t="shared" si="0"/>
        <v>6.5605767749999995E-9</v>
      </c>
      <c r="L34" s="7">
        <f t="shared" si="0"/>
        <v>1.9428295499999999E-13</v>
      </c>
      <c r="M34" s="7">
        <f t="shared" si="0"/>
        <v>4.3191093025862072E-10</v>
      </c>
      <c r="N34" s="7">
        <f t="shared" si="0"/>
        <v>1.1398532549999999E-13</v>
      </c>
      <c r="O34" s="7">
        <f t="shared" si="0"/>
        <v>6.6651703499999998E-14</v>
      </c>
      <c r="P34" s="7">
        <f t="shared" si="0"/>
        <v>3.909641174999999E-12</v>
      </c>
      <c r="Q34" s="7">
        <f t="shared" si="0"/>
        <v>3.7562580972972981E-12</v>
      </c>
      <c r="R34" s="15">
        <f t="shared" si="0"/>
        <v>3.5612496346153848E-14</v>
      </c>
    </row>
    <row r="35" spans="1:19" x14ac:dyDescent="0.3">
      <c r="A35" s="40" t="s">
        <v>67</v>
      </c>
      <c r="B35" s="14">
        <f t="shared" si="1"/>
        <v>169.8905583366365</v>
      </c>
      <c r="C35" s="7">
        <f t="shared" si="0"/>
        <v>30405.172491900001</v>
      </c>
      <c r="D35" s="7">
        <f t="shared" si="0"/>
        <v>1.6112630144230766E-3</v>
      </c>
      <c r="E35" s="7">
        <f t="shared" si="0"/>
        <v>2.0573086018518515E-8</v>
      </c>
      <c r="F35" s="7">
        <f t="shared" si="0"/>
        <v>0.10975067732484076</v>
      </c>
      <c r="G35" s="7">
        <f t="shared" si="0"/>
        <v>1.5245237005617974E-8</v>
      </c>
      <c r="H35" s="7">
        <f t="shared" si="0"/>
        <v>1.3275171108333331E-9</v>
      </c>
      <c r="I35" s="7">
        <f t="shared" si="0"/>
        <v>1.5733215778846152E-12</v>
      </c>
      <c r="J35" s="7">
        <f t="shared" si="0"/>
        <v>3.5358672982758624E-13</v>
      </c>
      <c r="K35" s="7">
        <f t="shared" si="0"/>
        <v>8.9904200250000001E-9</v>
      </c>
      <c r="L35" s="7">
        <f t="shared" si="0"/>
        <v>2.66239605E-13</v>
      </c>
      <c r="M35" s="7">
        <f t="shared" si="0"/>
        <v>5.9187794146551729E-10</v>
      </c>
      <c r="N35" s="7">
        <f t="shared" si="0"/>
        <v>1.5620211272222221E-13</v>
      </c>
      <c r="O35" s="7">
        <f t="shared" si="0"/>
        <v>9.1337519611111122E-14</v>
      </c>
      <c r="P35" s="7">
        <f t="shared" si="0"/>
        <v>5.357656425E-12</v>
      </c>
      <c r="Q35" s="7">
        <f t="shared" si="0"/>
        <v>5.1474648000000015E-12</v>
      </c>
      <c r="R35" s="15">
        <f t="shared" si="0"/>
        <v>4.8802309807692301E-14</v>
      </c>
    </row>
    <row r="36" spans="1:19" ht="15" thickBot="1" x14ac:dyDescent="0.35">
      <c r="A36" s="40" t="s">
        <v>60</v>
      </c>
      <c r="B36" s="8">
        <f t="shared" si="1"/>
        <v>58.970700629171041</v>
      </c>
      <c r="C36" s="9">
        <f t="shared" si="0"/>
        <v>16797.994033499999</v>
      </c>
      <c r="D36" s="9">
        <f t="shared" si="0"/>
        <v>0.30378130769230771</v>
      </c>
      <c r="E36" s="9">
        <f t="shared" si="0"/>
        <v>1.1003781018518516E-3</v>
      </c>
      <c r="F36" s="9">
        <f t="shared" si="0"/>
        <v>74.270604458598712</v>
      </c>
      <c r="G36" s="9">
        <f t="shared" si="0"/>
        <v>1.0583042191011235E-2</v>
      </c>
      <c r="H36" s="9">
        <f t="shared" si="0"/>
        <v>7.7511879166666678E-4</v>
      </c>
      <c r="I36" s="9">
        <f t="shared" si="0"/>
        <v>2.5518432980769231E-5</v>
      </c>
      <c r="J36" s="9">
        <f t="shared" si="0"/>
        <v>5.8991050000000008E-5</v>
      </c>
      <c r="K36" s="9">
        <f t="shared" si="0"/>
        <v>1.4388360833333333E-3</v>
      </c>
      <c r="L36" s="9">
        <f t="shared" si="0"/>
        <v>6.3739375500000001E-6</v>
      </c>
      <c r="M36" s="9">
        <f t="shared" si="0"/>
        <v>8.0486976724137931E-5</v>
      </c>
      <c r="N36" s="9">
        <f t="shared" si="0"/>
        <v>9.1483827777777779E-6</v>
      </c>
      <c r="O36" s="9">
        <f t="shared" si="0"/>
        <v>6.9747905555555572E-5</v>
      </c>
      <c r="P36" s="9">
        <f t="shared" si="0"/>
        <v>4.4290473750000002E-5</v>
      </c>
      <c r="Q36" s="9">
        <f t="shared" si="0"/>
        <v>7.694493648648649E-5</v>
      </c>
      <c r="R36" s="16">
        <f t="shared" si="0"/>
        <v>1.6534026153846149E-5</v>
      </c>
    </row>
    <row r="37" spans="1:19" ht="15" thickBot="1" x14ac:dyDescent="0.35">
      <c r="A37" s="47" t="s">
        <v>53</v>
      </c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</row>
    <row r="38" spans="1:19" ht="15" thickBot="1" x14ac:dyDescent="0.35">
      <c r="A38" s="40" t="s">
        <v>68</v>
      </c>
      <c r="B38" s="55">
        <f>B17*VLOOKUP(B$4,$U$3:$V$7,2,0)</f>
        <v>37469.642930422255</v>
      </c>
      <c r="C38" s="56">
        <f t="shared" ref="C38:R38" si="2">C17*VLOOKUP(C$4,$U$3:$V$7,2,0)</f>
        <v>50520707.561807998</v>
      </c>
      <c r="D38" s="56">
        <f t="shared" si="2"/>
        <v>1191.9293692307695</v>
      </c>
      <c r="E38" s="56">
        <f t="shared" si="2"/>
        <v>8.1319671481481457</v>
      </c>
      <c r="F38" s="56">
        <f t="shared" si="2"/>
        <v>23143.437248407645</v>
      </c>
      <c r="G38" s="56">
        <f t="shared" si="2"/>
        <v>0.28637718876404494</v>
      </c>
      <c r="H38" s="56">
        <f t="shared" si="2"/>
        <v>2.0989994666666661E-2</v>
      </c>
      <c r="I38" s="56">
        <f t="shared" si="2"/>
        <v>2.5445231307692308E-2</v>
      </c>
      <c r="J38" s="56">
        <f t="shared" si="2"/>
        <v>1.9250172965517242E-2</v>
      </c>
      <c r="K38" s="56">
        <f t="shared" si="2"/>
        <v>0.40232218888888882</v>
      </c>
      <c r="L38" s="56">
        <f t="shared" si="2"/>
        <v>3.0908404560000004E-3</v>
      </c>
      <c r="M38" s="56">
        <f t="shared" si="2"/>
        <v>4.3658139724137924E-3</v>
      </c>
      <c r="N38" s="56">
        <f t="shared" si="2"/>
        <v>0.13073778666666669</v>
      </c>
      <c r="O38" s="56">
        <f t="shared" si="2"/>
        <v>8.6437633333333347E-2</v>
      </c>
      <c r="P38" s="56">
        <f t="shared" si="2"/>
        <v>0.25817796840000001</v>
      </c>
      <c r="Q38" s="56">
        <f t="shared" si="2"/>
        <v>4.1007740756756755E-2</v>
      </c>
      <c r="R38" s="57">
        <f t="shared" si="2"/>
        <v>9.6594746769230758E-2</v>
      </c>
    </row>
    <row r="39" spans="1:19" ht="15" thickBot="1" x14ac:dyDescent="0.35">
      <c r="A39" s="47" t="s">
        <v>24</v>
      </c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</row>
    <row r="40" spans="1:19" x14ac:dyDescent="0.3">
      <c r="A40" s="40" t="s">
        <v>71</v>
      </c>
      <c r="B40" s="12">
        <f>B19*VLOOKUP(B$4,$U$3:$V$7,2,0)</f>
        <v>0.44509904750239926</v>
      </c>
      <c r="C40" s="3">
        <f t="shared" ref="C40:R40" si="3">C19*VLOOKUP(C$4,$U$3:$V$7,2,0)</f>
        <v>3.607353168315</v>
      </c>
      <c r="D40" s="3">
        <f t="shared" si="3"/>
        <v>9.3912834615384594E-5</v>
      </c>
      <c r="E40" s="3">
        <f t="shared" si="3"/>
        <v>7.6747009259259261E-8</v>
      </c>
      <c r="F40" s="3">
        <f t="shared" si="3"/>
        <v>6.7976534713375791E-3</v>
      </c>
      <c r="G40" s="3">
        <f t="shared" si="3"/>
        <v>2.044528820224719E-8</v>
      </c>
      <c r="H40" s="3">
        <f t="shared" si="3"/>
        <v>1.5118244166666665E-9</v>
      </c>
      <c r="I40" s="3">
        <f t="shared" si="3"/>
        <v>1.539677480769231E-9</v>
      </c>
      <c r="J40" s="3">
        <f t="shared" si="3"/>
        <v>6.462089827586207E-9</v>
      </c>
      <c r="K40" s="3">
        <f t="shared" si="3"/>
        <v>2.8559783333333338E-8</v>
      </c>
      <c r="L40" s="3">
        <f t="shared" si="3"/>
        <v>4.4432480999999999E-10</v>
      </c>
      <c r="M40" s="3">
        <f t="shared" si="3"/>
        <v>8.8028381896551691E-10</v>
      </c>
      <c r="N40" s="3">
        <f t="shared" si="3"/>
        <v>9.5124222222222245E-10</v>
      </c>
      <c r="O40" s="3">
        <f t="shared" si="3"/>
        <v>2.9407198333333332E-8</v>
      </c>
      <c r="P40" s="3">
        <f t="shared" si="3"/>
        <v>3.9705104999999991E-9</v>
      </c>
      <c r="Q40" s="3">
        <f t="shared" si="3"/>
        <v>6.417203513513514E-9</v>
      </c>
      <c r="R40" s="13">
        <f t="shared" si="3"/>
        <v>7.7132396153846148E-10</v>
      </c>
    </row>
    <row r="41" spans="1:19" x14ac:dyDescent="0.3">
      <c r="A41" s="40" t="s">
        <v>72</v>
      </c>
      <c r="B41" s="14">
        <f t="shared" ref="B41:R41" si="4">B20*VLOOKUP(B$4,$U$3:$V$7,2,0)</f>
        <v>0.39746199571684737</v>
      </c>
      <c r="C41" s="7">
        <f t="shared" si="4"/>
        <v>91.225971988499992</v>
      </c>
      <c r="D41" s="7">
        <f t="shared" si="4"/>
        <v>2.5512630769230775E-3</v>
      </c>
      <c r="E41" s="7">
        <f t="shared" si="4"/>
        <v>5.6534870370370361E-6</v>
      </c>
      <c r="F41" s="7">
        <f t="shared" si="4"/>
        <v>0.68873750636942666</v>
      </c>
      <c r="G41" s="7">
        <f t="shared" si="4"/>
        <v>8.4243960674157308E-7</v>
      </c>
      <c r="H41" s="7">
        <f t="shared" si="4"/>
        <v>6.6774741666666666E-8</v>
      </c>
      <c r="I41" s="7">
        <f t="shared" si="4"/>
        <v>8.7497988461538476E-8</v>
      </c>
      <c r="J41" s="7">
        <f t="shared" si="4"/>
        <v>7.5509218965517238E-7</v>
      </c>
      <c r="K41" s="7">
        <f t="shared" si="4"/>
        <v>1.6980225277777778E-6</v>
      </c>
      <c r="L41" s="7">
        <f t="shared" si="4"/>
        <v>3.2851306500000008E-8</v>
      </c>
      <c r="M41" s="7">
        <f t="shared" si="4"/>
        <v>3.6739008620689655E-8</v>
      </c>
      <c r="N41" s="7">
        <f t="shared" si="4"/>
        <v>1.0058121666666669E-7</v>
      </c>
      <c r="O41" s="7">
        <f t="shared" si="4"/>
        <v>7.1173666666666673E-7</v>
      </c>
      <c r="P41" s="7">
        <f t="shared" si="4"/>
        <v>3.9060536249999993E-7</v>
      </c>
      <c r="Q41" s="7">
        <f t="shared" si="4"/>
        <v>4.0490346486486474E-7</v>
      </c>
      <c r="R41" s="15">
        <f t="shared" si="4"/>
        <v>1.0143150000000002E-7</v>
      </c>
    </row>
    <row r="42" spans="1:19" ht="15" thickBot="1" x14ac:dyDescent="0.35">
      <c r="A42" s="41" t="s">
        <v>63</v>
      </c>
      <c r="B42" s="8">
        <f t="shared" ref="B42:R42" si="5">B21*VLOOKUP(B$4,$U$3:$V$7,2,0)</f>
        <v>1.0375875332513291</v>
      </c>
      <c r="C42" s="9">
        <f t="shared" si="5"/>
        <v>755.98436353499983</v>
      </c>
      <c r="D42" s="9">
        <f t="shared" si="5"/>
        <v>3.4153185576923081E-2</v>
      </c>
      <c r="E42" s="9">
        <f t="shared" si="5"/>
        <v>1.5099166203703702E-5</v>
      </c>
      <c r="F42" s="9">
        <f t="shared" si="5"/>
        <v>1.2304182802547772</v>
      </c>
      <c r="G42" s="9">
        <f t="shared" si="5"/>
        <v>1.5413698483146067E-5</v>
      </c>
      <c r="H42" s="9">
        <f t="shared" si="5"/>
        <v>1.1373484166666668E-6</v>
      </c>
      <c r="I42" s="9">
        <f t="shared" si="5"/>
        <v>4.7555177884615382E-7</v>
      </c>
      <c r="J42" s="9">
        <f t="shared" si="5"/>
        <v>1.4146018103448279E-6</v>
      </c>
      <c r="K42" s="9">
        <f t="shared" si="5"/>
        <v>9.8090202777777755E-6</v>
      </c>
      <c r="L42" s="9">
        <f t="shared" si="5"/>
        <v>1.38845964E-7</v>
      </c>
      <c r="M42" s="9">
        <f t="shared" si="5"/>
        <v>3.3178750862068964E-7</v>
      </c>
      <c r="N42" s="9">
        <f t="shared" si="5"/>
        <v>1.9532818333333332E-7</v>
      </c>
      <c r="O42" s="9">
        <f t="shared" si="5"/>
        <v>1.2615308333333334E-5</v>
      </c>
      <c r="P42" s="9">
        <f t="shared" si="5"/>
        <v>9.0770482499999994E-7</v>
      </c>
      <c r="Q42" s="9">
        <f t="shared" si="5"/>
        <v>2.132325810810811E-6</v>
      </c>
      <c r="R42" s="16">
        <f t="shared" si="5"/>
        <v>1.9291673846153841E-7</v>
      </c>
    </row>
    <row r="46" spans="1:19" ht="15" thickBot="1" x14ac:dyDescent="0.35">
      <c r="A46" s="51" t="s">
        <v>77</v>
      </c>
    </row>
    <row r="47" spans="1:19" ht="15.6" thickTop="1" thickBot="1" x14ac:dyDescent="0.35">
      <c r="A47" s="1" t="s">
        <v>0</v>
      </c>
      <c r="B47" s="10" t="s">
        <v>12</v>
      </c>
      <c r="C47" s="10" t="s">
        <v>1</v>
      </c>
      <c r="D47" s="10" t="s">
        <v>23</v>
      </c>
      <c r="E47" s="10" t="s">
        <v>16</v>
      </c>
      <c r="F47" s="10" t="s">
        <v>2</v>
      </c>
      <c r="G47" s="10" t="s">
        <v>14</v>
      </c>
      <c r="H47" s="10" t="s">
        <v>7</v>
      </c>
      <c r="I47" s="10" t="s">
        <v>11</v>
      </c>
      <c r="J47" s="10" t="s">
        <v>6</v>
      </c>
      <c r="K47" s="10" t="s">
        <v>10</v>
      </c>
      <c r="L47" s="10" t="s">
        <v>15</v>
      </c>
      <c r="M47" s="10" t="s">
        <v>13</v>
      </c>
      <c r="N47" s="10" t="s">
        <v>5</v>
      </c>
      <c r="O47" s="10" t="s">
        <v>9</v>
      </c>
      <c r="P47" s="10" t="s">
        <v>4</v>
      </c>
      <c r="Q47" s="10" t="s">
        <v>3</v>
      </c>
      <c r="R47" s="10" t="s">
        <v>8</v>
      </c>
      <c r="S47" s="65" t="s">
        <v>78</v>
      </c>
    </row>
    <row r="48" spans="1:19" ht="15" thickBot="1" x14ac:dyDescent="0.35">
      <c r="A48" s="4" t="s">
        <v>17</v>
      </c>
      <c r="B48" s="36" t="s">
        <v>79</v>
      </c>
      <c r="C48" s="36" t="s">
        <v>79</v>
      </c>
      <c r="D48" s="36" t="s">
        <v>79</v>
      </c>
      <c r="E48" s="36" t="s">
        <v>79</v>
      </c>
      <c r="F48" s="36" t="s">
        <v>79</v>
      </c>
      <c r="G48" s="36" t="s">
        <v>79</v>
      </c>
      <c r="H48" s="36" t="s">
        <v>79</v>
      </c>
      <c r="I48" s="36" t="s">
        <v>79</v>
      </c>
      <c r="J48" s="36" t="s">
        <v>79</v>
      </c>
      <c r="K48" s="36" t="s">
        <v>79</v>
      </c>
      <c r="L48" s="36" t="s">
        <v>79</v>
      </c>
      <c r="M48" s="36" t="s">
        <v>79</v>
      </c>
      <c r="N48" s="36" t="s">
        <v>79</v>
      </c>
      <c r="O48" s="36" t="s">
        <v>79</v>
      </c>
      <c r="P48" s="36" t="s">
        <v>79</v>
      </c>
      <c r="Q48" s="36" t="s">
        <v>79</v>
      </c>
      <c r="R48" s="36" t="s">
        <v>79</v>
      </c>
      <c r="S48" s="36" t="s">
        <v>80</v>
      </c>
    </row>
    <row r="49" spans="1:19" ht="15" thickBot="1" x14ac:dyDescent="0.35">
      <c r="A49" s="47" t="s">
        <v>22</v>
      </c>
      <c r="B49" s="4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66"/>
    </row>
    <row r="50" spans="1:19" x14ac:dyDescent="0.3">
      <c r="A50" s="39" t="s">
        <v>54</v>
      </c>
      <c r="B50" s="14">
        <f>B27*7.6</f>
        <v>1185.8831160925499</v>
      </c>
      <c r="C50" s="7">
        <f>C27</f>
        <v>33269.751269999993</v>
      </c>
      <c r="D50" s="7">
        <f>D27*156</f>
        <v>332.4356249999999</v>
      </c>
      <c r="E50" s="7">
        <f>E27*32400</f>
        <v>188.50835999999998</v>
      </c>
      <c r="F50" s="7">
        <f>F27*1.57</f>
        <v>459.02366999999998</v>
      </c>
      <c r="G50" s="7">
        <f>G27*8900</f>
        <v>525.79706999999996</v>
      </c>
      <c r="H50" s="7">
        <f>H27*18000</f>
        <v>91.532496000000009</v>
      </c>
      <c r="I50" s="7">
        <f>I27*5200</f>
        <v>34.578375000000001</v>
      </c>
      <c r="J50" s="7">
        <f>J27*8700</f>
        <v>2.3600394000000007</v>
      </c>
      <c r="K50" s="7">
        <f>K27*540</f>
        <v>8.0019995999999995</v>
      </c>
      <c r="L50" s="7">
        <f>L27*10000</f>
        <v>7.7316562500000003</v>
      </c>
      <c r="M50" s="7">
        <f>M27*580</f>
        <v>0.36874575000000004</v>
      </c>
      <c r="N50" s="7">
        <f>N27*2700</f>
        <v>1.0868817599999998</v>
      </c>
      <c r="O50" s="7">
        <f>O27*2700</f>
        <v>0.29941135500000005</v>
      </c>
      <c r="P50" s="7">
        <f t="shared" ref="P50:P59" si="6">P27*400</f>
        <v>0.66073867500000005</v>
      </c>
      <c r="Q50" s="7">
        <f t="shared" ref="Q50:Q59" si="7">Q27*37</f>
        <v>0.30633609000000006</v>
      </c>
      <c r="R50" s="7">
        <f t="shared" ref="R50:R59" si="8">R27*390</f>
        <v>1.8400120499999999E-2</v>
      </c>
      <c r="S50" s="31">
        <f>SUM(B50:R50)</f>
        <v>36108.344191093027</v>
      </c>
    </row>
    <row r="51" spans="1:19" x14ac:dyDescent="0.3">
      <c r="A51" s="40" t="s">
        <v>55</v>
      </c>
      <c r="B51" s="14">
        <f t="shared" ref="B51:B65" si="9">B28*7.6</f>
        <v>189.63921826262998</v>
      </c>
      <c r="C51" s="7">
        <f t="shared" ref="C51:C65" si="10">C28</f>
        <v>5130.3074586000002</v>
      </c>
      <c r="D51" s="7">
        <f t="shared" ref="D51:D65" si="11">D28*156</f>
        <v>26.390504999999997</v>
      </c>
      <c r="E51" s="7">
        <f t="shared" ref="E51:E65" si="12">E28*32400</f>
        <v>10.558528050000001</v>
      </c>
      <c r="F51" s="7">
        <f t="shared" ref="F51:F65" si="13">F28*1.57</f>
        <v>51.901024499999998</v>
      </c>
      <c r="G51" s="7">
        <f t="shared" ref="G51:G65" si="14">G28*8900</f>
        <v>5.3697577500000007</v>
      </c>
      <c r="H51" s="7">
        <f t="shared" ref="H51:H64" si="15">H28*18000</f>
        <v>0.7989619950000002</v>
      </c>
      <c r="I51" s="7">
        <f t="shared" ref="I51:I65" si="16">I28*5200</f>
        <v>0.19936002</v>
      </c>
      <c r="J51" s="7">
        <f t="shared" ref="J51:J65" si="17">J28*8700</f>
        <v>0.30787002000000002</v>
      </c>
      <c r="K51" s="7">
        <f t="shared" ref="K51:K65" si="18">K28*540</f>
        <v>0.35535930000000004</v>
      </c>
      <c r="L51" s="7">
        <f t="shared" ref="L51:L65" si="19">L28*10000</f>
        <v>6.5652313500000017E-2</v>
      </c>
      <c r="M51" s="7">
        <f t="shared" ref="M51:M65" si="20">M28*580</f>
        <v>6.4328621999999993E-3</v>
      </c>
      <c r="N51" s="7">
        <f t="shared" ref="N51:N65" si="21">N28*2700</f>
        <v>2.3114088000000001E-2</v>
      </c>
      <c r="O51" s="7">
        <f t="shared" ref="O51:O59" si="22">O28*2700</f>
        <v>3.6488125500000003E-2</v>
      </c>
      <c r="P51" s="7">
        <f t="shared" si="6"/>
        <v>1.2742343700000004E-2</v>
      </c>
      <c r="Q51" s="7">
        <f t="shared" si="7"/>
        <v>3.0760127999999993E-3</v>
      </c>
      <c r="R51" s="7">
        <f t="shared" si="8"/>
        <v>2.4792068999999997E-3</v>
      </c>
      <c r="S51" s="31">
        <f t="shared" ref="S51:S65" si="23">SUM(B51:R51)</f>
        <v>5415.9780284502303</v>
      </c>
    </row>
    <row r="52" spans="1:19" x14ac:dyDescent="0.3">
      <c r="A52" s="40" t="s">
        <v>56</v>
      </c>
      <c r="B52" s="14">
        <f t="shared" si="9"/>
        <v>865.96552954027516</v>
      </c>
      <c r="C52" s="7">
        <f t="shared" si="10"/>
        <v>21653.538184500001</v>
      </c>
      <c r="D52" s="7">
        <f t="shared" si="11"/>
        <v>172.27350000000001</v>
      </c>
      <c r="E52" s="7">
        <f t="shared" si="12"/>
        <v>86.075285999999977</v>
      </c>
      <c r="F52" s="7">
        <f t="shared" si="13"/>
        <v>175.41771</v>
      </c>
      <c r="G52" s="7">
        <f t="shared" si="14"/>
        <v>23.845232999999997</v>
      </c>
      <c r="H52" s="7">
        <f t="shared" si="15"/>
        <v>3.6092296499999996</v>
      </c>
      <c r="I52" s="7">
        <f t="shared" si="16"/>
        <v>43.9943235</v>
      </c>
      <c r="J52" s="7">
        <f t="shared" si="17"/>
        <v>1.415448075</v>
      </c>
      <c r="K52" s="7">
        <f t="shared" si="18"/>
        <v>154.74580500000002</v>
      </c>
      <c r="L52" s="7">
        <f t="shared" si="19"/>
        <v>181.65042000000003</v>
      </c>
      <c r="M52" s="7">
        <f t="shared" si="20"/>
        <v>4.8470564999999999</v>
      </c>
      <c r="N52" s="7">
        <f t="shared" si="21"/>
        <v>0.88849692000000013</v>
      </c>
      <c r="O52" s="7">
        <f t="shared" si="22"/>
        <v>0.15575373000000003</v>
      </c>
      <c r="P52" s="7">
        <f t="shared" si="6"/>
        <v>8.3914635000000004</v>
      </c>
      <c r="Q52" s="7">
        <f t="shared" si="7"/>
        <v>6.7094111999999997E-2</v>
      </c>
      <c r="R52" s="7">
        <f t="shared" si="8"/>
        <v>1.1219776349999997E-2</v>
      </c>
      <c r="S52" s="31">
        <f t="shared" si="23"/>
        <v>23376.891753803622</v>
      </c>
    </row>
    <row r="53" spans="1:19" x14ac:dyDescent="0.3">
      <c r="A53" s="40" t="s">
        <v>57</v>
      </c>
      <c r="B53" s="14">
        <f t="shared" si="9"/>
        <v>882.49522010297983</v>
      </c>
      <c r="C53" s="7">
        <f t="shared" si="10"/>
        <v>24546.669504000001</v>
      </c>
      <c r="D53" s="7">
        <f t="shared" si="11"/>
        <v>372.65128500000009</v>
      </c>
      <c r="E53" s="7">
        <f t="shared" si="12"/>
        <v>68.897444999999991</v>
      </c>
      <c r="F53" s="7">
        <f t="shared" si="13"/>
        <v>259.02679499999999</v>
      </c>
      <c r="G53" s="7">
        <f t="shared" si="14"/>
        <v>43.706759999999996</v>
      </c>
      <c r="H53" s="7">
        <f t="shared" si="15"/>
        <v>6.5093489999999994</v>
      </c>
      <c r="I53" s="7">
        <f t="shared" si="16"/>
        <v>218.20731000000001</v>
      </c>
      <c r="J53" s="7">
        <f t="shared" si="17"/>
        <v>1.7829823500000002</v>
      </c>
      <c r="K53" s="7">
        <f t="shared" si="18"/>
        <v>3.1841693999999992</v>
      </c>
      <c r="L53" s="7">
        <f t="shared" si="19"/>
        <v>2.1089009999999995</v>
      </c>
      <c r="M53" s="7">
        <f t="shared" si="20"/>
        <v>0.15094518000000001</v>
      </c>
      <c r="N53" s="7">
        <f t="shared" si="21"/>
        <v>6682.8537000000006</v>
      </c>
      <c r="O53" s="7">
        <f t="shared" si="22"/>
        <v>0.201447975</v>
      </c>
      <c r="P53" s="7">
        <f t="shared" si="6"/>
        <v>1881.2154</v>
      </c>
      <c r="Q53" s="7">
        <f t="shared" si="7"/>
        <v>1.1761885050000001</v>
      </c>
      <c r="R53" s="7">
        <f t="shared" si="8"/>
        <v>1.319528985E-2</v>
      </c>
      <c r="S53" s="31">
        <f t="shared" si="23"/>
        <v>34970.850597802841</v>
      </c>
    </row>
    <row r="54" spans="1:19" x14ac:dyDescent="0.3">
      <c r="A54" s="40" t="s">
        <v>58</v>
      </c>
      <c r="B54" s="14">
        <f t="shared" si="9"/>
        <v>15.77133050692005</v>
      </c>
      <c r="C54" s="7">
        <f t="shared" si="10"/>
        <v>1511.96878707</v>
      </c>
      <c r="D54" s="7">
        <f t="shared" si="11"/>
        <v>10.655793750000001</v>
      </c>
      <c r="E54" s="7">
        <f t="shared" si="12"/>
        <v>0.97842596999999987</v>
      </c>
      <c r="F54" s="7">
        <f t="shared" si="13"/>
        <v>3.8635134000000004</v>
      </c>
      <c r="G54" s="7">
        <f t="shared" si="14"/>
        <v>0.27436382999999998</v>
      </c>
      <c r="H54" s="7">
        <f t="shared" si="15"/>
        <v>4.0944543000000007E-2</v>
      </c>
      <c r="I54" s="7">
        <f t="shared" si="16"/>
        <v>4.9457384999999996E-3</v>
      </c>
      <c r="J54" s="7">
        <f t="shared" si="17"/>
        <v>2.4614071500000004E-2</v>
      </c>
      <c r="K54" s="7">
        <f t="shared" si="18"/>
        <v>1.0593741899999998E-2</v>
      </c>
      <c r="L54" s="7">
        <f t="shared" si="19"/>
        <v>2.77691925E-3</v>
      </c>
      <c r="M54" s="7">
        <f t="shared" si="20"/>
        <v>3.8487351000000001E-4</v>
      </c>
      <c r="N54" s="7">
        <f t="shared" si="21"/>
        <v>1.0547721899999999E-3</v>
      </c>
      <c r="O54" s="7">
        <f t="shared" si="22"/>
        <v>6.8122664999999999E-2</v>
      </c>
      <c r="P54" s="7">
        <f t="shared" si="6"/>
        <v>7.2616384499999981E-4</v>
      </c>
      <c r="Q54" s="7">
        <f t="shared" si="7"/>
        <v>1.5779211000000002E-4</v>
      </c>
      <c r="R54" s="7">
        <f t="shared" si="8"/>
        <v>1.5047505000000003E-4</v>
      </c>
      <c r="S54" s="31">
        <f t="shared" si="23"/>
        <v>1543.6666862827753</v>
      </c>
    </row>
    <row r="55" spans="1:19" x14ac:dyDescent="0.3">
      <c r="A55" s="40" t="s">
        <v>69</v>
      </c>
      <c r="B55" s="14">
        <f t="shared" si="9"/>
        <v>837.51453623249984</v>
      </c>
      <c r="C55" s="7">
        <f t="shared" si="10"/>
        <v>19722.274048800002</v>
      </c>
      <c r="D55" s="7">
        <f t="shared" si="11"/>
        <v>0.16304239800000001</v>
      </c>
      <c r="E55" s="7">
        <f t="shared" si="12"/>
        <v>4.3236842399999986E-4</v>
      </c>
      <c r="F55" s="7">
        <f t="shared" si="13"/>
        <v>0.1117677168</v>
      </c>
      <c r="G55" s="7">
        <f t="shared" si="14"/>
        <v>8.8010341199999982E-5</v>
      </c>
      <c r="H55" s="7">
        <f t="shared" si="15"/>
        <v>1.5499659239999997E-5</v>
      </c>
      <c r="I55" s="7">
        <f t="shared" si="16"/>
        <v>5.3067711599999988E-9</v>
      </c>
      <c r="J55" s="7">
        <f t="shared" si="17"/>
        <v>1.995375924E-9</v>
      </c>
      <c r="K55" s="7">
        <f t="shared" si="18"/>
        <v>3.1490768520000004E-6</v>
      </c>
      <c r="L55" s="7">
        <f t="shared" si="19"/>
        <v>1.7269595999999995E-9</v>
      </c>
      <c r="M55" s="7">
        <f t="shared" si="20"/>
        <v>2.2267407960000002E-7</v>
      </c>
      <c r="N55" s="7">
        <f t="shared" si="21"/>
        <v>2.7356478119999994E-10</v>
      </c>
      <c r="O55" s="7">
        <f t="shared" si="22"/>
        <v>1.5996408840000003E-10</v>
      </c>
      <c r="P55" s="7">
        <f t="shared" si="6"/>
        <v>1.3900946399999999E-9</v>
      </c>
      <c r="Q55" s="7">
        <f t="shared" si="7"/>
        <v>1.2353915520000002E-10</v>
      </c>
      <c r="R55" s="7">
        <f t="shared" si="8"/>
        <v>1.23456654E-11</v>
      </c>
      <c r="S55" s="31">
        <f t="shared" si="23"/>
        <v>20560.063934408459</v>
      </c>
    </row>
    <row r="56" spans="1:19" x14ac:dyDescent="0.3">
      <c r="A56" s="40" t="s">
        <v>65</v>
      </c>
      <c r="B56" s="14">
        <f t="shared" si="9"/>
        <v>418.75726811624992</v>
      </c>
      <c r="C56" s="7">
        <f t="shared" si="10"/>
        <v>9861.1370244000009</v>
      </c>
      <c r="D56" s="7">
        <f t="shared" si="11"/>
        <v>8.1521199000000003E-2</v>
      </c>
      <c r="E56" s="7">
        <f t="shared" si="12"/>
        <v>2.1618421199999993E-4</v>
      </c>
      <c r="F56" s="7">
        <f t="shared" si="13"/>
        <v>5.58838584E-2</v>
      </c>
      <c r="G56" s="7">
        <f t="shared" si="14"/>
        <v>4.4005170599999991E-5</v>
      </c>
      <c r="H56" s="7">
        <f t="shared" si="15"/>
        <v>7.7498296199999985E-6</v>
      </c>
      <c r="I56" s="7">
        <f t="shared" si="16"/>
        <v>2.6533855799999994E-9</v>
      </c>
      <c r="J56" s="7">
        <f t="shared" si="17"/>
        <v>9.9768796199999999E-10</v>
      </c>
      <c r="K56" s="7">
        <f t="shared" si="18"/>
        <v>1.5745384260000002E-6</v>
      </c>
      <c r="L56" s="7">
        <f t="shared" si="19"/>
        <v>8.6347979999999973E-10</v>
      </c>
      <c r="M56" s="7">
        <f t="shared" si="20"/>
        <v>1.1133703980000001E-7</v>
      </c>
      <c r="N56" s="7">
        <f t="shared" si="21"/>
        <v>1.3678239059999997E-10</v>
      </c>
      <c r="O56" s="7">
        <f t="shared" si="22"/>
        <v>7.9982044200000015E-11</v>
      </c>
      <c r="P56" s="7">
        <f t="shared" si="6"/>
        <v>6.9504731999999995E-10</v>
      </c>
      <c r="Q56" s="7">
        <f t="shared" si="7"/>
        <v>6.1769577600000012E-11</v>
      </c>
      <c r="R56" s="7">
        <f t="shared" si="8"/>
        <v>6.1728327E-12</v>
      </c>
      <c r="S56" s="31">
        <f t="shared" si="23"/>
        <v>10280.03196720423</v>
      </c>
    </row>
    <row r="57" spans="1:19" x14ac:dyDescent="0.3">
      <c r="A57" s="40" t="s">
        <v>66</v>
      </c>
      <c r="B57" s="14">
        <f t="shared" si="9"/>
        <v>942.20385326156236</v>
      </c>
      <c r="C57" s="7">
        <f t="shared" si="10"/>
        <v>22187.558304900002</v>
      </c>
      <c r="D57" s="7">
        <f t="shared" si="11"/>
        <v>0.18342269775</v>
      </c>
      <c r="E57" s="7">
        <f t="shared" si="12"/>
        <v>4.8641447699999995E-4</v>
      </c>
      <c r="F57" s="7">
        <f t="shared" si="13"/>
        <v>0.1257386814</v>
      </c>
      <c r="G57" s="7">
        <f t="shared" si="14"/>
        <v>9.9011633849999985E-5</v>
      </c>
      <c r="H57" s="7">
        <f t="shared" si="15"/>
        <v>1.7437116645E-5</v>
      </c>
      <c r="I57" s="7">
        <f t="shared" si="16"/>
        <v>5.970117555E-9</v>
      </c>
      <c r="J57" s="7">
        <f t="shared" si="17"/>
        <v>2.2447979145000006E-9</v>
      </c>
      <c r="K57" s="7">
        <f t="shared" si="18"/>
        <v>3.5427114584999996E-6</v>
      </c>
      <c r="L57" s="7">
        <f t="shared" si="19"/>
        <v>1.9428295499999999E-9</v>
      </c>
      <c r="M57" s="7">
        <f t="shared" si="20"/>
        <v>2.5050833955000003E-7</v>
      </c>
      <c r="N57" s="7">
        <f t="shared" si="21"/>
        <v>3.0776037884999997E-10</v>
      </c>
      <c r="O57" s="7">
        <f t="shared" si="22"/>
        <v>1.7995959945E-10</v>
      </c>
      <c r="P57" s="7">
        <f t="shared" si="6"/>
        <v>1.5638564699999996E-9</v>
      </c>
      <c r="Q57" s="7">
        <f t="shared" si="7"/>
        <v>1.3898154960000004E-10</v>
      </c>
      <c r="R57" s="7">
        <f t="shared" si="8"/>
        <v>1.3888873575E-11</v>
      </c>
      <c r="S57" s="31">
        <f t="shared" si="23"/>
        <v>23130.071926209523</v>
      </c>
    </row>
    <row r="58" spans="1:19" x14ac:dyDescent="0.3">
      <c r="A58" s="40" t="s">
        <v>67</v>
      </c>
      <c r="B58" s="14">
        <f t="shared" si="9"/>
        <v>1291.1682433584374</v>
      </c>
      <c r="C58" s="7">
        <f t="shared" si="10"/>
        <v>30405.172491900001</v>
      </c>
      <c r="D58" s="7">
        <f t="shared" si="11"/>
        <v>0.25135703024999995</v>
      </c>
      <c r="E58" s="7">
        <f t="shared" si="12"/>
        <v>6.6656798699999992E-4</v>
      </c>
      <c r="F58" s="7">
        <f t="shared" si="13"/>
        <v>0.1723085634</v>
      </c>
      <c r="G58" s="7">
        <f t="shared" si="14"/>
        <v>1.3568260934999996E-4</v>
      </c>
      <c r="H58" s="7">
        <f t="shared" si="15"/>
        <v>2.3895307994999995E-5</v>
      </c>
      <c r="I58" s="7">
        <f t="shared" si="16"/>
        <v>8.1812722049999988E-9</v>
      </c>
      <c r="J58" s="7">
        <f t="shared" si="17"/>
        <v>3.0762045495000003E-9</v>
      </c>
      <c r="K58" s="7">
        <f t="shared" si="18"/>
        <v>4.8548268135000004E-6</v>
      </c>
      <c r="L58" s="7">
        <f t="shared" si="19"/>
        <v>2.6623960499999998E-9</v>
      </c>
      <c r="M58" s="7">
        <f t="shared" si="20"/>
        <v>3.4328920605000001E-7</v>
      </c>
      <c r="N58" s="7">
        <f t="shared" si="21"/>
        <v>4.2174570434999994E-10</v>
      </c>
      <c r="O58" s="7">
        <f t="shared" si="22"/>
        <v>2.4661130295000001E-10</v>
      </c>
      <c r="P58" s="7">
        <f t="shared" si="6"/>
        <v>2.1430625699999999E-9</v>
      </c>
      <c r="Q58" s="7">
        <f t="shared" si="7"/>
        <v>1.9045619760000006E-10</v>
      </c>
      <c r="R58" s="7">
        <f t="shared" si="8"/>
        <v>1.9032900824999998E-11</v>
      </c>
      <c r="S58" s="31">
        <f t="shared" si="23"/>
        <v>31696.765232213056</v>
      </c>
    </row>
    <row r="59" spans="1:19" ht="15" thickBot="1" x14ac:dyDescent="0.35">
      <c r="A59" s="40" t="s">
        <v>60</v>
      </c>
      <c r="B59" s="14">
        <f t="shared" si="9"/>
        <v>448.17732478169989</v>
      </c>
      <c r="C59" s="7">
        <f t="shared" si="10"/>
        <v>16797.994033499999</v>
      </c>
      <c r="D59" s="7">
        <f t="shared" si="11"/>
        <v>47.389884000000002</v>
      </c>
      <c r="E59" s="7">
        <f t="shared" si="12"/>
        <v>35.652250499999987</v>
      </c>
      <c r="F59" s="7">
        <f t="shared" si="13"/>
        <v>116.60484899999999</v>
      </c>
      <c r="G59" s="7">
        <f t="shared" si="14"/>
        <v>94.189075500000001</v>
      </c>
      <c r="H59" s="7">
        <f t="shared" si="15"/>
        <v>13.952138250000003</v>
      </c>
      <c r="I59" s="7">
        <f t="shared" si="16"/>
        <v>0.13269585149999999</v>
      </c>
      <c r="J59" s="7">
        <f t="shared" si="17"/>
        <v>0.51322213500000002</v>
      </c>
      <c r="K59" s="7">
        <f t="shared" si="18"/>
        <v>0.77697148500000002</v>
      </c>
      <c r="L59" s="7">
        <f t="shared" si="19"/>
        <v>6.3739375500000001E-2</v>
      </c>
      <c r="M59" s="7">
        <f t="shared" si="20"/>
        <v>4.6682446500000002E-2</v>
      </c>
      <c r="N59" s="7">
        <f t="shared" si="21"/>
        <v>2.4700633499999999E-2</v>
      </c>
      <c r="O59" s="7">
        <f t="shared" si="22"/>
        <v>0.18831934500000005</v>
      </c>
      <c r="P59" s="7">
        <f t="shared" si="6"/>
        <v>1.77161895E-2</v>
      </c>
      <c r="Q59" s="7">
        <f t="shared" si="7"/>
        <v>2.8469626500000002E-3</v>
      </c>
      <c r="R59" s="7">
        <f t="shared" si="8"/>
        <v>6.4482701999999982E-3</v>
      </c>
      <c r="S59" s="31">
        <f t="shared" si="23"/>
        <v>17555.732898226044</v>
      </c>
    </row>
    <row r="60" spans="1:19" ht="15" thickBot="1" x14ac:dyDescent="0.35">
      <c r="A60" s="47" t="s">
        <v>53</v>
      </c>
      <c r="B60" s="43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5"/>
    </row>
    <row r="61" spans="1:19" ht="15" thickBot="1" x14ac:dyDescent="0.35">
      <c r="A61" s="40" t="s">
        <v>68</v>
      </c>
      <c r="B61" s="14">
        <f t="shared" si="9"/>
        <v>284769.28627120913</v>
      </c>
      <c r="C61" s="7">
        <f t="shared" si="10"/>
        <v>50520707.561807998</v>
      </c>
      <c r="D61" s="7">
        <f t="shared" si="11"/>
        <v>185940.98160000003</v>
      </c>
      <c r="E61" s="7">
        <f t="shared" si="12"/>
        <v>263475.7355999999</v>
      </c>
      <c r="F61" s="7">
        <f t="shared" si="13"/>
        <v>36335.196480000006</v>
      </c>
      <c r="G61" s="7">
        <f t="shared" si="14"/>
        <v>2548.7569800000001</v>
      </c>
      <c r="H61" s="7">
        <f t="shared" si="15"/>
        <v>377.81990399999989</v>
      </c>
      <c r="I61" s="7">
        <f t="shared" si="16"/>
        <v>132.31520280000001</v>
      </c>
      <c r="J61" s="7">
        <f t="shared" si="17"/>
        <v>167.47650480000001</v>
      </c>
      <c r="K61" s="7">
        <f t="shared" si="18"/>
        <v>217.25398199999995</v>
      </c>
      <c r="L61" s="7">
        <f t="shared" si="19"/>
        <v>30.908404560000005</v>
      </c>
      <c r="M61" s="7">
        <f t="shared" si="20"/>
        <v>2.5321721039999994</v>
      </c>
      <c r="N61" s="7">
        <f t="shared" si="21"/>
        <v>352.99202400000007</v>
      </c>
      <c r="O61" s="7">
        <f>O38*2700</f>
        <v>233.38161000000002</v>
      </c>
      <c r="P61" s="7">
        <f>P38*400</f>
        <v>103.27118736</v>
      </c>
      <c r="Q61" s="7">
        <f>Q38*37</f>
        <v>1.5172864079999999</v>
      </c>
      <c r="R61" s="7">
        <f>R38*390</f>
        <v>37.671951239999999</v>
      </c>
      <c r="S61" s="31">
        <f t="shared" si="23"/>
        <v>51295434.658968478</v>
      </c>
    </row>
    <row r="62" spans="1:19" ht="15" thickBot="1" x14ac:dyDescent="0.35">
      <c r="A62" s="47" t="s">
        <v>24</v>
      </c>
      <c r="B62" s="4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5"/>
    </row>
    <row r="63" spans="1:19" x14ac:dyDescent="0.3">
      <c r="A63" s="40" t="s">
        <v>71</v>
      </c>
      <c r="B63" s="14">
        <f t="shared" si="9"/>
        <v>3.3827527610182342</v>
      </c>
      <c r="C63" s="7">
        <f t="shared" si="10"/>
        <v>3.607353168315</v>
      </c>
      <c r="D63" s="7">
        <f t="shared" si="11"/>
        <v>1.4650402199999997E-2</v>
      </c>
      <c r="E63" s="7">
        <f t="shared" si="12"/>
        <v>2.4866031E-3</v>
      </c>
      <c r="F63" s="7">
        <f t="shared" si="13"/>
        <v>1.0672315949999999E-2</v>
      </c>
      <c r="G63" s="7">
        <f t="shared" si="14"/>
        <v>1.8196306499999998E-4</v>
      </c>
      <c r="H63" s="7">
        <f t="shared" si="15"/>
        <v>2.7212839499999999E-5</v>
      </c>
      <c r="I63" s="7">
        <f t="shared" si="16"/>
        <v>8.0063229000000012E-6</v>
      </c>
      <c r="J63" s="7">
        <f t="shared" si="17"/>
        <v>5.62201815E-5</v>
      </c>
      <c r="K63" s="7">
        <f t="shared" si="18"/>
        <v>1.5422283000000003E-5</v>
      </c>
      <c r="L63" s="7">
        <f t="shared" si="19"/>
        <v>4.4432480999999997E-6</v>
      </c>
      <c r="M63" s="7">
        <f t="shared" si="20"/>
        <v>5.1056461499999979E-7</v>
      </c>
      <c r="N63" s="7">
        <f t="shared" si="21"/>
        <v>2.5683540000000007E-6</v>
      </c>
      <c r="O63" s="7">
        <f>O40*2700</f>
        <v>7.9399435499999998E-5</v>
      </c>
      <c r="P63" s="7">
        <f>P40*400</f>
        <v>1.5882041999999997E-6</v>
      </c>
      <c r="Q63" s="7">
        <f>Q40*37</f>
        <v>2.3743653000000003E-7</v>
      </c>
      <c r="R63" s="7">
        <f>R40*390</f>
        <v>3.0081634499999999E-7</v>
      </c>
      <c r="S63" s="31">
        <f t="shared" si="23"/>
        <v>7.0182931233344243</v>
      </c>
    </row>
    <row r="64" spans="1:19" x14ac:dyDescent="0.3">
      <c r="A64" s="40" t="s">
        <v>72</v>
      </c>
      <c r="B64" s="14">
        <f t="shared" si="9"/>
        <v>3.0207111674480398</v>
      </c>
      <c r="C64" s="7">
        <f t="shared" si="10"/>
        <v>91.225971988499992</v>
      </c>
      <c r="D64" s="7">
        <f t="shared" si="11"/>
        <v>0.39799704000000008</v>
      </c>
      <c r="E64" s="7">
        <f t="shared" si="12"/>
        <v>0.18317297999999996</v>
      </c>
      <c r="F64" s="7">
        <f t="shared" si="13"/>
        <v>1.0813178849999998</v>
      </c>
      <c r="G64" s="7">
        <f t="shared" si="14"/>
        <v>7.4977125000000007E-3</v>
      </c>
      <c r="H64" s="7">
        <f t="shared" si="15"/>
        <v>1.20194535E-3</v>
      </c>
      <c r="I64" s="7">
        <f t="shared" si="16"/>
        <v>4.5498954000000006E-4</v>
      </c>
      <c r="J64" s="7">
        <f t="shared" si="17"/>
        <v>6.5693020499999998E-3</v>
      </c>
      <c r="K64" s="7">
        <f t="shared" si="18"/>
        <v>9.1693216499999996E-4</v>
      </c>
      <c r="L64" s="7">
        <f t="shared" si="19"/>
        <v>3.2851306500000007E-4</v>
      </c>
      <c r="M64" s="7">
        <f t="shared" si="20"/>
        <v>2.1308625E-5</v>
      </c>
      <c r="N64" s="7">
        <f t="shared" si="21"/>
        <v>2.7156928500000004E-4</v>
      </c>
      <c r="O64" s="7">
        <f>O41*2700</f>
        <v>1.9216890000000001E-3</v>
      </c>
      <c r="P64" s="7">
        <f>P41*400</f>
        <v>1.5624214499999998E-4</v>
      </c>
      <c r="Q64" s="7">
        <f>Q41*37</f>
        <v>1.4981428199999995E-5</v>
      </c>
      <c r="R64" s="7">
        <f>R41*390</f>
        <v>3.9558285000000009E-5</v>
      </c>
      <c r="S64" s="31">
        <f t="shared" si="23"/>
        <v>95.928565804386224</v>
      </c>
    </row>
    <row r="65" spans="1:19" ht="15" thickBot="1" x14ac:dyDescent="0.35">
      <c r="A65" s="41" t="s">
        <v>63</v>
      </c>
      <c r="B65" s="8">
        <f t="shared" si="9"/>
        <v>7.8856652527101012</v>
      </c>
      <c r="C65" s="9">
        <f t="shared" si="10"/>
        <v>755.98436353499983</v>
      </c>
      <c r="D65" s="9">
        <f t="shared" si="11"/>
        <v>5.3278969500000004</v>
      </c>
      <c r="E65" s="9">
        <f t="shared" si="12"/>
        <v>0.48921298499999993</v>
      </c>
      <c r="F65" s="9">
        <f t="shared" si="13"/>
        <v>1.9317567000000002</v>
      </c>
      <c r="G65" s="9">
        <f t="shared" si="14"/>
        <v>0.1371819165</v>
      </c>
      <c r="H65" s="9">
        <f>H42*18000</f>
        <v>2.0472271500000003E-2</v>
      </c>
      <c r="I65" s="9">
        <f t="shared" si="16"/>
        <v>2.4728692499999998E-3</v>
      </c>
      <c r="J65" s="9">
        <f t="shared" si="17"/>
        <v>1.2307035750000002E-2</v>
      </c>
      <c r="K65" s="9">
        <f t="shared" si="18"/>
        <v>5.2968709499999992E-3</v>
      </c>
      <c r="L65" s="9">
        <f t="shared" si="19"/>
        <v>1.3884596399999999E-3</v>
      </c>
      <c r="M65" s="9">
        <f t="shared" si="20"/>
        <v>1.92436755E-4</v>
      </c>
      <c r="N65" s="9">
        <f t="shared" si="21"/>
        <v>5.2738609499999997E-4</v>
      </c>
      <c r="O65" s="9">
        <f>O42*2700</f>
        <v>3.4061332499999999E-2</v>
      </c>
      <c r="P65" s="9">
        <f>P42*400</f>
        <v>3.6308192999999999E-4</v>
      </c>
      <c r="Q65" s="9">
        <f>Q42*37</f>
        <v>7.8896055000000009E-5</v>
      </c>
      <c r="R65" s="9">
        <f>R42*390</f>
        <v>7.5237527999999975E-5</v>
      </c>
      <c r="S65" s="34">
        <f t="shared" si="23"/>
        <v>771.83331321716298</v>
      </c>
    </row>
  </sheetData>
  <mergeCells count="2">
    <mergeCell ref="S6:S9"/>
    <mergeCell ref="S11:S14"/>
  </mergeCells>
  <conditionalFormatting sqref="T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{5E8D2F95-8046-40F3-B17F-1C53E747D519}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D2F95-8046-40F3-B17F-1C53E747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"/>
  <sheetViews>
    <sheetView topLeftCell="A27" zoomScaleNormal="100" workbookViewId="0">
      <selection activeCell="C46" sqref="C46"/>
    </sheetView>
  </sheetViews>
  <sheetFormatPr baseColWidth="10" defaultColWidth="11.44140625" defaultRowHeight="14.4" x14ac:dyDescent="0.3"/>
  <cols>
    <col min="1" max="1" width="25.5546875" customWidth="1"/>
    <col min="2" max="2" width="13.77734375" customWidth="1"/>
    <col min="3" max="3" width="11.5546875" bestFit="1" customWidth="1"/>
    <col min="4" max="4" width="12.44140625" customWidth="1"/>
    <col min="5" max="5" width="12.44140625" bestFit="1" customWidth="1"/>
    <col min="6" max="6" width="11.44140625" customWidth="1"/>
    <col min="7" max="7" width="12.33203125" customWidth="1"/>
    <col min="15" max="15" width="12.109375" customWidth="1"/>
    <col min="16" max="16" width="11.109375" customWidth="1"/>
  </cols>
  <sheetData>
    <row r="1" spans="1:20" ht="15" thickBot="1" x14ac:dyDescent="0.35">
      <c r="A1" t="s">
        <v>64</v>
      </c>
    </row>
    <row r="2" spans="1:20" ht="48.75" customHeight="1" thickTop="1" thickBot="1" x14ac:dyDescent="0.35">
      <c r="A2" s="17"/>
      <c r="B2" s="18" t="s">
        <v>25</v>
      </c>
      <c r="C2" s="18" t="s">
        <v>26</v>
      </c>
      <c r="D2" s="18" t="s">
        <v>27</v>
      </c>
      <c r="E2" s="18" t="s">
        <v>28</v>
      </c>
      <c r="F2" s="18" t="s">
        <v>29</v>
      </c>
      <c r="G2" s="18" t="s">
        <v>52</v>
      </c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9" t="s">
        <v>38</v>
      </c>
    </row>
    <row r="3" spans="1:20" ht="38.25" customHeight="1" thickBot="1" x14ac:dyDescent="0.35">
      <c r="A3" s="20"/>
      <c r="B3" s="21" t="s">
        <v>73</v>
      </c>
      <c r="C3" s="21" t="s">
        <v>73</v>
      </c>
      <c r="D3" s="21" t="s">
        <v>39</v>
      </c>
      <c r="E3" s="21" t="s">
        <v>40</v>
      </c>
      <c r="F3" s="21" t="s">
        <v>41</v>
      </c>
      <c r="G3" s="21" t="s">
        <v>42</v>
      </c>
      <c r="H3" s="21" t="s">
        <v>43</v>
      </c>
      <c r="I3" s="21" t="s">
        <v>44</v>
      </c>
      <c r="J3" s="21" t="s">
        <v>45</v>
      </c>
      <c r="K3" s="21" t="s">
        <v>46</v>
      </c>
      <c r="L3" s="21" t="s">
        <v>47</v>
      </c>
      <c r="M3" s="21" t="s">
        <v>48</v>
      </c>
      <c r="N3" s="21" t="s">
        <v>49</v>
      </c>
      <c r="O3" s="21" t="s">
        <v>50</v>
      </c>
      <c r="P3" s="22" t="s">
        <v>51</v>
      </c>
    </row>
    <row r="4" spans="1:20" ht="15.75" customHeight="1" thickTop="1" thickBot="1" x14ac:dyDescent="0.35">
      <c r="A4" s="46" t="s">
        <v>22</v>
      </c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  <c r="S4" s="2"/>
      <c r="T4" s="38"/>
    </row>
    <row r="5" spans="1:20" ht="15.75" customHeight="1" x14ac:dyDescent="0.3">
      <c r="A5" s="39" t="s">
        <v>54</v>
      </c>
      <c r="B5" s="27">
        <v>1875.7317000000003</v>
      </c>
      <c r="C5" s="28">
        <v>7577.9236499999997</v>
      </c>
      <c r="D5" s="28">
        <v>118.261878</v>
      </c>
      <c r="E5" s="28">
        <v>436284.52499999997</v>
      </c>
      <c r="F5" s="28">
        <v>1.01452407E-2</v>
      </c>
      <c r="G5" s="28">
        <v>19.218898500000002</v>
      </c>
      <c r="H5" s="28">
        <v>18241606.5</v>
      </c>
      <c r="I5" s="28">
        <v>6453425.6999999993</v>
      </c>
      <c r="J5" s="28">
        <v>1143.907185</v>
      </c>
      <c r="K5" s="28">
        <v>1361.857665</v>
      </c>
      <c r="L5" s="28">
        <v>627.87878999999998</v>
      </c>
      <c r="M5" s="28">
        <v>143.98701749999998</v>
      </c>
      <c r="N5" s="28">
        <f>'Annexe 1'!S50</f>
        <v>36108.344191093027</v>
      </c>
      <c r="O5" s="28">
        <v>480988.57499999995</v>
      </c>
      <c r="P5" s="29">
        <v>78836.487000000008</v>
      </c>
      <c r="Q5" s="72" t="s">
        <v>70</v>
      </c>
      <c r="R5" s="37"/>
      <c r="T5" s="5"/>
    </row>
    <row r="6" spans="1:20" x14ac:dyDescent="0.3">
      <c r="A6" s="40" t="s">
        <v>55</v>
      </c>
      <c r="B6" s="30">
        <v>373.91895</v>
      </c>
      <c r="C6" s="5">
        <v>672.79095000000007</v>
      </c>
      <c r="D6" s="5">
        <v>17.125554000000001</v>
      </c>
      <c r="E6" s="5">
        <v>36434.595000000001</v>
      </c>
      <c r="F6" s="5">
        <v>3.2293318499999999E-4</v>
      </c>
      <c r="G6" s="5">
        <v>2.5365956999999999</v>
      </c>
      <c r="H6" s="5">
        <v>1319395.56</v>
      </c>
      <c r="I6" s="5">
        <v>758809.29</v>
      </c>
      <c r="J6" s="5">
        <v>126.323475</v>
      </c>
      <c r="K6" s="5">
        <v>128.03255100000001</v>
      </c>
      <c r="L6" s="5">
        <v>49.9835025</v>
      </c>
      <c r="M6" s="5">
        <v>8.3099480999999997</v>
      </c>
      <c r="N6" s="5">
        <f>'Annexe 1'!S51</f>
        <v>5415.9780284502303</v>
      </c>
      <c r="O6" s="5">
        <v>64008.384000000005</v>
      </c>
      <c r="P6" s="31">
        <v>5661.6358499999997</v>
      </c>
      <c r="Q6" s="72"/>
      <c r="R6" s="2"/>
      <c r="T6" s="5"/>
    </row>
    <row r="7" spans="1:20" x14ac:dyDescent="0.3">
      <c r="A7" s="40" t="s">
        <v>56</v>
      </c>
      <c r="B7" s="30">
        <v>1466.978235</v>
      </c>
      <c r="C7" s="5">
        <v>5268.0311999999994</v>
      </c>
      <c r="D7" s="5">
        <v>82.561506000000008</v>
      </c>
      <c r="E7" s="5">
        <v>241309.98</v>
      </c>
      <c r="F7" s="5">
        <v>3.0342968999999997E-2</v>
      </c>
      <c r="G7" s="5">
        <v>12.068932200000001</v>
      </c>
      <c r="H7" s="5">
        <v>10034860.5</v>
      </c>
      <c r="I7" s="5">
        <v>4905191.0999999996</v>
      </c>
      <c r="J7" s="5">
        <v>632.64124500000003</v>
      </c>
      <c r="K7" s="5">
        <v>757.92336</v>
      </c>
      <c r="L7" s="5">
        <v>329.10621000000003</v>
      </c>
      <c r="M7" s="5">
        <v>83.461394999999996</v>
      </c>
      <c r="N7" s="5">
        <f>'Annexe 1'!S52</f>
        <v>23376.891753803622</v>
      </c>
      <c r="O7" s="5">
        <v>312793.48499999999</v>
      </c>
      <c r="P7" s="31">
        <v>35491.000500000002</v>
      </c>
      <c r="Q7" s="72"/>
      <c r="T7" s="5"/>
    </row>
    <row r="8" spans="1:20" x14ac:dyDescent="0.3">
      <c r="A8" s="40" t="s">
        <v>57</v>
      </c>
      <c r="B8" s="30">
        <v>3082.4148000000005</v>
      </c>
      <c r="C8" s="5">
        <v>19931.110499999999</v>
      </c>
      <c r="D8" s="5">
        <v>155.26720499999999</v>
      </c>
      <c r="E8" s="5">
        <v>246977.31</v>
      </c>
      <c r="F8" s="5">
        <v>2.5683799499999997</v>
      </c>
      <c r="G8" s="5">
        <v>19.258569000000001</v>
      </c>
      <c r="H8" s="5">
        <v>31474408.5</v>
      </c>
      <c r="I8" s="5">
        <v>14031140.25</v>
      </c>
      <c r="J8" s="5">
        <v>1082.44155</v>
      </c>
      <c r="K8" s="5">
        <v>1769.27835</v>
      </c>
      <c r="L8" s="5">
        <v>951.06092999999998</v>
      </c>
      <c r="M8" s="5">
        <v>303.24274500000001</v>
      </c>
      <c r="N8" s="5">
        <f>'Annexe 1'!S53</f>
        <v>34970.850597802841</v>
      </c>
      <c r="O8" s="5">
        <v>350933.07</v>
      </c>
      <c r="P8" s="31">
        <v>92414.707500000004</v>
      </c>
      <c r="Q8" s="72"/>
      <c r="T8" s="7"/>
    </row>
    <row r="9" spans="1:20" x14ac:dyDescent="0.3">
      <c r="A9" s="40" t="s">
        <v>58</v>
      </c>
      <c r="B9" s="30">
        <v>7.3187306849999993</v>
      </c>
      <c r="C9" s="5">
        <v>26.912846099999996</v>
      </c>
      <c r="D9" s="5">
        <v>0.96255029849999996</v>
      </c>
      <c r="E9" s="5">
        <v>8890.5969599999989</v>
      </c>
      <c r="F9" s="5">
        <v>2.174526375E-4</v>
      </c>
      <c r="G9" s="5">
        <v>0.71494747799999991</v>
      </c>
      <c r="H9" s="5">
        <v>131799.0135</v>
      </c>
      <c r="I9" s="5">
        <v>116165.05949999999</v>
      </c>
      <c r="J9" s="5">
        <v>89.054880600000004</v>
      </c>
      <c r="K9" s="5">
        <v>12.357545549999998</v>
      </c>
      <c r="L9" s="5">
        <v>3.1492748700000002</v>
      </c>
      <c r="M9" s="5">
        <v>0.12994852499999998</v>
      </c>
      <c r="N9" s="5">
        <f>'Annexe 1'!S54</f>
        <v>1543.6666862827753</v>
      </c>
      <c r="O9" s="5">
        <v>19077.286200000002</v>
      </c>
      <c r="P9" s="31">
        <v>14.129979149999999</v>
      </c>
      <c r="Q9" s="7"/>
      <c r="T9" s="7"/>
    </row>
    <row r="10" spans="1:20" ht="15" customHeight="1" x14ac:dyDescent="0.3">
      <c r="A10" s="40" t="s">
        <v>69</v>
      </c>
      <c r="B10" s="30">
        <v>1343.358432</v>
      </c>
      <c r="C10" s="5">
        <v>2464.0766999999996</v>
      </c>
      <c r="D10" s="5">
        <v>79.190956800000009</v>
      </c>
      <c r="E10" s="5">
        <v>369574.14779999998</v>
      </c>
      <c r="F10" s="5">
        <v>4.2313160160000005E-3</v>
      </c>
      <c r="G10" s="5">
        <v>21.852631980000002</v>
      </c>
      <c r="H10" s="5">
        <v>11986748.82</v>
      </c>
      <c r="I10" s="5">
        <v>2699514</v>
      </c>
      <c r="J10" s="5">
        <v>978.47519399999987</v>
      </c>
      <c r="K10" s="5">
        <v>844.6813380000001</v>
      </c>
      <c r="L10" s="5">
        <v>292.14285659999996</v>
      </c>
      <c r="M10" s="5">
        <v>118.39460579999999</v>
      </c>
      <c r="N10" s="5">
        <f>'Annexe 1'!S55</f>
        <v>20560.063934408459</v>
      </c>
      <c r="O10" s="5">
        <v>468793.38060000003</v>
      </c>
      <c r="P10" s="31">
        <v>24407.581499999997</v>
      </c>
      <c r="Q10" s="73" t="s">
        <v>59</v>
      </c>
      <c r="T10" s="7"/>
    </row>
    <row r="11" spans="1:20" x14ac:dyDescent="0.3">
      <c r="A11" s="40" t="s">
        <v>65</v>
      </c>
      <c r="B11" s="30">
        <v>671.679216</v>
      </c>
      <c r="C11" s="5">
        <v>1232.0383499999998</v>
      </c>
      <c r="D11" s="5">
        <v>39.595478400000005</v>
      </c>
      <c r="E11" s="5">
        <v>184787.07389999999</v>
      </c>
      <c r="F11" s="5">
        <v>2.1156580080000003E-3</v>
      </c>
      <c r="G11" s="5">
        <v>10.926315990000001</v>
      </c>
      <c r="H11" s="5">
        <v>5993374.4100000001</v>
      </c>
      <c r="I11" s="5">
        <v>1349757</v>
      </c>
      <c r="J11" s="5">
        <v>489.23759699999994</v>
      </c>
      <c r="K11" s="5">
        <v>422.34066900000005</v>
      </c>
      <c r="L11" s="5">
        <v>146.07142829999998</v>
      </c>
      <c r="M11" s="5">
        <v>59.197302899999997</v>
      </c>
      <c r="N11" s="5">
        <f>'Annexe 1'!S56</f>
        <v>10280.03196720423</v>
      </c>
      <c r="O11" s="5">
        <v>234396.69030000002</v>
      </c>
      <c r="P11" s="31">
        <v>12203.790749999998</v>
      </c>
      <c r="Q11" s="73"/>
      <c r="T11" s="7"/>
    </row>
    <row r="12" spans="1:20" x14ac:dyDescent="0.3">
      <c r="A12" s="40" t="s">
        <v>66</v>
      </c>
      <c r="B12" s="30">
        <v>1511.2782360000001</v>
      </c>
      <c r="C12" s="5">
        <v>2772.0862874999998</v>
      </c>
      <c r="D12" s="5">
        <v>89.089826400000007</v>
      </c>
      <c r="E12" s="5">
        <v>415770.91627499997</v>
      </c>
      <c r="F12" s="5">
        <v>4.7602305180000004E-3</v>
      </c>
      <c r="G12" s="5">
        <v>24.584210977500003</v>
      </c>
      <c r="H12" s="5">
        <v>13485092.422499999</v>
      </c>
      <c r="I12" s="5">
        <v>3036953.2500000005</v>
      </c>
      <c r="J12" s="5">
        <v>1100.7845932499999</v>
      </c>
      <c r="K12" s="5">
        <v>950.26650525000002</v>
      </c>
      <c r="L12" s="5">
        <v>328.66071367499995</v>
      </c>
      <c r="M12" s="5">
        <v>133.19393152500001</v>
      </c>
      <c r="N12" s="5">
        <f>'Annexe 1'!S57</f>
        <v>23130.071926209523</v>
      </c>
      <c r="O12" s="5">
        <v>527392.55317500001</v>
      </c>
      <c r="P12" s="31">
        <v>27458.5291875</v>
      </c>
      <c r="Q12" s="73"/>
      <c r="T12" s="7"/>
    </row>
    <row r="13" spans="1:20" x14ac:dyDescent="0.3">
      <c r="A13" s="40" t="s">
        <v>67</v>
      </c>
      <c r="B13" s="30">
        <v>2071.0109159999997</v>
      </c>
      <c r="C13" s="5">
        <v>3798.7849124999993</v>
      </c>
      <c r="D13" s="5">
        <v>122.08605840000001</v>
      </c>
      <c r="E13" s="5">
        <v>569760.14452500001</v>
      </c>
      <c r="F13" s="5">
        <v>6.5232788580000013E-3</v>
      </c>
      <c r="G13" s="5">
        <v>33.689474302500003</v>
      </c>
      <c r="H13" s="5">
        <v>18479571.0975</v>
      </c>
      <c r="I13" s="5">
        <v>4161750.75</v>
      </c>
      <c r="J13" s="5">
        <v>1508.4825907499999</v>
      </c>
      <c r="K13" s="5">
        <v>1302.21706275</v>
      </c>
      <c r="L13" s="5">
        <v>450.3869039249999</v>
      </c>
      <c r="M13" s="5">
        <v>182.52501727499998</v>
      </c>
      <c r="N13" s="5">
        <f>'Annexe 1'!S58</f>
        <v>31696.765232213056</v>
      </c>
      <c r="O13" s="5">
        <v>722723.128425</v>
      </c>
      <c r="P13" s="31">
        <v>37628.354812499994</v>
      </c>
      <c r="Q13" s="73"/>
      <c r="T13" s="7"/>
    </row>
    <row r="14" spans="1:20" ht="15" thickBot="1" x14ac:dyDescent="0.35">
      <c r="A14" s="40" t="s">
        <v>60</v>
      </c>
      <c r="B14" s="30">
        <v>433.06717500000002</v>
      </c>
      <c r="C14" s="5">
        <v>441.25409999999999</v>
      </c>
      <c r="D14" s="5">
        <v>27.625944</v>
      </c>
      <c r="E14" s="5">
        <v>77695.936499999996</v>
      </c>
      <c r="F14" s="5">
        <v>1.1603987699999999E-3</v>
      </c>
      <c r="G14" s="5">
        <v>8.8807462499999996</v>
      </c>
      <c r="H14" s="5">
        <v>1179793.3049999999</v>
      </c>
      <c r="I14" s="5">
        <v>631645.26</v>
      </c>
      <c r="J14" s="5">
        <v>252.94337999999999</v>
      </c>
      <c r="K14" s="5">
        <v>702.57701999999995</v>
      </c>
      <c r="L14" s="5">
        <v>141.9704145</v>
      </c>
      <c r="M14" s="5">
        <v>3.3394436999999999</v>
      </c>
      <c r="N14" s="5">
        <f>'Annexe 1'!S59</f>
        <v>17555.732898226044</v>
      </c>
      <c r="O14" s="5">
        <v>183712.34999999998</v>
      </c>
      <c r="P14" s="31">
        <v>2238.8553000000002</v>
      </c>
      <c r="Q14" s="7"/>
      <c r="T14" s="7"/>
    </row>
    <row r="15" spans="1:20" ht="15" thickBot="1" x14ac:dyDescent="0.35">
      <c r="A15" s="47" t="s">
        <v>53</v>
      </c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67"/>
      <c r="O15" s="44"/>
      <c r="P15" s="45"/>
      <c r="Q15" s="7"/>
      <c r="S15" s="7"/>
      <c r="T15" s="7"/>
    </row>
    <row r="16" spans="1:20" ht="15" thickBot="1" x14ac:dyDescent="0.35">
      <c r="A16" s="40" t="s">
        <v>68</v>
      </c>
      <c r="B16" s="30">
        <v>163238.43</v>
      </c>
      <c r="C16" s="5">
        <v>539585.95499999996</v>
      </c>
      <c r="D16" s="5">
        <v>28762.273499999996</v>
      </c>
      <c r="E16" s="5">
        <v>25686069</v>
      </c>
      <c r="F16" s="5">
        <v>2.0662796999999999</v>
      </c>
      <c r="G16" s="5">
        <v>4939.2296999999999</v>
      </c>
      <c r="H16" s="5">
        <v>913011855</v>
      </c>
      <c r="I16" s="5">
        <v>330840585</v>
      </c>
      <c r="J16" s="5">
        <v>650528.79</v>
      </c>
      <c r="K16" s="5">
        <v>498108.375</v>
      </c>
      <c r="L16" s="5">
        <v>219808.005</v>
      </c>
      <c r="M16" s="5">
        <v>31061.746499999997</v>
      </c>
      <c r="N16" s="5">
        <f>'Annexe 1'!S61</f>
        <v>51295434.658968478</v>
      </c>
      <c r="O16" s="5">
        <v>699204405</v>
      </c>
      <c r="P16" s="31">
        <v>337760.02500000002</v>
      </c>
      <c r="Q16" s="7"/>
      <c r="T16" s="7"/>
    </row>
    <row r="17" spans="1:20" ht="15" thickBot="1" x14ac:dyDescent="0.35">
      <c r="A17" s="47" t="s">
        <v>24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67"/>
      <c r="O17" s="44"/>
      <c r="P17" s="45"/>
      <c r="S17" s="7"/>
      <c r="T17" s="7"/>
    </row>
    <row r="18" spans="1:20" ht="15" customHeight="1" x14ac:dyDescent="0.3">
      <c r="A18" s="40" t="s">
        <v>61</v>
      </c>
      <c r="B18" s="30">
        <v>3.2226161999999996E-2</v>
      </c>
      <c r="C18" s="5">
        <v>3.1374302999999999E-2</v>
      </c>
      <c r="D18" s="5">
        <v>3.3623867999999996E-3</v>
      </c>
      <c r="E18" s="5">
        <v>17.646608999999998</v>
      </c>
      <c r="F18" s="5">
        <v>3.6839863500000001E-7</v>
      </c>
      <c r="G18" s="5">
        <v>1.23117792E-3</v>
      </c>
      <c r="H18" s="5">
        <v>196.03036500000002</v>
      </c>
      <c r="I18" s="5">
        <v>32.798785499999994</v>
      </c>
      <c r="J18" s="5">
        <v>0.40458991499999997</v>
      </c>
      <c r="K18" s="5">
        <v>6.36915225E-2</v>
      </c>
      <c r="L18" s="5">
        <v>3.83671545E-2</v>
      </c>
      <c r="M18" s="5">
        <v>6.0547477499999999E-4</v>
      </c>
      <c r="N18" s="5">
        <f>'Annexe 1'!S63</f>
        <v>7.0182931233344243</v>
      </c>
      <c r="O18" s="5">
        <v>37.460686499999994</v>
      </c>
      <c r="P18" s="31">
        <v>4.1243919000000004E-2</v>
      </c>
      <c r="Q18" s="7"/>
      <c r="T18" s="5"/>
    </row>
    <row r="19" spans="1:20" x14ac:dyDescent="0.3">
      <c r="A19" s="40" t="s">
        <v>62</v>
      </c>
      <c r="B19" s="30">
        <v>3.8842653</v>
      </c>
      <c r="C19" s="5">
        <v>20.254407</v>
      </c>
      <c r="D19" s="5">
        <v>0.18201447000000001</v>
      </c>
      <c r="E19" s="5">
        <v>932.09779500000013</v>
      </c>
      <c r="F19" s="5">
        <v>1.0186540199999999E-5</v>
      </c>
      <c r="G19" s="5">
        <v>3.8961645000000003E-2</v>
      </c>
      <c r="H19" s="5">
        <v>13362412.5</v>
      </c>
      <c r="I19" s="5">
        <v>15056.264999999999</v>
      </c>
      <c r="J19" s="5">
        <v>8.6755253999999997</v>
      </c>
      <c r="K19" s="5">
        <v>2.4976731000000001</v>
      </c>
      <c r="L19" s="5">
        <v>0.78030682500000004</v>
      </c>
      <c r="M19" s="5">
        <v>1.6167451499999999E-2</v>
      </c>
      <c r="N19" s="5">
        <f>'Annexe 1'!S64</f>
        <v>95.928565804386224</v>
      </c>
      <c r="O19" s="5">
        <v>1521.6089999999999</v>
      </c>
      <c r="P19" s="31">
        <v>1.4095339199999999</v>
      </c>
      <c r="Q19" s="2"/>
      <c r="T19" s="5"/>
    </row>
    <row r="20" spans="1:20" ht="15" thickBot="1" x14ac:dyDescent="0.35">
      <c r="A20" s="41" t="s">
        <v>63</v>
      </c>
      <c r="B20" s="32">
        <v>5.2276647000000001</v>
      </c>
      <c r="C20" s="33">
        <v>19.223461499999999</v>
      </c>
      <c r="D20" s="33">
        <v>0.68753591999999997</v>
      </c>
      <c r="E20" s="33">
        <v>6350.4263999999994</v>
      </c>
      <c r="F20" s="33">
        <v>1.5532331999999999E-4</v>
      </c>
      <c r="G20" s="33">
        <v>0.51067677</v>
      </c>
      <c r="H20" s="33">
        <v>94142.15400000001</v>
      </c>
      <c r="I20" s="33">
        <v>82975.039499999999</v>
      </c>
      <c r="J20" s="33">
        <v>63.610629000000003</v>
      </c>
      <c r="K20" s="33">
        <v>8.8268182499999988</v>
      </c>
      <c r="L20" s="33">
        <v>2.2494820500000001</v>
      </c>
      <c r="M20" s="33">
        <v>9.2820376499999996E-2</v>
      </c>
      <c r="N20" s="33">
        <f>'Annexe 1'!S65</f>
        <v>771.83331321716298</v>
      </c>
      <c r="O20" s="33">
        <v>13626.633000000002</v>
      </c>
      <c r="P20" s="34">
        <v>10.09284225</v>
      </c>
      <c r="Q20" s="7"/>
      <c r="T20" s="5"/>
    </row>
    <row r="21" spans="1:20" x14ac:dyDescent="0.3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"/>
    </row>
    <row r="23" spans="1:20" ht="15.75" customHeight="1" x14ac:dyDescent="0.3"/>
    <row r="24" spans="1:20" ht="15" customHeight="1" thickBot="1" x14ac:dyDescent="0.35">
      <c r="A24" s="51" t="s">
        <v>81</v>
      </c>
    </row>
    <row r="25" spans="1:20" ht="22.8" thickTop="1" thickBot="1" x14ac:dyDescent="0.35">
      <c r="A25" s="17"/>
      <c r="B25" s="18" t="s">
        <v>25</v>
      </c>
      <c r="C25" s="18" t="s">
        <v>26</v>
      </c>
      <c r="D25" s="18" t="s">
        <v>27</v>
      </c>
      <c r="E25" s="18" t="s">
        <v>28</v>
      </c>
      <c r="F25" s="18" t="s">
        <v>29</v>
      </c>
      <c r="G25" s="18" t="s">
        <v>52</v>
      </c>
      <c r="H25" s="18" t="s">
        <v>30</v>
      </c>
      <c r="I25" s="18" t="s">
        <v>31</v>
      </c>
      <c r="J25" s="18" t="s">
        <v>32</v>
      </c>
      <c r="K25" s="18" t="s">
        <v>33</v>
      </c>
      <c r="L25" s="18" t="s">
        <v>36</v>
      </c>
      <c r="M25" s="18" t="s">
        <v>37</v>
      </c>
      <c r="N25" s="19" t="s">
        <v>38</v>
      </c>
    </row>
    <row r="26" spans="1:20" ht="22.2" thickBot="1" x14ac:dyDescent="0.35">
      <c r="A26" s="20"/>
      <c r="B26" s="21" t="s">
        <v>73</v>
      </c>
      <c r="C26" s="21" t="s">
        <v>73</v>
      </c>
      <c r="D26" s="21" t="s">
        <v>39</v>
      </c>
      <c r="E26" s="21" t="s">
        <v>40</v>
      </c>
      <c r="F26" s="21" t="s">
        <v>41</v>
      </c>
      <c r="G26" s="21" t="s">
        <v>42</v>
      </c>
      <c r="H26" s="21" t="s">
        <v>43</v>
      </c>
      <c r="I26" s="21" t="s">
        <v>44</v>
      </c>
      <c r="J26" s="21" t="s">
        <v>45</v>
      </c>
      <c r="K26" s="21" t="s">
        <v>46</v>
      </c>
      <c r="L26" s="21" t="s">
        <v>49</v>
      </c>
      <c r="M26" s="21" t="s">
        <v>50</v>
      </c>
      <c r="N26" s="22" t="s">
        <v>51</v>
      </c>
    </row>
    <row r="27" spans="1:20" ht="15.6" thickTop="1" thickBot="1" x14ac:dyDescent="0.35">
      <c r="A27" s="46" t="s">
        <v>22</v>
      </c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50"/>
    </row>
    <row r="28" spans="1:20" x14ac:dyDescent="0.3">
      <c r="A28" s="39" t="s">
        <v>54</v>
      </c>
      <c r="B28" s="27">
        <f>B5*2.8*10^-6</f>
        <v>5.25204876E-3</v>
      </c>
      <c r="C28" s="28">
        <f>C5*2.8*10^-6</f>
        <v>2.1218186219999997E-2</v>
      </c>
      <c r="D28" s="28">
        <f>D5*7*10^-4</f>
        <v>8.2783314600000005E-2</v>
      </c>
      <c r="E28" s="28">
        <f>E5*2.1*10^-10</f>
        <v>9.1619750250000002E-5</v>
      </c>
      <c r="F28" s="28">
        <f>F5*1.05*10^-3</f>
        <v>1.0652502735000001E-5</v>
      </c>
      <c r="G28" s="28">
        <f>G5*2.13*10^-6</f>
        <v>4.0936253804999996E-5</v>
      </c>
      <c r="H28" s="28">
        <f>H5*5.02*10^-5</f>
        <v>915.72864630000004</v>
      </c>
      <c r="I28" s="28">
        <f>I5*7.91*10^-3</f>
        <v>51046.597286999997</v>
      </c>
      <c r="J28" s="28">
        <f>J5*1.09</f>
        <v>1246.8588316500002</v>
      </c>
      <c r="K28" s="28">
        <f>K5*1.04</f>
        <v>1416.3319716000001</v>
      </c>
      <c r="L28" s="28">
        <f>N5</f>
        <v>36108.344191093027</v>
      </c>
      <c r="M28" s="28">
        <f>O5</f>
        <v>480988.57499999995</v>
      </c>
      <c r="N28" s="29">
        <f>P5</f>
        <v>78836.487000000008</v>
      </c>
    </row>
    <row r="29" spans="1:20" x14ac:dyDescent="0.3">
      <c r="A29" s="40" t="s">
        <v>55</v>
      </c>
      <c r="B29" s="30">
        <f t="shared" ref="B29:C29" si="0">B6*2.8*10^-6</f>
        <v>1.0469730600000001E-3</v>
      </c>
      <c r="C29" s="5">
        <f t="shared" si="0"/>
        <v>1.8838146599999999E-3</v>
      </c>
      <c r="D29" s="5">
        <f t="shared" ref="D29:D43" si="1">D6*7*10^-4</f>
        <v>1.1987887800000001E-2</v>
      </c>
      <c r="E29" s="5">
        <f t="shared" ref="E29:E43" si="2">E6*2.1*10^-10</f>
        <v>7.6512649500000009E-6</v>
      </c>
      <c r="F29" s="5">
        <f t="shared" ref="F29:F43" si="3">F6*1.05*10^-3</f>
        <v>3.3907984424999998E-7</v>
      </c>
      <c r="G29" s="5">
        <f t="shared" ref="G29:G43" si="4">G6*2.13*10^-6</f>
        <v>5.4029488409999992E-6</v>
      </c>
      <c r="H29" s="5">
        <f t="shared" ref="H29:H43" si="5">H6*5.02*10^-5</f>
        <v>66.233657112000003</v>
      </c>
      <c r="I29" s="5">
        <f t="shared" ref="I29:I43" si="6">I6*7.91*10^-3</f>
        <v>6002.1814839000008</v>
      </c>
      <c r="J29" s="5">
        <f t="shared" ref="J29:J43" si="7">J6*1.09</f>
        <v>137.69258775</v>
      </c>
      <c r="K29" s="5">
        <f t="shared" ref="K29:K43" si="8">K6*1.04</f>
        <v>133.15385304000003</v>
      </c>
      <c r="L29" s="5">
        <f t="shared" ref="L29:L43" si="9">N6</f>
        <v>5415.9780284502303</v>
      </c>
      <c r="M29" s="5">
        <f t="shared" ref="M29:M43" si="10">O6</f>
        <v>64008.384000000005</v>
      </c>
      <c r="N29" s="31">
        <f t="shared" ref="N29:N43" si="11">P6</f>
        <v>5661.6358499999997</v>
      </c>
    </row>
    <row r="30" spans="1:20" x14ac:dyDescent="0.3">
      <c r="A30" s="40" t="s">
        <v>56</v>
      </c>
      <c r="B30" s="30">
        <f t="shared" ref="B30:C30" si="12">B7*2.8*10^-6</f>
        <v>4.1075390580000001E-3</v>
      </c>
      <c r="C30" s="5">
        <f t="shared" si="12"/>
        <v>1.4750487359999996E-2</v>
      </c>
      <c r="D30" s="5">
        <f t="shared" si="1"/>
        <v>5.7793054200000006E-2</v>
      </c>
      <c r="E30" s="5">
        <f t="shared" si="2"/>
        <v>5.0675095800000005E-5</v>
      </c>
      <c r="F30" s="5">
        <f t="shared" si="3"/>
        <v>3.1860117449999999E-5</v>
      </c>
      <c r="G30" s="5">
        <f t="shared" si="4"/>
        <v>2.5706825586E-5</v>
      </c>
      <c r="H30" s="5">
        <f t="shared" si="5"/>
        <v>503.74999709999997</v>
      </c>
      <c r="I30" s="5">
        <f t="shared" si="6"/>
        <v>38800.061600999994</v>
      </c>
      <c r="J30" s="5">
        <f t="shared" si="7"/>
        <v>689.5789570500001</v>
      </c>
      <c r="K30" s="5">
        <f t="shared" si="8"/>
        <v>788.24029440000004</v>
      </c>
      <c r="L30" s="5">
        <f t="shared" si="9"/>
        <v>23376.891753803622</v>
      </c>
      <c r="M30" s="5">
        <f t="shared" si="10"/>
        <v>312793.48499999999</v>
      </c>
      <c r="N30" s="31">
        <f t="shared" si="11"/>
        <v>35491.000500000002</v>
      </c>
    </row>
    <row r="31" spans="1:20" x14ac:dyDescent="0.3">
      <c r="A31" s="40" t="s">
        <v>57</v>
      </c>
      <c r="B31" s="30">
        <f t="shared" ref="B31:C31" si="13">B8*2.8*10^-6</f>
        <v>8.6307614400000007E-3</v>
      </c>
      <c r="C31" s="5">
        <f t="shared" si="13"/>
        <v>5.5807109399999992E-2</v>
      </c>
      <c r="D31" s="5">
        <f t="shared" si="1"/>
        <v>0.10868704349999998</v>
      </c>
      <c r="E31" s="5">
        <f t="shared" si="2"/>
        <v>5.1865235100000007E-5</v>
      </c>
      <c r="F31" s="5">
        <f t="shared" si="3"/>
        <v>2.6967989475000002E-3</v>
      </c>
      <c r="G31" s="5">
        <f t="shared" si="4"/>
        <v>4.1020751969999998E-5</v>
      </c>
      <c r="H31" s="5">
        <f t="shared" si="5"/>
        <v>1580.0153067000001</v>
      </c>
      <c r="I31" s="5">
        <f t="shared" si="6"/>
        <v>110986.3193775</v>
      </c>
      <c r="J31" s="5">
        <f t="shared" si="7"/>
        <v>1179.8612895000001</v>
      </c>
      <c r="K31" s="5">
        <f t="shared" si="8"/>
        <v>1840.0494840000001</v>
      </c>
      <c r="L31" s="5">
        <f t="shared" si="9"/>
        <v>34970.850597802841</v>
      </c>
      <c r="M31" s="5">
        <f t="shared" si="10"/>
        <v>350933.07</v>
      </c>
      <c r="N31" s="31">
        <f t="shared" si="11"/>
        <v>92414.707500000004</v>
      </c>
    </row>
    <row r="32" spans="1:20" x14ac:dyDescent="0.3">
      <c r="A32" s="40" t="s">
        <v>58</v>
      </c>
      <c r="B32" s="30">
        <f t="shared" ref="B32:C32" si="14">B9*2.8*10^-6</f>
        <v>2.0492445917999997E-5</v>
      </c>
      <c r="C32" s="5">
        <f t="shared" si="14"/>
        <v>7.5355969079999975E-5</v>
      </c>
      <c r="D32" s="5">
        <f t="shared" si="1"/>
        <v>6.7378520894999998E-4</v>
      </c>
      <c r="E32" s="5">
        <f t="shared" si="2"/>
        <v>1.8670253615999999E-6</v>
      </c>
      <c r="F32" s="5">
        <f t="shared" si="3"/>
        <v>2.2832526937500001E-7</v>
      </c>
      <c r="G32" s="5">
        <f t="shared" si="4"/>
        <v>1.5228381281399996E-6</v>
      </c>
      <c r="H32" s="5">
        <f t="shared" si="5"/>
        <v>6.6163104776999999</v>
      </c>
      <c r="I32" s="5">
        <f t="shared" si="6"/>
        <v>918.86562064499992</v>
      </c>
      <c r="J32" s="5">
        <f t="shared" si="7"/>
        <v>97.069819854000016</v>
      </c>
      <c r="K32" s="5">
        <f t="shared" si="8"/>
        <v>12.851847371999998</v>
      </c>
      <c r="L32" s="5">
        <f t="shared" si="9"/>
        <v>1543.6666862827753</v>
      </c>
      <c r="M32" s="5">
        <f t="shared" si="10"/>
        <v>19077.286200000002</v>
      </c>
      <c r="N32" s="31">
        <f t="shared" si="11"/>
        <v>14.129979149999999</v>
      </c>
    </row>
    <row r="33" spans="1:14" ht="15" customHeight="1" x14ac:dyDescent="0.3">
      <c r="A33" s="40" t="s">
        <v>69</v>
      </c>
      <c r="B33" s="30">
        <f t="shared" ref="B33:C33" si="15">B10*2.8*10^-6</f>
        <v>3.7614036095999994E-3</v>
      </c>
      <c r="C33" s="5">
        <f t="shared" si="15"/>
        <v>6.8994147599999982E-3</v>
      </c>
      <c r="D33" s="5">
        <f t="shared" si="1"/>
        <v>5.5433669760000012E-2</v>
      </c>
      <c r="E33" s="5">
        <f t="shared" si="2"/>
        <v>7.7610571037999991E-5</v>
      </c>
      <c r="F33" s="5">
        <f t="shared" si="3"/>
        <v>4.442881816800001E-6</v>
      </c>
      <c r="G33" s="5">
        <f t="shared" si="4"/>
        <v>4.6546106117400001E-5</v>
      </c>
      <c r="H33" s="5">
        <f t="shared" si="5"/>
        <v>601.73479076399997</v>
      </c>
      <c r="I33" s="5">
        <f t="shared" si="6"/>
        <v>21353.155740000002</v>
      </c>
      <c r="J33" s="5">
        <f t="shared" si="7"/>
        <v>1066.5379614599999</v>
      </c>
      <c r="K33" s="5">
        <f t="shared" si="8"/>
        <v>878.46859152000013</v>
      </c>
      <c r="L33" s="5">
        <f t="shared" si="9"/>
        <v>20560.063934408459</v>
      </c>
      <c r="M33" s="5">
        <f t="shared" si="10"/>
        <v>468793.38060000003</v>
      </c>
      <c r="N33" s="31">
        <f t="shared" si="11"/>
        <v>24407.581499999997</v>
      </c>
    </row>
    <row r="34" spans="1:14" ht="15" customHeight="1" x14ac:dyDescent="0.3">
      <c r="A34" s="40" t="s">
        <v>65</v>
      </c>
      <c r="B34" s="30">
        <f t="shared" ref="B34:C34" si="16">B11*2.8*10^-6</f>
        <v>1.8807018047999997E-3</v>
      </c>
      <c r="C34" s="5">
        <f t="shared" si="16"/>
        <v>3.4497073799999991E-3</v>
      </c>
      <c r="D34" s="5">
        <f t="shared" si="1"/>
        <v>2.7716834880000006E-2</v>
      </c>
      <c r="E34" s="5">
        <f t="shared" si="2"/>
        <v>3.8805285518999996E-5</v>
      </c>
      <c r="F34" s="5">
        <f t="shared" si="3"/>
        <v>2.2214409084000005E-6</v>
      </c>
      <c r="G34" s="5">
        <f t="shared" si="4"/>
        <v>2.32730530587E-5</v>
      </c>
      <c r="H34" s="5">
        <f t="shared" si="5"/>
        <v>300.86739538199998</v>
      </c>
      <c r="I34" s="5">
        <f t="shared" si="6"/>
        <v>10676.577870000001</v>
      </c>
      <c r="J34" s="5">
        <f t="shared" si="7"/>
        <v>533.26898072999995</v>
      </c>
      <c r="K34" s="5">
        <f t="shared" si="8"/>
        <v>439.23429576000007</v>
      </c>
      <c r="L34" s="5">
        <f t="shared" si="9"/>
        <v>10280.03196720423</v>
      </c>
      <c r="M34" s="5">
        <f t="shared" si="10"/>
        <v>234396.69030000002</v>
      </c>
      <c r="N34" s="31">
        <f t="shared" si="11"/>
        <v>12203.790749999998</v>
      </c>
    </row>
    <row r="35" spans="1:14" ht="15" customHeight="1" x14ac:dyDescent="0.3">
      <c r="A35" s="40" t="s">
        <v>66</v>
      </c>
      <c r="B35" s="30">
        <f t="shared" ref="B35:C35" si="17">B12*2.8*10^-6</f>
        <v>4.2315790607999997E-3</v>
      </c>
      <c r="C35" s="5">
        <f t="shared" si="17"/>
        <v>7.7618416049999982E-3</v>
      </c>
      <c r="D35" s="5">
        <f t="shared" si="1"/>
        <v>6.2362878480000009E-2</v>
      </c>
      <c r="E35" s="5">
        <f t="shared" si="2"/>
        <v>8.731189241775E-5</v>
      </c>
      <c r="F35" s="5">
        <f t="shared" si="3"/>
        <v>4.9982420439000013E-6</v>
      </c>
      <c r="G35" s="5">
        <f t="shared" si="4"/>
        <v>5.2364369382075005E-5</v>
      </c>
      <c r="H35" s="5">
        <f t="shared" si="5"/>
        <v>676.95163960949992</v>
      </c>
      <c r="I35" s="5">
        <f t="shared" si="6"/>
        <v>24022.300207500004</v>
      </c>
      <c r="J35" s="5">
        <f t="shared" si="7"/>
        <v>1199.8552066425</v>
      </c>
      <c r="K35" s="5">
        <f t="shared" si="8"/>
        <v>988.27716546000011</v>
      </c>
      <c r="L35" s="5">
        <f t="shared" si="9"/>
        <v>23130.071926209523</v>
      </c>
      <c r="M35" s="5">
        <f t="shared" si="10"/>
        <v>527392.55317500001</v>
      </c>
      <c r="N35" s="31">
        <f t="shared" si="11"/>
        <v>27458.5291875</v>
      </c>
    </row>
    <row r="36" spans="1:14" ht="15" customHeight="1" x14ac:dyDescent="0.3">
      <c r="A36" s="40" t="s">
        <v>67</v>
      </c>
      <c r="B36" s="30">
        <f t="shared" ref="B36:C36" si="18">B13*2.8*10^-6</f>
        <v>5.798830564799998E-3</v>
      </c>
      <c r="C36" s="5">
        <f t="shared" si="18"/>
        <v>1.0636597754999996E-2</v>
      </c>
      <c r="D36" s="5">
        <f t="shared" si="1"/>
        <v>8.5460240880000024E-2</v>
      </c>
      <c r="E36" s="5">
        <f t="shared" si="2"/>
        <v>1.1964963035025002E-4</v>
      </c>
      <c r="F36" s="5">
        <f t="shared" si="3"/>
        <v>6.8494428009000016E-6</v>
      </c>
      <c r="G36" s="5">
        <f t="shared" si="4"/>
        <v>7.1758580264325006E-5</v>
      </c>
      <c r="H36" s="5">
        <f t="shared" si="5"/>
        <v>927.67446909450007</v>
      </c>
      <c r="I36" s="5">
        <f t="shared" si="6"/>
        <v>32919.448432500001</v>
      </c>
      <c r="J36" s="5">
        <f t="shared" si="7"/>
        <v>1644.2460239175</v>
      </c>
      <c r="K36" s="5">
        <f t="shared" si="8"/>
        <v>1354.3057452600001</v>
      </c>
      <c r="L36" s="5">
        <f t="shared" si="9"/>
        <v>31696.765232213056</v>
      </c>
      <c r="M36" s="5">
        <f t="shared" si="10"/>
        <v>722723.128425</v>
      </c>
      <c r="N36" s="31">
        <f t="shared" si="11"/>
        <v>37628.354812499994</v>
      </c>
    </row>
    <row r="37" spans="1:14" ht="15" thickBot="1" x14ac:dyDescent="0.35">
      <c r="A37" s="40" t="s">
        <v>60</v>
      </c>
      <c r="B37" s="32">
        <f t="shared" ref="B37:C37" si="19">B14*2.8*10^-6</f>
        <v>1.21258809E-3</v>
      </c>
      <c r="C37" s="33">
        <f t="shared" si="19"/>
        <v>1.2355114799999999E-3</v>
      </c>
      <c r="D37" s="33">
        <f t="shared" si="1"/>
        <v>1.93381608E-2</v>
      </c>
      <c r="E37" s="33">
        <f t="shared" si="2"/>
        <v>1.6316146665000001E-5</v>
      </c>
      <c r="F37" s="33">
        <f t="shared" si="3"/>
        <v>1.2184187084999999E-6</v>
      </c>
      <c r="G37" s="33">
        <f t="shared" si="4"/>
        <v>1.8915989512499998E-5</v>
      </c>
      <c r="H37" s="33">
        <f t="shared" si="5"/>
        <v>59.225623910999992</v>
      </c>
      <c r="I37" s="33">
        <f t="shared" si="6"/>
        <v>4996.3140065999996</v>
      </c>
      <c r="J37" s="33">
        <f t="shared" si="7"/>
        <v>275.70828420000004</v>
      </c>
      <c r="K37" s="33">
        <f t="shared" si="8"/>
        <v>730.68010079999999</v>
      </c>
      <c r="L37" s="33">
        <f t="shared" si="9"/>
        <v>17555.732898226044</v>
      </c>
      <c r="M37" s="33">
        <f t="shared" si="10"/>
        <v>183712.34999999998</v>
      </c>
      <c r="N37" s="34">
        <f t="shared" si="11"/>
        <v>2238.8553000000002</v>
      </c>
    </row>
    <row r="38" spans="1:14" ht="15" thickBot="1" x14ac:dyDescent="0.35">
      <c r="A38" s="47" t="s">
        <v>53</v>
      </c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50"/>
    </row>
    <row r="39" spans="1:14" ht="15" thickBot="1" x14ac:dyDescent="0.35">
      <c r="A39" s="40" t="s">
        <v>68</v>
      </c>
      <c r="B39" s="69">
        <f>B16*2.8*10^-6</f>
        <v>0.45706760399999991</v>
      </c>
      <c r="C39" s="70">
        <f t="shared" ref="B39:C39" si="20">C16*2.8*10^-6</f>
        <v>1.5108406739999998</v>
      </c>
      <c r="D39" s="70">
        <f t="shared" si="1"/>
        <v>20.133591449999997</v>
      </c>
      <c r="E39" s="70">
        <f t="shared" si="2"/>
        <v>5.3940744900000011E-3</v>
      </c>
      <c r="F39" s="70">
        <f t="shared" si="3"/>
        <v>2.1695936850000003E-3</v>
      </c>
      <c r="G39" s="70">
        <f t="shared" si="4"/>
        <v>1.0520559260999998E-2</v>
      </c>
      <c r="H39" s="70">
        <f t="shared" si="5"/>
        <v>45833.195120999997</v>
      </c>
      <c r="I39" s="70">
        <f t="shared" si="6"/>
        <v>2616949.0273500001</v>
      </c>
      <c r="J39" s="70">
        <f t="shared" si="7"/>
        <v>709076.38110000012</v>
      </c>
      <c r="K39" s="70">
        <f t="shared" si="8"/>
        <v>518032.71</v>
      </c>
      <c r="L39" s="70">
        <f t="shared" si="9"/>
        <v>51295434.658968478</v>
      </c>
      <c r="M39" s="70">
        <f t="shared" si="10"/>
        <v>699204405</v>
      </c>
      <c r="N39" s="71">
        <f t="shared" si="11"/>
        <v>337760.02500000002</v>
      </c>
    </row>
    <row r="40" spans="1:14" ht="15" thickBot="1" x14ac:dyDescent="0.35">
      <c r="A40" s="47" t="s">
        <v>24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4"/>
    </row>
    <row r="41" spans="1:14" x14ac:dyDescent="0.3">
      <c r="A41" s="40" t="s">
        <v>61</v>
      </c>
      <c r="B41" s="27">
        <f t="shared" ref="B41:C41" si="21">B18*2.8*10^-6</f>
        <v>9.0233253599999973E-8</v>
      </c>
      <c r="C41" s="28">
        <f t="shared" si="21"/>
        <v>8.7848048399999989E-8</v>
      </c>
      <c r="D41" s="28">
        <f t="shared" si="1"/>
        <v>2.3536707599999998E-6</v>
      </c>
      <c r="E41" s="28">
        <f t="shared" si="2"/>
        <v>3.7057878900000002E-9</v>
      </c>
      <c r="F41" s="28">
        <f t="shared" si="3"/>
        <v>3.8681856675000004E-10</v>
      </c>
      <c r="G41" s="28">
        <f t="shared" si="4"/>
        <v>2.6224089695999999E-9</v>
      </c>
      <c r="H41" s="28">
        <f t="shared" si="5"/>
        <v>9.8407243230000021E-3</v>
      </c>
      <c r="I41" s="28">
        <f t="shared" si="6"/>
        <v>0.25943839330499996</v>
      </c>
      <c r="J41" s="28">
        <f t="shared" si="7"/>
        <v>0.44100300734999998</v>
      </c>
      <c r="K41" s="28">
        <f t="shared" si="8"/>
        <v>6.6239183399999998E-2</v>
      </c>
      <c r="L41" s="28">
        <f t="shared" si="9"/>
        <v>7.0182931233344243</v>
      </c>
      <c r="M41" s="28">
        <f t="shared" si="10"/>
        <v>37.460686499999994</v>
      </c>
      <c r="N41" s="29">
        <f t="shared" si="11"/>
        <v>4.1243919000000004E-2</v>
      </c>
    </row>
    <row r="42" spans="1:14" x14ac:dyDescent="0.3">
      <c r="A42" s="40" t="s">
        <v>62</v>
      </c>
      <c r="B42" s="30">
        <f t="shared" ref="B42:C42" si="22">B19*2.8*10^-6</f>
        <v>1.0875942839999997E-5</v>
      </c>
      <c r="C42" s="5">
        <f t="shared" si="22"/>
        <v>5.6712339599999999E-5</v>
      </c>
      <c r="D42" s="5">
        <f t="shared" si="1"/>
        <v>1.2741012900000003E-4</v>
      </c>
      <c r="E42" s="5">
        <f t="shared" si="2"/>
        <v>1.9574053695000006E-7</v>
      </c>
      <c r="F42" s="5">
        <f t="shared" si="3"/>
        <v>1.0695867210000001E-8</v>
      </c>
      <c r="G42" s="5">
        <f t="shared" si="4"/>
        <v>8.298830385E-8</v>
      </c>
      <c r="H42" s="5">
        <f t="shared" si="5"/>
        <v>670.79310750000002</v>
      </c>
      <c r="I42" s="5">
        <f t="shared" si="6"/>
        <v>119.09505615</v>
      </c>
      <c r="J42" s="5">
        <f t="shared" si="7"/>
        <v>9.456322686</v>
      </c>
      <c r="K42" s="5">
        <f t="shared" si="8"/>
        <v>2.597580024</v>
      </c>
      <c r="L42" s="5">
        <f t="shared" si="9"/>
        <v>95.928565804386224</v>
      </c>
      <c r="M42" s="5">
        <f t="shared" si="10"/>
        <v>1521.6089999999999</v>
      </c>
      <c r="N42" s="31">
        <f t="shared" si="11"/>
        <v>1.4095339199999999</v>
      </c>
    </row>
    <row r="43" spans="1:14" ht="15" thickBot="1" x14ac:dyDescent="0.35">
      <c r="A43" s="41" t="s">
        <v>63</v>
      </c>
      <c r="B43" s="32">
        <f t="shared" ref="B43:C43" si="23">B20*2.8*10^-6</f>
        <v>1.4637461159999999E-5</v>
      </c>
      <c r="C43" s="33">
        <f t="shared" si="23"/>
        <v>5.382569219999999E-5</v>
      </c>
      <c r="D43" s="33">
        <f t="shared" si="1"/>
        <v>4.81275144E-4</v>
      </c>
      <c r="E43" s="33">
        <f t="shared" si="2"/>
        <v>1.3335895439999998E-6</v>
      </c>
      <c r="F43" s="33">
        <f t="shared" si="3"/>
        <v>1.6308948599999998E-7</v>
      </c>
      <c r="G43" s="33">
        <f t="shared" si="4"/>
        <v>1.0877415200999999E-6</v>
      </c>
      <c r="H43" s="33">
        <f t="shared" si="5"/>
        <v>4.7259361308000001</v>
      </c>
      <c r="I43" s="33">
        <f t="shared" si="6"/>
        <v>656.33256244500001</v>
      </c>
      <c r="J43" s="33">
        <f t="shared" si="7"/>
        <v>69.33558561000001</v>
      </c>
      <c r="K43" s="33">
        <f t="shared" si="8"/>
        <v>9.1798909799999997</v>
      </c>
      <c r="L43" s="33">
        <f t="shared" si="9"/>
        <v>771.83331321716298</v>
      </c>
      <c r="M43" s="33">
        <f t="shared" si="10"/>
        <v>13626.633000000002</v>
      </c>
      <c r="N43" s="34">
        <f t="shared" si="11"/>
        <v>10.09284225</v>
      </c>
    </row>
    <row r="45" spans="1:14" x14ac:dyDescent="0.3">
      <c r="B45" s="5"/>
      <c r="C45" s="74"/>
      <c r="D45" s="5"/>
    </row>
    <row r="48" spans="1:14" x14ac:dyDescent="0.3">
      <c r="B48" t="s">
        <v>82</v>
      </c>
      <c r="C48" t="s">
        <v>83</v>
      </c>
      <c r="D48" t="s">
        <v>84</v>
      </c>
      <c r="E48" t="s">
        <v>85</v>
      </c>
    </row>
    <row r="49" spans="1:10" x14ac:dyDescent="0.3">
      <c r="A49" t="s">
        <v>86</v>
      </c>
      <c r="B49" s="5">
        <f>SUM(B28:G37)*1/18</f>
        <v>3.7529346866952321E-2</v>
      </c>
      <c r="C49" s="5">
        <f>SUM(H28:K37)*1/18</f>
        <v>18000.716153058984</v>
      </c>
      <c r="D49" s="5">
        <f>SUM('Annexe 2'!L28:L37)*1/18</f>
        <v>11368.799845316322</v>
      </c>
      <c r="E49" s="5">
        <f>SUM(M28:N37)*1/18</f>
        <v>204509.66528217503</v>
      </c>
    </row>
    <row r="50" spans="1:10" x14ac:dyDescent="0.3">
      <c r="A50" t="s">
        <v>87</v>
      </c>
      <c r="B50" s="5">
        <f>SUM(B39:G39)*1/18</f>
        <v>1.2288657753019998</v>
      </c>
      <c r="C50" s="5">
        <f>SUM('Annexe 2'!H39:K39)*1/18</f>
        <v>216105.0729761667</v>
      </c>
      <c r="D50" s="5">
        <f>SUM('Annexe 2'!L39)*1/18</f>
        <v>2849746.369942693</v>
      </c>
      <c r="E50" s="5">
        <f>SUM(M39:N39)*1/18</f>
        <v>38863453.612499997</v>
      </c>
    </row>
    <row r="51" spans="1:10" x14ac:dyDescent="0.3">
      <c r="A51" t="s">
        <v>88</v>
      </c>
      <c r="B51" s="5">
        <f>SUM(B41:G43)*1/18</f>
        <v>4.1674945618640907E-5</v>
      </c>
      <c r="C51" s="5">
        <f>SUM('Annexe 2'!H41:K43)*1/18</f>
        <v>85.682920157454333</v>
      </c>
      <c r="D51" s="5">
        <f>SUM(L41:L43)*1/18</f>
        <v>48.598898452493536</v>
      </c>
      <c r="E51" s="5">
        <f>SUM(M41:N43)*1/18</f>
        <v>844.29146147716676</v>
      </c>
    </row>
    <row r="54" spans="1:10" x14ac:dyDescent="0.3">
      <c r="G54" s="35"/>
      <c r="H54" s="35"/>
      <c r="I54" s="35"/>
      <c r="J54" s="35"/>
    </row>
    <row r="58" spans="1:10" x14ac:dyDescent="0.3">
      <c r="G58" s="5"/>
    </row>
    <row r="59" spans="1:10" x14ac:dyDescent="0.3">
      <c r="G59" s="5"/>
    </row>
    <row r="60" spans="1:10" x14ac:dyDescent="0.3">
      <c r="G60" s="5"/>
    </row>
  </sheetData>
  <mergeCells count="2">
    <mergeCell ref="Q5:Q8"/>
    <mergeCell ref="Q10:Q13"/>
  </mergeCells>
  <conditionalFormatting sqref="T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{8D878BC9-4902-433E-BB1B-032CADA30CBD}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878BC9-4902-433E-BB1B-032CADA30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F568-57E3-49CD-BBB6-D6C3799B62DB}">
  <dimension ref="A1:P4"/>
  <sheetViews>
    <sheetView zoomScale="97" workbookViewId="0">
      <selection activeCell="E27" sqref="E27"/>
    </sheetView>
  </sheetViews>
  <sheetFormatPr baseColWidth="10" defaultRowHeight="14.4" x14ac:dyDescent="0.3"/>
  <sheetData>
    <row r="1" spans="1:16" ht="21.6" x14ac:dyDescent="0.3">
      <c r="B1" s="68" t="s">
        <v>25</v>
      </c>
      <c r="C1" s="68" t="s">
        <v>26</v>
      </c>
      <c r="D1" s="68" t="s">
        <v>27</v>
      </c>
      <c r="E1" s="68" t="s">
        <v>28</v>
      </c>
      <c r="F1" s="68" t="s">
        <v>29</v>
      </c>
      <c r="G1" s="68" t="s">
        <v>52</v>
      </c>
      <c r="H1" s="68" t="s">
        <v>30</v>
      </c>
      <c r="I1" s="68" t="s">
        <v>31</v>
      </c>
      <c r="J1" s="68" t="s">
        <v>32</v>
      </c>
      <c r="K1" s="68" t="s">
        <v>33</v>
      </c>
      <c r="L1" s="68" t="s">
        <v>34</v>
      </c>
      <c r="M1" s="68" t="s">
        <v>35</v>
      </c>
      <c r="N1" s="68" t="s">
        <v>36</v>
      </c>
      <c r="O1" s="68" t="s">
        <v>37</v>
      </c>
      <c r="P1" s="68" t="s">
        <v>38</v>
      </c>
    </row>
    <row r="2" spans="1:16" x14ac:dyDescent="0.3">
      <c r="A2" t="s">
        <v>22</v>
      </c>
      <c r="B2" s="5">
        <f>SUM('Annexe 2'!B5:B14)*1/18</f>
        <v>713.15313281583337</v>
      </c>
      <c r="C2" s="5">
        <f>SUM('Annexe 2'!C5:C14)*1/18</f>
        <v>2454.7227497833333</v>
      </c>
      <c r="D2" s="5">
        <f>SUM('Annexe 2'!D5:D14)*1/18</f>
        <v>40.653719849916662</v>
      </c>
      <c r="E2" s="5">
        <f>SUM('Annexe 2'!E5:E14)*1/18</f>
        <v>143749.17921999996</v>
      </c>
      <c r="F2" s="5">
        <f>SUM('Annexe 2'!F5:F14)*1/18</f>
        <v>0.14601107931624999</v>
      </c>
      <c r="G2" s="5">
        <f>SUM('Annexe 2'!G5:G14)*1/18</f>
        <v>8.5406290209999991</v>
      </c>
      <c r="H2" s="5">
        <f>SUM('Annexe 2'!H5:H14)*1/18</f>
        <v>6240369.4515833333</v>
      </c>
      <c r="I2" s="5">
        <f>SUM('Annexe 2'!I5:I14)*1/18</f>
        <v>2119130.6477499995</v>
      </c>
      <c r="J2" s="5">
        <f>SUM('Annexe 2'!J5:J14)*1/18</f>
        <v>411.34953836666665</v>
      </c>
      <c r="K2" s="5">
        <f>SUM('Annexe 2'!K5:K14)*1/18</f>
        <v>458.41844814166666</v>
      </c>
      <c r="L2" s="5">
        <f>SUM('Annexe 2'!L5:L14)*1/18</f>
        <v>184.46727913166666</v>
      </c>
      <c r="M2" s="5">
        <f>SUM('Annexe 2'!M5:M14)*1/18</f>
        <v>57.54340862916667</v>
      </c>
      <c r="N2" s="5">
        <f>SUM('Annexe 2'!N5:N14)*1/18</f>
        <v>11368.799845316322</v>
      </c>
      <c r="O2" s="5">
        <f>SUM('Annexe 2'!O5:O14)*1/18</f>
        <v>186934.38348333334</v>
      </c>
      <c r="P2" s="5">
        <f>SUM('Annexe 2'!P5:P14)*1/18</f>
        <v>17575.281798841668</v>
      </c>
    </row>
    <row r="3" spans="1:16" x14ac:dyDescent="0.3">
      <c r="A3" t="s">
        <v>53</v>
      </c>
      <c r="B3" s="5">
        <f>'Annexe 2'!B16*1/18</f>
        <v>9068.8016666666663</v>
      </c>
      <c r="C3" s="5">
        <f>'Annexe 2'!C16*1/18</f>
        <v>29976.997499999998</v>
      </c>
      <c r="D3" s="5">
        <f>'Annexe 2'!D16*1/18</f>
        <v>1597.9040833333331</v>
      </c>
      <c r="E3" s="5">
        <f>'Annexe 2'!E16*1/18</f>
        <v>1427003.8333333333</v>
      </c>
      <c r="F3" s="5">
        <f>'Annexe 2'!F16*1/18</f>
        <v>0.11479331666666666</v>
      </c>
      <c r="G3" s="5">
        <f>'Annexe 2'!G16*1/18</f>
        <v>274.40165000000002</v>
      </c>
      <c r="H3" s="5">
        <f>'Annexe 2'!H16*1/18</f>
        <v>50722880.833333336</v>
      </c>
      <c r="I3" s="5">
        <f>'Annexe 2'!I16*1/18</f>
        <v>18380032.5</v>
      </c>
      <c r="J3" s="5">
        <f>'Annexe 2'!J16*1/18</f>
        <v>36140.488333333335</v>
      </c>
      <c r="K3" s="5">
        <f>'Annexe 2'!K16*1/18</f>
        <v>27672.6875</v>
      </c>
      <c r="L3" s="5">
        <f>'Annexe 2'!L16*1/18</f>
        <v>12211.555833333334</v>
      </c>
      <c r="M3" s="5">
        <f>'Annexe 2'!M16*1/18</f>
        <v>1725.6525833333333</v>
      </c>
      <c r="N3" s="5">
        <f>'Annexe 2'!N16*1/18</f>
        <v>2849746.369942693</v>
      </c>
      <c r="O3" s="5">
        <f>'Annexe 2'!O16*1/18</f>
        <v>38844689.166666664</v>
      </c>
      <c r="P3" s="5">
        <f>'Annexe 2'!P16*1/18</f>
        <v>18764.445833333335</v>
      </c>
    </row>
    <row r="4" spans="1:16" x14ac:dyDescent="0.3">
      <c r="A4" t="s">
        <v>24</v>
      </c>
      <c r="B4" s="5">
        <f>SUM('Annexe 2'!B18:B20)*1/18</f>
        <v>0.50800867566666663</v>
      </c>
      <c r="C4" s="5">
        <f>SUM('Annexe 2'!C18:C20)*1/18</f>
        <v>2.1949579335</v>
      </c>
      <c r="D4" s="5">
        <f>SUM('Annexe 2'!D18:D20)*1/18</f>
        <v>4.8495154266666667E-2</v>
      </c>
      <c r="E4" s="5">
        <f>SUM('Annexe 2'!E18:E20)*1/18</f>
        <v>405.56504466666661</v>
      </c>
      <c r="F4" s="5">
        <f>SUM('Annexe 2'!F18:F20)*1/18</f>
        <v>9.2154588241666663E-6</v>
      </c>
      <c r="G4" s="5">
        <f>SUM('Annexe 2'!G18:G20)*1/18</f>
        <v>3.0603866273333336E-2</v>
      </c>
      <c r="H4" s="5">
        <f>SUM('Annexe 2'!H18:H20)*1/18</f>
        <v>747597.26024249988</v>
      </c>
      <c r="I4" s="5">
        <f>SUM('Annexe 2'!I18:I20)*1/18</f>
        <v>5448.0057380833332</v>
      </c>
      <c r="J4" s="5">
        <f>SUM('Annexe 2'!J18:J20)*1/18</f>
        <v>4.0383746841666666</v>
      </c>
      <c r="K4" s="5">
        <f>SUM('Annexe 2'!K18:K20)*1/18</f>
        <v>0.63267682624999999</v>
      </c>
      <c r="L4" s="5">
        <f>SUM('Annexe 2'!L18:L20)*1/18</f>
        <v>0.17045311275</v>
      </c>
      <c r="M4" s="5">
        <f>SUM('Annexe 2'!M18:M20)*1/18</f>
        <v>6.0885168208333331E-3</v>
      </c>
      <c r="N4" s="5">
        <f>SUM('Annexe 2'!N18:N20)*1/18</f>
        <v>48.598898452493536</v>
      </c>
      <c r="O4" s="5">
        <f>SUM('Annexe 2'!O18:O20)*1/18</f>
        <v>843.65014925000003</v>
      </c>
      <c r="P4" s="5">
        <f>SUM('Annexe 2'!P18:P20)*1/18</f>
        <v>0.64131222716666669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275F-DB8F-4D8D-BF66-12A3C3F8B81B}">
  <dimension ref="A1:R5"/>
  <sheetViews>
    <sheetView topLeftCell="A3" workbookViewId="0">
      <selection activeCell="N21" sqref="N21"/>
    </sheetView>
  </sheetViews>
  <sheetFormatPr baseColWidth="10" defaultRowHeight="14.4" x14ac:dyDescent="0.3"/>
  <sheetData>
    <row r="1" spans="1:18" ht="15" thickBot="1" x14ac:dyDescent="0.35"/>
    <row r="2" spans="1:18" ht="15" thickBot="1" x14ac:dyDescent="0.35">
      <c r="B2" s="10" t="s">
        <v>12</v>
      </c>
      <c r="C2" s="10" t="s">
        <v>1</v>
      </c>
      <c r="D2" s="10" t="s">
        <v>23</v>
      </c>
      <c r="E2" s="10" t="s">
        <v>16</v>
      </c>
      <c r="F2" s="10" t="s">
        <v>2</v>
      </c>
      <c r="G2" s="10" t="s">
        <v>14</v>
      </c>
      <c r="H2" s="10" t="s">
        <v>7</v>
      </c>
      <c r="I2" s="10" t="s">
        <v>11</v>
      </c>
      <c r="J2" s="10" t="s">
        <v>6</v>
      </c>
      <c r="K2" s="10" t="s">
        <v>10</v>
      </c>
      <c r="L2" s="10" t="s">
        <v>15</v>
      </c>
      <c r="M2" s="10" t="s">
        <v>13</v>
      </c>
      <c r="N2" s="10" t="s">
        <v>5</v>
      </c>
      <c r="O2" s="10" t="s">
        <v>9</v>
      </c>
      <c r="P2" s="10" t="s">
        <v>4</v>
      </c>
      <c r="Q2" s="10" t="s">
        <v>3</v>
      </c>
      <c r="R2" s="10" t="s">
        <v>8</v>
      </c>
    </row>
    <row r="3" spans="1:18" x14ac:dyDescent="0.3">
      <c r="A3" t="s">
        <v>22</v>
      </c>
      <c r="B3" s="5">
        <f>SUM('Annexe 1'!B27:B36)</f>
        <v>931.25995266523751</v>
      </c>
      <c r="C3" s="5">
        <f>SUM('Annexe 1'!C27:C36)</f>
        <v>185086.37110767001</v>
      </c>
      <c r="D3" s="5">
        <f>SUM('Annexe 1'!D27:D36)</f>
        <v>6.1697175389423089</v>
      </c>
      <c r="E3" s="5">
        <f>SUM('Annexe 1'!E27:E36)</f>
        <v>1.2057780773305552E-2</v>
      </c>
      <c r="F3" s="5">
        <f>SUM('Annexe 1'!F27:F36)</f>
        <v>679.17405141401264</v>
      </c>
      <c r="G3" s="5">
        <f>SUM('Annexe 1'!G27:G36)</f>
        <v>7.788568840334327E-2</v>
      </c>
      <c r="H3" s="5">
        <f>SUM('Annexe 1'!H27:H36)</f>
        <v>6.4690657788840844E-3</v>
      </c>
      <c r="I3" s="5">
        <f>SUM('Annexe 1'!I27:I36)</f>
        <v>5.7137886563867611E-2</v>
      </c>
      <c r="J3" s="5">
        <f>SUM('Annexe 1'!J27:J36)</f>
        <v>7.3611219078322616E-4</v>
      </c>
      <c r="K3" s="5">
        <f>SUM('Annexe 1'!K27:K36)</f>
        <v>0.30939798453343254</v>
      </c>
      <c r="L3" s="5">
        <f>SUM('Annexe 1'!L27:L36)</f>
        <v>1.9162314586544566E-2</v>
      </c>
      <c r="M3" s="5">
        <f>SUM('Annexe 1'!M27:M36)</f>
        <v>9.3452561034804583E-3</v>
      </c>
      <c r="N3" s="5">
        <f>SUM('Annexe 1'!N27:N36)</f>
        <v>2.475880721546234</v>
      </c>
      <c r="O3" s="5">
        <f>SUM('Annexe 1'!O27:O36)</f>
        <v>3.5168266524685828E-4</v>
      </c>
      <c r="P3" s="5">
        <f>SUM('Annexe 1'!P27:P36)</f>
        <v>4.7257469671945929</v>
      </c>
      <c r="Q3" s="5">
        <f>SUM('Annexe 1'!Q27:Q36)</f>
        <v>4.2045931758776946E-2</v>
      </c>
      <c r="R3" s="5">
        <f>SUM('Annexe 1'!R27:R36)</f>
        <v>1.3305933051651351E-4</v>
      </c>
    </row>
    <row r="4" spans="1:18" x14ac:dyDescent="0.3">
      <c r="A4" t="s">
        <v>53</v>
      </c>
      <c r="B4" s="5">
        <f>'Annexe 1'!B38</f>
        <v>37469.642930422255</v>
      </c>
      <c r="C4" s="5">
        <f>'Annexe 1'!C38</f>
        <v>50520707.561807998</v>
      </c>
      <c r="D4" s="5">
        <f>'Annexe 1'!D38</f>
        <v>1191.9293692307695</v>
      </c>
      <c r="E4" s="5">
        <f>'Annexe 1'!E38</f>
        <v>8.1319671481481457</v>
      </c>
      <c r="F4" s="5">
        <f>'Annexe 1'!F38</f>
        <v>23143.437248407645</v>
      </c>
      <c r="G4" s="5">
        <f>'Annexe 1'!G38</f>
        <v>0.28637718876404494</v>
      </c>
      <c r="H4" s="5">
        <f>'Annexe 1'!H38</f>
        <v>2.0989994666666661E-2</v>
      </c>
      <c r="I4" s="5">
        <f>'Annexe 1'!I38</f>
        <v>2.5445231307692308E-2</v>
      </c>
      <c r="J4" s="5">
        <f>'Annexe 1'!J38</f>
        <v>1.9250172965517242E-2</v>
      </c>
      <c r="K4" s="5">
        <f>'Annexe 1'!K38</f>
        <v>0.40232218888888882</v>
      </c>
      <c r="L4" s="5">
        <f>'Annexe 1'!L38</f>
        <v>3.0908404560000004E-3</v>
      </c>
      <c r="M4" s="5">
        <f>'Annexe 1'!M38</f>
        <v>4.3658139724137924E-3</v>
      </c>
      <c r="N4" s="5">
        <f>'Annexe 1'!N38</f>
        <v>0.13073778666666669</v>
      </c>
      <c r="O4" s="5">
        <f>'Annexe 1'!O38</f>
        <v>8.6437633333333347E-2</v>
      </c>
      <c r="P4" s="5">
        <f>'Annexe 1'!P38</f>
        <v>0.25817796840000001</v>
      </c>
      <c r="Q4" s="5">
        <f>'Annexe 1'!Q38</f>
        <v>4.1007740756756755E-2</v>
      </c>
      <c r="R4" s="5">
        <f>'Annexe 1'!R38</f>
        <v>9.6594746769230758E-2</v>
      </c>
    </row>
    <row r="5" spans="1:18" x14ac:dyDescent="0.3">
      <c r="A5" t="s">
        <v>24</v>
      </c>
      <c r="B5" s="5">
        <f>SUM('Annexe 1'!B40:B42)</f>
        <v>1.8801485764705759</v>
      </c>
      <c r="C5" s="5">
        <f>SUM('Annexe 1'!C40:C42)</f>
        <v>850.81768869181485</v>
      </c>
      <c r="D5" s="5">
        <f>SUM('Annexe 1'!D40:D42)</f>
        <v>3.6798361488461544E-2</v>
      </c>
      <c r="E5" s="5">
        <f>SUM('Annexe 1'!E40:E42)</f>
        <v>2.0829400249999996E-5</v>
      </c>
      <c r="F5" s="5">
        <f>SUM('Annexe 1'!F40:F42)</f>
        <v>1.9259534400955414</v>
      </c>
      <c r="G5" s="5">
        <f>SUM('Annexe 1'!G40:G42)</f>
        <v>1.6276583378089886E-5</v>
      </c>
      <c r="H5" s="5">
        <f>SUM('Annexe 1'!H40:H42)</f>
        <v>1.20563498275E-6</v>
      </c>
      <c r="I5" s="5">
        <f>SUM('Annexe 1'!I40:I42)</f>
        <v>5.6458944478846157E-7</v>
      </c>
      <c r="J5" s="5">
        <f>SUM('Annexe 1'!J40:J42)</f>
        <v>2.1761560898275866E-6</v>
      </c>
      <c r="K5" s="5">
        <f>SUM('Annexe 1'!K40:K42)</f>
        <v>1.1535602588888886E-5</v>
      </c>
      <c r="L5" s="5">
        <f>SUM('Annexe 1'!L40:L42)</f>
        <v>1.7214159531E-7</v>
      </c>
      <c r="M5" s="5">
        <f>SUM('Annexe 1'!M40:M42)</f>
        <v>3.6940680106034481E-7</v>
      </c>
      <c r="N5" s="5">
        <f>SUM('Annexe 1'!N40:N42)</f>
        <v>2.9686064222222224E-7</v>
      </c>
      <c r="O5" s="5">
        <f>SUM('Annexe 1'!O40:O42)</f>
        <v>1.3356452198333334E-5</v>
      </c>
      <c r="P5" s="5">
        <f>SUM('Annexe 1'!P40:P42)</f>
        <v>1.3022806979999999E-6</v>
      </c>
      <c r="Q5" s="5">
        <f>SUM('Annexe 1'!Q40:Q42)</f>
        <v>2.5436464791891893E-6</v>
      </c>
      <c r="R5" s="5">
        <f>SUM('Annexe 1'!R40:R42)</f>
        <v>2.9511956242307687E-7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6d3877-51e5-4aba-8708-8d6e04bb7e7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FABE9A6393848AB595C9D2037B4B9" ma:contentTypeVersion="12" ma:contentTypeDescription="Crée un document." ma:contentTypeScope="" ma:versionID="71d51b7d628b15aac472300875672305">
  <xsd:schema xmlns:xsd="http://www.w3.org/2001/XMLSchema" xmlns:xs="http://www.w3.org/2001/XMLSchema" xmlns:p="http://schemas.microsoft.com/office/2006/metadata/properties" xmlns:ns3="2a6d3877-51e5-4aba-8708-8d6e04bb7e72" xmlns:ns4="f9c419ee-f052-4316-98d9-52dc11559525" targetNamespace="http://schemas.microsoft.com/office/2006/metadata/properties" ma:root="true" ma:fieldsID="fc15980e66dba474a2fcba3fd4cd4ab9" ns3:_="" ns4:_="">
    <xsd:import namespace="2a6d3877-51e5-4aba-8708-8d6e04bb7e72"/>
    <xsd:import namespace="f9c419ee-f052-4316-98d9-52dc11559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d3877-51e5-4aba-8708-8d6e04bb7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419ee-f052-4316-98d9-52dc11559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D7200-64D4-4495-87E7-04104C753A10}">
  <ds:schemaRefs>
    <ds:schemaRef ds:uri="http://purl.org/dc/elements/1.1/"/>
    <ds:schemaRef ds:uri="http://purl.org/dc/dcmitype/"/>
    <ds:schemaRef ds:uri="2a6d3877-51e5-4aba-8708-8d6e04bb7e72"/>
    <ds:schemaRef ds:uri="f9c419ee-f052-4316-98d9-52dc11559525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F773939-DD29-4D06-93FF-BD5EE0C994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FA3114-5F50-42BC-BB9F-680D8C0839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d3877-51e5-4aba-8708-8d6e04bb7e72"/>
    <ds:schemaRef ds:uri="f9c419ee-f052-4316-98d9-52dc11559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CIP</vt:lpstr>
      <vt:lpstr>Annexe 1</vt:lpstr>
      <vt:lpstr>Annexe 2</vt:lpstr>
      <vt:lpstr>Graphique 1</vt:lpstr>
      <vt:lpstr>Graphique2</vt:lpstr>
    </vt:vector>
  </TitlesOfParts>
  <Company>UdeS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Roure</dc:creator>
  <cp:lastModifiedBy>Alexis Guérard</cp:lastModifiedBy>
  <dcterms:created xsi:type="dcterms:W3CDTF">2017-09-07T15:48:18Z</dcterms:created>
  <dcterms:modified xsi:type="dcterms:W3CDTF">2023-02-22T01:32:27Z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0x010100150FABE9A6393848AB595C9D2037B4B9</vt:lpwstr>
  </property>
</Properties>
</file>