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lexi\OneDrive - USherbrooke\Uni\S2\APP4 S2\RemiseAPP4\"/>
    </mc:Choice>
  </mc:AlternateContent>
  <xr:revisionPtr revIDLastSave="0" documentId="8_{D700108D-FE15-4B06-8B88-D9F33D4FC41D}" xr6:coauthVersionLast="47" xr6:coauthVersionMax="47" xr10:uidLastSave="{00000000-0000-0000-0000-000000000000}"/>
  <bookViews>
    <workbookView xWindow="-108" yWindow="-108" windowWidth="23256" windowHeight="12456" tabRatio="557" xr2:uid="{00000000-000D-0000-FFFF-FFFF00000000}"/>
  </bookViews>
  <sheets>
    <sheet name="CIP" sheetId="6" r:id="rId1"/>
    <sheet name="Graphique1" sheetId="4" r:id="rId2"/>
    <sheet name="Graphique2" sheetId="5" r:id="rId3"/>
    <sheet name="Annexe 1" sheetId="1" r:id="rId4"/>
    <sheet name="Annexe 2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3" l="1"/>
  <c r="E49" i="3"/>
  <c r="D51" i="3"/>
  <c r="C51" i="3"/>
  <c r="C50" i="3"/>
  <c r="C49" i="3"/>
  <c r="B51" i="3"/>
  <c r="B50" i="3"/>
  <c r="B49" i="3"/>
  <c r="K28" i="3" l="1"/>
  <c r="D49" i="3" l="1"/>
  <c r="D50" i="3"/>
  <c r="E51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N28" i="3"/>
  <c r="M28" i="3"/>
  <c r="L28" i="3"/>
  <c r="J28" i="3"/>
  <c r="I28" i="3"/>
  <c r="H28" i="3"/>
  <c r="G28" i="3"/>
  <c r="F28" i="3"/>
  <c r="E28" i="3"/>
  <c r="D28" i="3"/>
  <c r="C28" i="3"/>
  <c r="B28" i="3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B6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B5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B4" i="5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B5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B4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B3" i="4"/>
  <c r="N6" i="3"/>
  <c r="N7" i="3"/>
  <c r="N8" i="3"/>
  <c r="N9" i="3"/>
  <c r="N10" i="3"/>
  <c r="N11" i="3"/>
  <c r="N12" i="3"/>
  <c r="N13" i="3"/>
  <c r="N14" i="3"/>
  <c r="N16" i="3"/>
  <c r="N18" i="3"/>
  <c r="N19" i="3"/>
  <c r="N20" i="3"/>
  <c r="N5" i="3"/>
  <c r="S51" i="1"/>
  <c r="S52" i="1"/>
  <c r="S53" i="1"/>
  <c r="S54" i="1"/>
  <c r="S55" i="1"/>
  <c r="S56" i="1"/>
  <c r="S57" i="1"/>
  <c r="S58" i="1"/>
  <c r="S59" i="1"/>
  <c r="S61" i="1"/>
  <c r="S63" i="1"/>
  <c r="S64" i="1"/>
  <c r="S65" i="1"/>
  <c r="S50" i="1"/>
  <c r="N51" i="1"/>
  <c r="N52" i="1"/>
  <c r="N53" i="1"/>
  <c r="N54" i="1"/>
  <c r="N55" i="1"/>
  <c r="N56" i="1"/>
  <c r="N57" i="1"/>
  <c r="N58" i="1"/>
  <c r="N59" i="1"/>
  <c r="N61" i="1"/>
  <c r="N63" i="1"/>
  <c r="N64" i="1"/>
  <c r="N65" i="1"/>
  <c r="O51" i="1"/>
  <c r="O52" i="1"/>
  <c r="O53" i="1"/>
  <c r="O54" i="1"/>
  <c r="O55" i="1"/>
  <c r="O56" i="1"/>
  <c r="O57" i="1"/>
  <c r="O58" i="1"/>
  <c r="O59" i="1"/>
  <c r="O61" i="1"/>
  <c r="O63" i="1"/>
  <c r="O64" i="1"/>
  <c r="O65" i="1"/>
  <c r="N50" i="1"/>
  <c r="M51" i="1"/>
  <c r="M52" i="1"/>
  <c r="M53" i="1"/>
  <c r="M54" i="1"/>
  <c r="M55" i="1"/>
  <c r="M56" i="1"/>
  <c r="M57" i="1"/>
  <c r="M58" i="1"/>
  <c r="M59" i="1"/>
  <c r="M61" i="1"/>
  <c r="M63" i="1"/>
  <c r="M64" i="1"/>
  <c r="M65" i="1"/>
  <c r="O50" i="1"/>
  <c r="P51" i="1"/>
  <c r="P52" i="1"/>
  <c r="P53" i="1"/>
  <c r="P54" i="1"/>
  <c r="P55" i="1"/>
  <c r="P56" i="1"/>
  <c r="P57" i="1"/>
  <c r="P58" i="1"/>
  <c r="P59" i="1"/>
  <c r="P61" i="1"/>
  <c r="P63" i="1"/>
  <c r="P64" i="1"/>
  <c r="P65" i="1"/>
  <c r="M50" i="1"/>
  <c r="P50" i="1"/>
  <c r="L51" i="1"/>
  <c r="L52" i="1"/>
  <c r="L53" i="1"/>
  <c r="L54" i="1"/>
  <c r="L55" i="1"/>
  <c r="L56" i="1"/>
  <c r="L57" i="1"/>
  <c r="L58" i="1"/>
  <c r="L59" i="1"/>
  <c r="L61" i="1"/>
  <c r="L63" i="1"/>
  <c r="L64" i="1"/>
  <c r="L65" i="1"/>
  <c r="Q51" i="1"/>
  <c r="Q52" i="1"/>
  <c r="Q53" i="1"/>
  <c r="Q54" i="1"/>
  <c r="Q55" i="1"/>
  <c r="Q56" i="1"/>
  <c r="Q57" i="1"/>
  <c r="Q58" i="1"/>
  <c r="Q59" i="1"/>
  <c r="Q61" i="1"/>
  <c r="Q63" i="1"/>
  <c r="Q64" i="1"/>
  <c r="Q65" i="1"/>
  <c r="L50" i="1"/>
  <c r="Q50" i="1"/>
  <c r="K51" i="1"/>
  <c r="K52" i="1"/>
  <c r="K53" i="1"/>
  <c r="K54" i="1"/>
  <c r="K55" i="1"/>
  <c r="K56" i="1"/>
  <c r="K57" i="1"/>
  <c r="K58" i="1"/>
  <c r="K59" i="1"/>
  <c r="K61" i="1"/>
  <c r="K63" i="1"/>
  <c r="K64" i="1"/>
  <c r="K65" i="1"/>
  <c r="K50" i="1"/>
  <c r="R51" i="1"/>
  <c r="R52" i="1"/>
  <c r="R53" i="1"/>
  <c r="R54" i="1"/>
  <c r="R55" i="1"/>
  <c r="R56" i="1"/>
  <c r="R57" i="1"/>
  <c r="R58" i="1"/>
  <c r="R59" i="1"/>
  <c r="R61" i="1"/>
  <c r="R63" i="1"/>
  <c r="R64" i="1"/>
  <c r="R65" i="1"/>
  <c r="J51" i="1"/>
  <c r="J52" i="1"/>
  <c r="J53" i="1"/>
  <c r="J54" i="1"/>
  <c r="J55" i="1"/>
  <c r="J56" i="1"/>
  <c r="J57" i="1"/>
  <c r="J58" i="1"/>
  <c r="J59" i="1"/>
  <c r="J61" i="1"/>
  <c r="J63" i="1"/>
  <c r="J64" i="1"/>
  <c r="J65" i="1"/>
  <c r="R50" i="1"/>
  <c r="J50" i="1"/>
  <c r="I51" i="1"/>
  <c r="I52" i="1"/>
  <c r="I53" i="1"/>
  <c r="I54" i="1"/>
  <c r="I55" i="1"/>
  <c r="I56" i="1"/>
  <c r="I57" i="1"/>
  <c r="I58" i="1"/>
  <c r="I59" i="1"/>
  <c r="I61" i="1"/>
  <c r="I63" i="1"/>
  <c r="I64" i="1"/>
  <c r="I65" i="1"/>
  <c r="I50" i="1"/>
  <c r="H65" i="1"/>
  <c r="H51" i="1"/>
  <c r="H52" i="1"/>
  <c r="H53" i="1"/>
  <c r="H54" i="1"/>
  <c r="H55" i="1"/>
  <c r="H56" i="1"/>
  <c r="H57" i="1"/>
  <c r="H58" i="1"/>
  <c r="H59" i="1"/>
  <c r="H61" i="1"/>
  <c r="H63" i="1"/>
  <c r="H64" i="1"/>
  <c r="H50" i="1"/>
  <c r="G51" i="1"/>
  <c r="G52" i="1"/>
  <c r="G53" i="1"/>
  <c r="G54" i="1"/>
  <c r="G55" i="1"/>
  <c r="G56" i="1"/>
  <c r="G57" i="1"/>
  <c r="G58" i="1"/>
  <c r="G59" i="1"/>
  <c r="G61" i="1"/>
  <c r="G63" i="1"/>
  <c r="G64" i="1"/>
  <c r="G65" i="1"/>
  <c r="G50" i="1"/>
  <c r="F51" i="1"/>
  <c r="F52" i="1"/>
  <c r="F53" i="1"/>
  <c r="F54" i="1"/>
  <c r="F55" i="1"/>
  <c r="F56" i="1"/>
  <c r="F57" i="1"/>
  <c r="F58" i="1"/>
  <c r="F59" i="1"/>
  <c r="F61" i="1"/>
  <c r="F63" i="1"/>
  <c r="F64" i="1"/>
  <c r="F65" i="1"/>
  <c r="F50" i="1"/>
  <c r="E51" i="1"/>
  <c r="E52" i="1"/>
  <c r="E53" i="1"/>
  <c r="E54" i="1"/>
  <c r="E55" i="1"/>
  <c r="E56" i="1"/>
  <c r="E57" i="1"/>
  <c r="E58" i="1"/>
  <c r="E59" i="1"/>
  <c r="E61" i="1"/>
  <c r="E63" i="1"/>
  <c r="E64" i="1"/>
  <c r="E65" i="1"/>
  <c r="E50" i="1"/>
  <c r="D51" i="1"/>
  <c r="D52" i="1"/>
  <c r="D53" i="1"/>
  <c r="D54" i="1"/>
  <c r="D55" i="1"/>
  <c r="D56" i="1"/>
  <c r="D57" i="1"/>
  <c r="D58" i="1"/>
  <c r="D59" i="1"/>
  <c r="D61" i="1"/>
  <c r="D63" i="1"/>
  <c r="D64" i="1"/>
  <c r="D65" i="1"/>
  <c r="D50" i="1"/>
  <c r="B61" i="1"/>
  <c r="B63" i="1"/>
  <c r="B64" i="1"/>
  <c r="B65" i="1"/>
  <c r="C51" i="1"/>
  <c r="C52" i="1"/>
  <c r="C53" i="1"/>
  <c r="C54" i="1"/>
  <c r="C55" i="1"/>
  <c r="C56" i="1"/>
  <c r="C57" i="1"/>
  <c r="C58" i="1"/>
  <c r="C59" i="1"/>
  <c r="C61" i="1"/>
  <c r="C63" i="1"/>
  <c r="C64" i="1"/>
  <c r="C65" i="1"/>
  <c r="C50" i="1"/>
  <c r="B51" i="1"/>
  <c r="B52" i="1"/>
  <c r="B53" i="1"/>
  <c r="B54" i="1"/>
  <c r="B55" i="1"/>
  <c r="B56" i="1"/>
  <c r="B57" i="1"/>
  <c r="B58" i="1"/>
  <c r="B59" i="1"/>
  <c r="B50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</calcChain>
</file>

<file path=xl/sharedStrings.xml><?xml version="1.0" encoding="utf-8"?>
<sst xmlns="http://schemas.openxmlformats.org/spreadsheetml/2006/main" count="333" uniqueCount="97">
  <si>
    <t>Substance émise</t>
  </si>
  <si>
    <t>CO2</t>
  </si>
  <si>
    <t>CO</t>
  </si>
  <si>
    <t>HFC-152a</t>
  </si>
  <si>
    <t>HFC-134a</t>
  </si>
  <si>
    <t>CFC-113</t>
  </si>
  <si>
    <t>CFC-114</t>
  </si>
  <si>
    <t>HFC-116</t>
  </si>
  <si>
    <t>Halon 1211</t>
  </si>
  <si>
    <t>Halon 1301</t>
  </si>
  <si>
    <t>HCFC-22</t>
  </si>
  <si>
    <t>CFC-12</t>
  </si>
  <si>
    <t>CH4</t>
  </si>
  <si>
    <t>CFC-10</t>
  </si>
  <si>
    <t>CFC-14</t>
  </si>
  <si>
    <t>HFC-23</t>
  </si>
  <si>
    <t>SF6</t>
  </si>
  <si>
    <t>Unités</t>
  </si>
  <si>
    <t>kg</t>
  </si>
  <si>
    <t>g</t>
  </si>
  <si>
    <t>µg</t>
  </si>
  <si>
    <t>mg</t>
  </si>
  <si>
    <t>Production</t>
  </si>
  <si>
    <t>N2O</t>
  </si>
  <si>
    <t>Fin de vie</t>
  </si>
  <si>
    <t>Toxicité humaine cancérigène</t>
  </si>
  <si>
    <t>Toxicité humaine non-cancérigène</t>
  </si>
  <si>
    <t>Respiratoire inorganique</t>
  </si>
  <si>
    <t>Radiation ionisante</t>
  </si>
  <si>
    <t>Destruction de la couche d'ozone</t>
  </si>
  <si>
    <t>Ecotoxicité aquatique</t>
  </si>
  <si>
    <t>Ecotoxicité terrestre</t>
  </si>
  <si>
    <t>Occupation des terres</t>
  </si>
  <si>
    <t>Acidification terrestre</t>
  </si>
  <si>
    <t>Acidification aquatique</t>
  </si>
  <si>
    <t>Eutrophisation aquatique</t>
  </si>
  <si>
    <t>Réchauffement climatique</t>
  </si>
  <si>
    <t>Energie non renouvelable</t>
  </si>
  <si>
    <t>Extraction minière</t>
  </si>
  <si>
    <t>kg-eq PM-2,5</t>
  </si>
  <si>
    <t>bq-eq C14</t>
  </si>
  <si>
    <t>kg-eq CFC11</t>
  </si>
  <si>
    <t>kg-eq éthylène</t>
  </si>
  <si>
    <t>kg-eq triéthylène glycol</t>
  </si>
  <si>
    <t>kg-eq triéthylène</t>
  </si>
  <si>
    <t>m².an</t>
  </si>
  <si>
    <t>kg-eq SO2</t>
  </si>
  <si>
    <t>kg-eq S02</t>
  </si>
  <si>
    <t>kg-eq PO4</t>
  </si>
  <si>
    <t>kg-eq CO2</t>
  </si>
  <si>
    <t>MJ primaires</t>
  </si>
  <si>
    <t>MJ additionnels</t>
  </si>
  <si>
    <t>Respiratoire organique</t>
  </si>
  <si>
    <t>Utilisation</t>
  </si>
  <si>
    <t>Unité de refroidissement</t>
  </si>
  <si>
    <t>Pompe</t>
  </si>
  <si>
    <t>Infrastructure</t>
  </si>
  <si>
    <t>Réfrigérant</t>
  </si>
  <si>
    <t>Transport production</t>
  </si>
  <si>
    <t>Serveurs</t>
  </si>
  <si>
    <t>Batiments</t>
  </si>
  <si>
    <t>Enfouissement plastique</t>
  </si>
  <si>
    <t>Enfouissement aluminium</t>
  </si>
  <si>
    <t>Transport FdV</t>
  </si>
  <si>
    <r>
      <t xml:space="preserve">SCORE D'IMPACT EN FONCTION </t>
    </r>
    <r>
      <rPr>
        <b/>
        <sz val="11"/>
        <color theme="1"/>
        <rFont val="Calibri"/>
        <family val="2"/>
        <scheme val="minor"/>
      </rPr>
      <t>DU DATA CENTER</t>
    </r>
  </si>
  <si>
    <t>Plastiques</t>
  </si>
  <si>
    <t>Cuivre</t>
  </si>
  <si>
    <t>Circuits imprimés</t>
  </si>
  <si>
    <t>Électricité</t>
  </si>
  <si>
    <t>Métaux</t>
  </si>
  <si>
    <t>Structure d'aération</t>
  </si>
  <si>
    <t>Enfouissement plastiques</t>
  </si>
  <si>
    <t>Enfouissement métaux</t>
  </si>
  <si>
    <t>INVENTAIRE DES GAZ À EFFET DE SERRE POUR LE SCÉNARIO "DATA CENTER QUÉBEC"</t>
  </si>
  <si>
    <t>kg-eq chloroéthylène</t>
  </si>
  <si>
    <t>Facteurs</t>
  </si>
  <si>
    <t>CONVERSION EN KG</t>
  </si>
  <si>
    <t>TABLEAU DE CONVERSION</t>
  </si>
  <si>
    <t>CO2 EQUIVALENT PAR SUBSTANCES</t>
  </si>
  <si>
    <t>kg eq Co2</t>
  </si>
  <si>
    <t>CO2 tot</t>
  </si>
  <si>
    <t xml:space="preserve">kg </t>
  </si>
  <si>
    <t>FACTEUR DOMMAGE</t>
  </si>
  <si>
    <t>santé humaine</t>
  </si>
  <si>
    <t>écosysteme</t>
  </si>
  <si>
    <t>changement climatique</t>
  </si>
  <si>
    <t>ressource</t>
  </si>
  <si>
    <t>production</t>
  </si>
  <si>
    <t>utilisation</t>
  </si>
  <si>
    <t>fin de vie</t>
  </si>
  <si>
    <t>Électricité éolien</t>
  </si>
  <si>
    <t>Électricité Panneau</t>
  </si>
  <si>
    <t>NORMAL</t>
  </si>
  <si>
    <t>ÉOLIEN</t>
  </si>
  <si>
    <t>PANNEAU</t>
  </si>
  <si>
    <t>Raphael Bouchard – bour0703 – 22 111 652 – T10</t>
  </si>
  <si>
    <t>Alexis Guérard – guea0902 – 22 070 553 – 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</si>
</sst>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i/>
      <sz val="9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theme="1"/>
      <name val="Cambria"/>
      <family val="1"/>
    </font>
    <font>
      <b/>
      <sz val="8"/>
      <color rgb="FF000000"/>
      <name val="Calibri"/>
      <family val="2"/>
    </font>
    <font>
      <i/>
      <sz val="8"/>
      <color rgb="FF000000"/>
      <name val="Calibri"/>
      <family val="2"/>
    </font>
    <font>
      <b/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1" xfId="0" applyFont="1" applyBorder="1"/>
    <xf numFmtId="0" fontId="6" fillId="0" borderId="0" xfId="0" applyFont="1"/>
    <xf numFmtId="11" fontId="6" fillId="0" borderId="9" xfId="0" applyNumberFormat="1" applyFont="1" applyBorder="1" applyAlignment="1">
      <alignment horizontal="right"/>
    </xf>
    <xf numFmtId="0" fontId="3" fillId="0" borderId="14" xfId="0" applyFont="1" applyBorder="1"/>
    <xf numFmtId="11" fontId="0" fillId="0" borderId="0" xfId="0" applyNumberFormat="1"/>
    <xf numFmtId="11" fontId="6" fillId="0" borderId="16" xfId="0" applyNumberFormat="1" applyFont="1" applyBorder="1" applyAlignment="1">
      <alignment horizontal="right" vertical="center"/>
    </xf>
    <xf numFmtId="11" fontId="6" fillId="0" borderId="0" xfId="0" applyNumberFormat="1" applyFont="1" applyAlignment="1">
      <alignment horizontal="right"/>
    </xf>
    <xf numFmtId="11" fontId="6" fillId="0" borderId="17" xfId="0" applyNumberFormat="1" applyFont="1" applyBorder="1" applyAlignment="1">
      <alignment horizontal="right"/>
    </xf>
    <xf numFmtId="11" fontId="6" fillId="0" borderId="12" xfId="0" applyNumberFormat="1" applyFont="1" applyBorder="1" applyAlignment="1">
      <alignment horizontal="right"/>
    </xf>
    <xf numFmtId="0" fontId="5" fillId="0" borderId="6" xfId="0" applyFont="1" applyBorder="1" applyAlignment="1">
      <alignment horizontal="center"/>
    </xf>
    <xf numFmtId="164" fontId="6" fillId="0" borderId="0" xfId="0" applyNumberFormat="1" applyFont="1"/>
    <xf numFmtId="11" fontId="6" fillId="0" borderId="15" xfId="0" applyNumberFormat="1" applyFont="1" applyBorder="1" applyAlignment="1">
      <alignment horizontal="right"/>
    </xf>
    <xf numFmtId="11" fontId="6" fillId="0" borderId="7" xfId="0" applyNumberFormat="1" applyFont="1" applyBorder="1" applyAlignment="1">
      <alignment horizontal="right"/>
    </xf>
    <xf numFmtId="11" fontId="6" fillId="0" borderId="16" xfId="0" applyNumberFormat="1" applyFont="1" applyBorder="1" applyAlignment="1">
      <alignment horizontal="right"/>
    </xf>
    <xf numFmtId="11" fontId="6" fillId="0" borderId="8" xfId="0" applyNumberFormat="1" applyFont="1" applyBorder="1" applyAlignment="1">
      <alignment horizontal="right"/>
    </xf>
    <xf numFmtId="11" fontId="6" fillId="0" borderId="5" xfId="0" applyNumberFormat="1" applyFont="1" applyBorder="1" applyAlignment="1">
      <alignment horizontal="right"/>
    </xf>
    <xf numFmtId="0" fontId="8" fillId="0" borderId="18" xfId="0" applyFont="1" applyBorder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8" fillId="0" borderId="4" xfId="0" applyFont="1" applyBorder="1" applyAlignment="1">
      <alignment wrapText="1"/>
    </xf>
    <xf numFmtId="164" fontId="0" fillId="0" borderId="0" xfId="0" applyNumberFormat="1"/>
    <xf numFmtId="0" fontId="10" fillId="0" borderId="8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11" fontId="6" fillId="0" borderId="0" xfId="0" applyNumberFormat="1" applyFont="1" applyAlignment="1">
      <alignment horizontal="right" vertical="center"/>
    </xf>
    <xf numFmtId="11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1" fontId="7" fillId="0" borderId="10" xfId="0" applyNumberFormat="1" applyFont="1" applyBorder="1" applyAlignment="1">
      <alignment horizontal="center"/>
    </xf>
    <xf numFmtId="11" fontId="12" fillId="0" borderId="16" xfId="0" applyNumberFormat="1" applyFont="1" applyBorder="1" applyAlignment="1">
      <alignment horizontal="left" vertical="center"/>
    </xf>
    <xf numFmtId="0" fontId="13" fillId="0" borderId="0" xfId="0" applyFont="1"/>
    <xf numFmtId="165" fontId="0" fillId="0" borderId="0" xfId="0" applyNumberForma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right"/>
    </xf>
    <xf numFmtId="0" fontId="12" fillId="0" borderId="0" xfId="0" applyFont="1"/>
    <xf numFmtId="0" fontId="5" fillId="2" borderId="19" xfId="0" applyFont="1" applyFill="1" applyBorder="1" applyAlignment="1">
      <alignment vertical="center"/>
    </xf>
    <xf numFmtId="0" fontId="5" fillId="2" borderId="20" xfId="0" applyFont="1" applyFill="1" applyBorder="1" applyAlignment="1">
      <alignment vertical="center"/>
    </xf>
    <xf numFmtId="0" fontId="5" fillId="2" borderId="21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9" fontId="0" fillId="0" borderId="0" xfId="0" applyNumberFormat="1"/>
    <xf numFmtId="11" fontId="0" fillId="0" borderId="16" xfId="0" applyNumberFormat="1" applyBorder="1"/>
    <xf numFmtId="11" fontId="0" fillId="0" borderId="8" xfId="0" applyNumberFormat="1" applyBorder="1"/>
    <xf numFmtId="11" fontId="0" fillId="0" borderId="17" xfId="0" applyNumberFormat="1" applyBorder="1"/>
    <xf numFmtId="11" fontId="0" fillId="0" borderId="12" xfId="0" applyNumberFormat="1" applyBorder="1"/>
    <xf numFmtId="11" fontId="0" fillId="0" borderId="5" xfId="0" applyNumberFormat="1" applyBorder="1"/>
    <xf numFmtId="0" fontId="11" fillId="0" borderId="0" xfId="0" applyFont="1"/>
    <xf numFmtId="0" fontId="5" fillId="2" borderId="15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5" fillId="2" borderId="19" xfId="0" applyFont="1" applyFill="1" applyBorder="1" applyAlignment="1">
      <alignment horizontal="center" vertical="center"/>
    </xf>
    <xf numFmtId="0" fontId="0" fillId="0" borderId="17" xfId="0" applyBorder="1" applyAlignment="1">
      <alignment horizontal="right"/>
    </xf>
    <xf numFmtId="0" fontId="1" fillId="0" borderId="0" xfId="0" applyFont="1"/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8" xfId="0" applyFont="1" applyFill="1" applyBorder="1" applyAlignment="1">
      <alignment vertical="center"/>
    </xf>
    <xf numFmtId="11" fontId="6" fillId="0" borderId="19" xfId="0" applyNumberFormat="1" applyFont="1" applyBorder="1" applyAlignment="1">
      <alignment horizontal="right"/>
    </xf>
    <xf numFmtId="11" fontId="6" fillId="0" borderId="20" xfId="0" applyNumberFormat="1" applyFont="1" applyBorder="1" applyAlignment="1">
      <alignment horizontal="right"/>
    </xf>
    <xf numFmtId="11" fontId="6" fillId="0" borderId="21" xfId="0" applyNumberFormat="1" applyFont="1" applyBorder="1" applyAlignment="1">
      <alignment horizontal="right"/>
    </xf>
    <xf numFmtId="11" fontId="5" fillId="0" borderId="0" xfId="0" applyNumberFormat="1" applyFont="1" applyAlignment="1">
      <alignment horizontal="left" vertical="center"/>
    </xf>
    <xf numFmtId="11" fontId="7" fillId="0" borderId="16" xfId="0" applyNumberFormat="1" applyFont="1" applyBorder="1" applyAlignment="1">
      <alignment horizontal="center"/>
    </xf>
    <xf numFmtId="0" fontId="0" fillId="0" borderId="8" xfId="0" applyBorder="1"/>
    <xf numFmtId="11" fontId="7" fillId="0" borderId="17" xfId="0" applyNumberFormat="1" applyFont="1" applyBorder="1" applyAlignment="1">
      <alignment horizontal="center"/>
    </xf>
    <xf numFmtId="0" fontId="0" fillId="0" borderId="5" xfId="0" applyBorder="1"/>
    <xf numFmtId="0" fontId="1" fillId="0" borderId="19" xfId="0" applyFont="1" applyBorder="1"/>
    <xf numFmtId="0" fontId="1" fillId="0" borderId="21" xfId="0" applyFont="1" applyBorder="1"/>
    <xf numFmtId="0" fontId="5" fillId="3" borderId="6" xfId="0" applyFont="1" applyFill="1" applyBorder="1" applyAlignment="1">
      <alignment horizontal="center"/>
    </xf>
    <xf numFmtId="11" fontId="0" fillId="2" borderId="20" xfId="0" applyNumberFormat="1" applyFill="1" applyBorder="1"/>
    <xf numFmtId="0" fontId="9" fillId="0" borderId="0" xfId="0" applyFont="1" applyAlignment="1">
      <alignment horizontal="center" wrapText="1"/>
    </xf>
    <xf numFmtId="0" fontId="0" fillId="2" borderId="6" xfId="0" applyFill="1" applyBorder="1"/>
    <xf numFmtId="11" fontId="0" fillId="0" borderId="10" xfId="0" applyNumberFormat="1" applyBorder="1"/>
    <xf numFmtId="11" fontId="0" fillId="0" borderId="11" xfId="0" applyNumberFormat="1" applyBorder="1"/>
    <xf numFmtId="11" fontId="0" fillId="0" borderId="13" xfId="0" applyNumberFormat="1" applyBorder="1"/>
    <xf numFmtId="0" fontId="5" fillId="2" borderId="6" xfId="0" applyFont="1" applyFill="1" applyBorder="1" applyAlignment="1">
      <alignment vertical="center"/>
    </xf>
    <xf numFmtId="11" fontId="0" fillId="0" borderId="6" xfId="0" applyNumberFormat="1" applyBorder="1"/>
    <xf numFmtId="11" fontId="0" fillId="0" borderId="15" xfId="0" applyNumberFormat="1" applyBorder="1"/>
    <xf numFmtId="11" fontId="0" fillId="0" borderId="9" xfId="0" applyNumberFormat="1" applyBorder="1"/>
    <xf numFmtId="11" fontId="0" fillId="0" borderId="7" xfId="0" applyNumberFormat="1" applyBorder="1"/>
    <xf numFmtId="11" fontId="0" fillId="0" borderId="19" xfId="0" applyNumberFormat="1" applyBorder="1"/>
    <xf numFmtId="11" fontId="0" fillId="0" borderId="20" xfId="0" applyNumberFormat="1" applyBorder="1"/>
    <xf numFmtId="11" fontId="0" fillId="0" borderId="21" xfId="0" applyNumberFormat="1" applyBorder="1"/>
    <xf numFmtId="0" fontId="0" fillId="0" borderId="9" xfId="0" applyBorder="1"/>
    <xf numFmtId="0" fontId="0" fillId="0" borderId="7" xfId="0" applyBorder="1"/>
    <xf numFmtId="0" fontId="0" fillId="0" borderId="12" xfId="0" applyBorder="1"/>
    <xf numFmtId="0" fontId="1" fillId="4" borderId="0" xfId="0" applyFont="1" applyFill="1"/>
    <xf numFmtId="0" fontId="1" fillId="5" borderId="0" xfId="0" applyFont="1" applyFill="1" applyAlignment="1">
      <alignment horizontal="left"/>
    </xf>
    <xf numFmtId="0" fontId="1" fillId="6" borderId="0" xfId="0" applyFont="1" applyFill="1"/>
    <xf numFmtId="0" fontId="4" fillId="2" borderId="16" xfId="0" applyFont="1" applyFill="1" applyBorder="1" applyAlignment="1">
      <alignment horizontal="center" vertical="center" textRotation="180" wrapText="1"/>
    </xf>
    <xf numFmtId="11" fontId="4" fillId="2" borderId="16" xfId="0" applyNumberFormat="1" applyFont="1" applyFill="1" applyBorder="1" applyAlignment="1">
      <alignment horizontal="center" vertical="center" textRotation="180"/>
    </xf>
    <xf numFmtId="0" fontId="4" fillId="2" borderId="0" xfId="0" applyFont="1" applyFill="1" applyAlignment="1">
      <alignment horizontal="center" vertical="center" textRotation="180" wrapText="1"/>
    </xf>
    <xf numFmtId="11" fontId="4" fillId="2" borderId="0" xfId="0" applyNumberFormat="1" applyFont="1" applyFill="1" applyAlignment="1">
      <alignment horizontal="center" vertical="center" textRotation="180"/>
    </xf>
    <xf numFmtId="0" fontId="14" fillId="4" borderId="10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Impacts problèmes</a:t>
            </a:r>
            <a:r>
              <a:rPr lang="fr-CA" baseline="0"/>
              <a:t> selon les étapes du cycle de vie au Québec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Graphique1!$A$3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Graphique1!$B$2:$P$2</c:f>
              <c:strCache>
                <c:ptCount val="15"/>
                <c:pt idx="0">
                  <c:v>Toxicité humaine cancérigène</c:v>
                </c:pt>
                <c:pt idx="1">
                  <c:v>Toxicité humaine non-cancérigène</c:v>
                </c:pt>
                <c:pt idx="2">
                  <c:v>Respiratoire inorganique</c:v>
                </c:pt>
                <c:pt idx="3">
                  <c:v>Radiation ionisante</c:v>
                </c:pt>
                <c:pt idx="4">
                  <c:v>Destruction de la couche d'ozone</c:v>
                </c:pt>
                <c:pt idx="5">
                  <c:v>Respiratoire organique</c:v>
                </c:pt>
                <c:pt idx="6">
                  <c:v>Ecotoxicité aquatique</c:v>
                </c:pt>
                <c:pt idx="7">
                  <c:v>Ecotoxicité terrestre</c:v>
                </c:pt>
                <c:pt idx="8">
                  <c:v>Occupation des terres</c:v>
                </c:pt>
                <c:pt idx="9">
                  <c:v>Acidification terrestre</c:v>
                </c:pt>
                <c:pt idx="10">
                  <c:v>Acidification aquatique</c:v>
                </c:pt>
                <c:pt idx="11">
                  <c:v>Eutrophisation aquatique</c:v>
                </c:pt>
                <c:pt idx="12">
                  <c:v>Réchauffement climatique</c:v>
                </c:pt>
                <c:pt idx="13">
                  <c:v>Energie non renouvelable</c:v>
                </c:pt>
                <c:pt idx="14">
                  <c:v>Extraction minière</c:v>
                </c:pt>
              </c:strCache>
            </c:strRef>
          </c:cat>
          <c:val>
            <c:numRef>
              <c:f>Graphique1!$B$3:$P$3</c:f>
              <c:numCache>
                <c:formatCode>0.00E+00</c:formatCode>
                <c:ptCount val="15"/>
                <c:pt idx="0">
                  <c:v>677.66101885329385</c:v>
                </c:pt>
                <c:pt idx="1">
                  <c:v>2332.5953552373126</c:v>
                </c:pt>
                <c:pt idx="2">
                  <c:v>46.371366995099997</c:v>
                </c:pt>
                <c:pt idx="3">
                  <c:v>164115.38050359747</c:v>
                </c:pt>
                <c:pt idx="4">
                  <c:v>0.16645853269499997</c:v>
                </c:pt>
                <c:pt idx="5">
                  <c:v>9.7557228013424986</c:v>
                </c:pt>
                <c:pt idx="6">
                  <c:v>7117598.5766517743</c:v>
                </c:pt>
                <c:pt idx="7">
                  <c:v>2418961.9899545242</c:v>
                </c:pt>
                <c:pt idx="8">
                  <c:v>471.35567763525</c:v>
                </c:pt>
                <c:pt idx="9">
                  <c:v>522.93244996554745</c:v>
                </c:pt>
                <c:pt idx="10">
                  <c:v>184.54226187500001</c:v>
                </c:pt>
                <c:pt idx="11">
                  <c:v>57.546502637125002</c:v>
                </c:pt>
                <c:pt idx="12">
                  <c:v>13640.469186884282</c:v>
                </c:pt>
                <c:pt idx="13">
                  <c:v>178019.17435456254</c:v>
                </c:pt>
                <c:pt idx="14">
                  <c:v>16696.837315570792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1-489C-988C-9447A0BC254F}"/>
            </c:ext>
          </c:extLst>
        </c:ser>
        <c:ser>
          <c:idx val="1"/>
          <c:order val="1"/>
          <c:tx>
            <c:strRef>
              <c:f>Graphique1!$A$4</c:f>
              <c:strCache>
                <c:ptCount val="1"/>
                <c:pt idx="0">
                  <c:v>Utilisation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Graphique1!$B$2:$P$2</c:f>
              <c:strCache>
                <c:ptCount val="15"/>
                <c:pt idx="0">
                  <c:v>Toxicité humaine cancérigène</c:v>
                </c:pt>
                <c:pt idx="1">
                  <c:v>Toxicité humaine non-cancérigène</c:v>
                </c:pt>
                <c:pt idx="2">
                  <c:v>Respiratoire inorganique</c:v>
                </c:pt>
                <c:pt idx="3">
                  <c:v>Radiation ionisante</c:v>
                </c:pt>
                <c:pt idx="4">
                  <c:v>Destruction de la couche d'ozone</c:v>
                </c:pt>
                <c:pt idx="5">
                  <c:v>Respiratoire organique</c:v>
                </c:pt>
                <c:pt idx="6">
                  <c:v>Ecotoxicité aquatique</c:v>
                </c:pt>
                <c:pt idx="7">
                  <c:v>Ecotoxicité terrestre</c:v>
                </c:pt>
                <c:pt idx="8">
                  <c:v>Occupation des terres</c:v>
                </c:pt>
                <c:pt idx="9">
                  <c:v>Acidification terrestre</c:v>
                </c:pt>
                <c:pt idx="10">
                  <c:v>Acidification aquatique</c:v>
                </c:pt>
                <c:pt idx="11">
                  <c:v>Eutrophisation aquatique</c:v>
                </c:pt>
                <c:pt idx="12">
                  <c:v>Réchauffement climatique</c:v>
                </c:pt>
                <c:pt idx="13">
                  <c:v>Energie non renouvelable</c:v>
                </c:pt>
                <c:pt idx="14">
                  <c:v>Extraction minière</c:v>
                </c:pt>
              </c:strCache>
            </c:strRef>
          </c:cat>
          <c:val>
            <c:numRef>
              <c:f>Graphique1!$B$4:$P$4</c:f>
              <c:numCache>
                <c:formatCode>0.00E+00</c:formatCode>
                <c:ptCount val="15"/>
                <c:pt idx="0">
                  <c:v>1222.9781458333332</c:v>
                </c:pt>
                <c:pt idx="1">
                  <c:v>1844.8479083333332</c:v>
                </c:pt>
                <c:pt idx="2">
                  <c:v>50.333393999999991</c:v>
                </c:pt>
                <c:pt idx="3">
                  <c:v>4115822.7499999991</c:v>
                </c:pt>
                <c:pt idx="4">
                  <c:v>6.5751878799999988E-3</c:v>
                </c:pt>
                <c:pt idx="5">
                  <c:v>14.905527549999999</c:v>
                </c:pt>
                <c:pt idx="6">
                  <c:v>11728965.999999998</c:v>
                </c:pt>
                <c:pt idx="7">
                  <c:v>4096827.8799999994</c:v>
                </c:pt>
                <c:pt idx="8">
                  <c:v>15218.694099999999</c:v>
                </c:pt>
                <c:pt idx="9">
                  <c:v>939.90194649999989</c:v>
                </c:pt>
                <c:pt idx="10">
                  <c:v>184.88702499999999</c:v>
                </c:pt>
                <c:pt idx="11">
                  <c:v>12.953973333333332</c:v>
                </c:pt>
                <c:pt idx="12">
                  <c:v>63902.909681033336</c:v>
                </c:pt>
                <c:pt idx="13">
                  <c:v>694278.92874999985</c:v>
                </c:pt>
                <c:pt idx="14">
                  <c:v>4846.3534333333328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1-489C-988C-9447A0BC254F}"/>
            </c:ext>
          </c:extLst>
        </c:ser>
        <c:ser>
          <c:idx val="2"/>
          <c:order val="2"/>
          <c:tx>
            <c:strRef>
              <c:f>Graphique1!$A$5</c:f>
              <c:strCache>
                <c:ptCount val="1"/>
                <c:pt idx="0">
                  <c:v>Fin de vie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Graphique1!$B$2:$P$2</c:f>
              <c:strCache>
                <c:ptCount val="15"/>
                <c:pt idx="0">
                  <c:v>Toxicité humaine cancérigène</c:v>
                </c:pt>
                <c:pt idx="1">
                  <c:v>Toxicité humaine non-cancérigène</c:v>
                </c:pt>
                <c:pt idx="2">
                  <c:v>Respiratoire inorganique</c:v>
                </c:pt>
                <c:pt idx="3">
                  <c:v>Radiation ionisante</c:v>
                </c:pt>
                <c:pt idx="4">
                  <c:v>Destruction de la couche d'ozone</c:v>
                </c:pt>
                <c:pt idx="5">
                  <c:v>Respiratoire organique</c:v>
                </c:pt>
                <c:pt idx="6">
                  <c:v>Ecotoxicité aquatique</c:v>
                </c:pt>
                <c:pt idx="7">
                  <c:v>Ecotoxicité terrestre</c:v>
                </c:pt>
                <c:pt idx="8">
                  <c:v>Occupation des terres</c:v>
                </c:pt>
                <c:pt idx="9">
                  <c:v>Acidification terrestre</c:v>
                </c:pt>
                <c:pt idx="10">
                  <c:v>Acidification aquatique</c:v>
                </c:pt>
                <c:pt idx="11">
                  <c:v>Eutrophisation aquatique</c:v>
                </c:pt>
                <c:pt idx="12">
                  <c:v>Réchauffement climatique</c:v>
                </c:pt>
                <c:pt idx="13">
                  <c:v>Energie non renouvelable</c:v>
                </c:pt>
                <c:pt idx="14">
                  <c:v>Extraction minière</c:v>
                </c:pt>
              </c:strCache>
            </c:strRef>
          </c:cat>
          <c:val>
            <c:numRef>
              <c:f>Graphique1!$B$5:$P$5</c:f>
              <c:numCache>
                <c:formatCode>0.00E+00</c:formatCode>
                <c:ptCount val="15"/>
                <c:pt idx="0">
                  <c:v>0.48260824184374995</c:v>
                </c:pt>
                <c:pt idx="1">
                  <c:v>2.0852100369437498</c:v>
                </c:pt>
                <c:pt idx="2">
                  <c:v>5.5284475845E-2</c:v>
                </c:pt>
                <c:pt idx="3">
                  <c:v>462.34415087720242</c:v>
                </c:pt>
                <c:pt idx="4">
                  <c:v>1.0505624827499999E-5</c:v>
                </c:pt>
                <c:pt idx="5">
                  <c:v>3.4888407524999998E-2</c:v>
                </c:pt>
                <c:pt idx="6">
                  <c:v>852260.87667597528</c:v>
                </c:pt>
                <c:pt idx="7">
                  <c:v>6210.7265408924995</c:v>
                </c:pt>
                <c:pt idx="8">
                  <c:v>4.6037471404724997</c:v>
                </c:pt>
                <c:pt idx="9">
                  <c:v>0.72125158178249993</c:v>
                </c:pt>
                <c:pt idx="10">
                  <c:v>0.17045311275</c:v>
                </c:pt>
                <c:pt idx="11">
                  <c:v>6.088516875E-3</c:v>
                </c:pt>
                <c:pt idx="12">
                  <c:v>48.598898452493536</c:v>
                </c:pt>
                <c:pt idx="13">
                  <c:v>801.46764175187491</c:v>
                </c:pt>
                <c:pt idx="14">
                  <c:v>0.60924661588750006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E1-489C-988C-9447A0BC2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5736095"/>
        <c:axId val="675736927"/>
      </c:barChart>
      <c:catAx>
        <c:axId val="67573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36927"/>
        <c:crosses val="autoZero"/>
        <c:auto val="1"/>
        <c:lblAlgn val="ctr"/>
        <c:lblOffset val="100"/>
        <c:noMultiLvlLbl val="0"/>
      </c:catAx>
      <c:valAx>
        <c:axId val="6757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3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Gaz</a:t>
            </a:r>
            <a:r>
              <a:rPr lang="fr-CA" baseline="0"/>
              <a:t> à effet de serre selon les étapes du cycle de vie au Québec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Graphique2!$A$4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Graphique2!$B$3:$R$3</c:f>
              <c:strCache>
                <c:ptCount val="17"/>
                <c:pt idx="0">
                  <c:v>CH4</c:v>
                </c:pt>
                <c:pt idx="1">
                  <c:v>CO2</c:v>
                </c:pt>
                <c:pt idx="2">
                  <c:v>N2O</c:v>
                </c:pt>
                <c:pt idx="3">
                  <c:v>SF6</c:v>
                </c:pt>
                <c:pt idx="4">
                  <c:v>CO</c:v>
                </c:pt>
                <c:pt idx="5">
                  <c:v>CFC-14</c:v>
                </c:pt>
                <c:pt idx="6">
                  <c:v>HFC-116</c:v>
                </c:pt>
                <c:pt idx="7">
                  <c:v>CFC-12</c:v>
                </c:pt>
                <c:pt idx="8">
                  <c:v>CFC-114</c:v>
                </c:pt>
                <c:pt idx="9">
                  <c:v>HCFC-22</c:v>
                </c:pt>
                <c:pt idx="10">
                  <c:v>HFC-23</c:v>
                </c:pt>
                <c:pt idx="11">
                  <c:v>CFC-10</c:v>
                </c:pt>
                <c:pt idx="12">
                  <c:v>CFC-113</c:v>
                </c:pt>
                <c:pt idx="13">
                  <c:v>Halon 1301</c:v>
                </c:pt>
                <c:pt idx="14">
                  <c:v>HFC-134a</c:v>
                </c:pt>
                <c:pt idx="15">
                  <c:v>HFC-152a</c:v>
                </c:pt>
                <c:pt idx="16">
                  <c:v>Halon 1211</c:v>
                </c:pt>
              </c:strCache>
            </c:strRef>
          </c:cat>
          <c:val>
            <c:numRef>
              <c:f>Graphique2!$B$4:$R$4</c:f>
              <c:numCache>
                <c:formatCode>0.00E+00</c:formatCode>
                <c:ptCount val="17"/>
                <c:pt idx="0">
                  <c:v>488.39410850888009</c:v>
                </c:pt>
                <c:pt idx="1">
                  <c:v>97067.51906980027</c:v>
                </c:pt>
                <c:pt idx="2">
                  <c:v>5.5172225155128203</c:v>
                </c:pt>
                <c:pt idx="3">
                  <c:v>3.5484257430913574E-2</c:v>
                </c:pt>
                <c:pt idx="4">
                  <c:v>511.59601716687888</c:v>
                </c:pt>
                <c:pt idx="5">
                  <c:v>6.2455559440419466E-2</c:v>
                </c:pt>
                <c:pt idx="6">
                  <c:v>5.2743096016503697E-3</c:v>
                </c:pt>
                <c:pt idx="7">
                  <c:v>3.2195700581179487E-2</c:v>
                </c:pt>
                <c:pt idx="8">
                  <c:v>8.8722993786819935E-4</c:v>
                </c:pt>
                <c:pt idx="9">
                  <c:v>0.17500521930102222</c:v>
                </c:pt>
                <c:pt idx="10">
                  <c:v>1.0426942080566E-2</c:v>
                </c:pt>
                <c:pt idx="11">
                  <c:v>5.7400049096611493E-3</c:v>
                </c:pt>
                <c:pt idx="12">
                  <c:v>1.2986832931170131</c:v>
                </c:pt>
                <c:pt idx="13">
                  <c:v>3.1390141102716055E-4</c:v>
                </c:pt>
                <c:pt idx="14">
                  <c:v>2.4859857783211248</c:v>
                </c:pt>
                <c:pt idx="15">
                  <c:v>2.9346861578147747E-2</c:v>
                </c:pt>
                <c:pt idx="16">
                  <c:v>1.3895547053333334E-4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F-4EA5-BBA4-8FCF000EE65F}"/>
            </c:ext>
          </c:extLst>
        </c:ser>
        <c:ser>
          <c:idx val="1"/>
          <c:order val="1"/>
          <c:tx>
            <c:strRef>
              <c:f>Graphique2!$A$5</c:f>
              <c:strCache>
                <c:ptCount val="1"/>
                <c:pt idx="0">
                  <c:v>Utilisation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Graphique2!$B$3:$R$3</c:f>
              <c:strCache>
                <c:ptCount val="17"/>
                <c:pt idx="0">
                  <c:v>CH4</c:v>
                </c:pt>
                <c:pt idx="1">
                  <c:v>CO2</c:v>
                </c:pt>
                <c:pt idx="2">
                  <c:v>N2O</c:v>
                </c:pt>
                <c:pt idx="3">
                  <c:v>SF6</c:v>
                </c:pt>
                <c:pt idx="4">
                  <c:v>CO</c:v>
                </c:pt>
                <c:pt idx="5">
                  <c:v>CFC-14</c:v>
                </c:pt>
                <c:pt idx="6">
                  <c:v>HFC-116</c:v>
                </c:pt>
                <c:pt idx="7">
                  <c:v>CFC-12</c:v>
                </c:pt>
                <c:pt idx="8">
                  <c:v>CFC-114</c:v>
                </c:pt>
                <c:pt idx="9">
                  <c:v>HCFC-22</c:v>
                </c:pt>
                <c:pt idx="10">
                  <c:v>HFC-23</c:v>
                </c:pt>
                <c:pt idx="11">
                  <c:v>CFC-10</c:v>
                </c:pt>
                <c:pt idx="12">
                  <c:v>CFC-113</c:v>
                </c:pt>
                <c:pt idx="13">
                  <c:v>Halon 1301</c:v>
                </c:pt>
                <c:pt idx="14">
                  <c:v>HFC-134a</c:v>
                </c:pt>
                <c:pt idx="15">
                  <c:v>HFC-152a</c:v>
                </c:pt>
                <c:pt idx="16">
                  <c:v>Halon 1211</c:v>
                </c:pt>
              </c:strCache>
            </c:strRef>
          </c:cat>
          <c:val>
            <c:numRef>
              <c:f>Graphique2!$B$5:$R$5</c:f>
              <c:numCache>
                <c:formatCode>0.00E+00</c:formatCode>
                <c:ptCount val="17"/>
                <c:pt idx="0">
                  <c:v>883.02235809122817</c:v>
                </c:pt>
                <c:pt idx="1">
                  <c:v>464858.6333333333</c:v>
                </c:pt>
                <c:pt idx="2">
                  <c:v>172.3777136752137</c:v>
                </c:pt>
                <c:pt idx="3">
                  <c:v>0.34328862139917693</c:v>
                </c:pt>
                <c:pt idx="4">
                  <c:v>745.36972399150739</c:v>
                </c:pt>
                <c:pt idx="5">
                  <c:v>3.3376015730337077E-2</c:v>
                </c:pt>
                <c:pt idx="6">
                  <c:v>2.4484421111111115E-3</c:v>
                </c:pt>
                <c:pt idx="7">
                  <c:v>2.5072749999999998E-3</c:v>
                </c:pt>
                <c:pt idx="8">
                  <c:v>3.8879727969348661E-3</c:v>
                </c:pt>
                <c:pt idx="9">
                  <c:v>1.4744203703703702E-2</c:v>
                </c:pt>
                <c:pt idx="10">
                  <c:v>2.9915121333333336E-4</c:v>
                </c:pt>
                <c:pt idx="11">
                  <c:v>3.7064612643678154E-4</c:v>
                </c:pt>
                <c:pt idx="12">
                  <c:v>1.9175483703703703E-2</c:v>
                </c:pt>
                <c:pt idx="13">
                  <c:v>1.3589157530864199E-3</c:v>
                </c:pt>
                <c:pt idx="14">
                  <c:v>3.7583133333333338E-2</c:v>
                </c:pt>
                <c:pt idx="15">
                  <c:v>3.8788751351351348E-3</c:v>
                </c:pt>
                <c:pt idx="16">
                  <c:v>5.1118369230769231E-4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F-4EA5-BBA4-8FCF000EE65F}"/>
            </c:ext>
          </c:extLst>
        </c:ser>
        <c:ser>
          <c:idx val="2"/>
          <c:order val="2"/>
          <c:tx>
            <c:strRef>
              <c:f>Graphique2!$A$6</c:f>
              <c:strCache>
                <c:ptCount val="1"/>
                <c:pt idx="0">
                  <c:v>Fin de vie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Graphique2!$B$3:$R$3</c:f>
              <c:strCache>
                <c:ptCount val="17"/>
                <c:pt idx="0">
                  <c:v>CH4</c:v>
                </c:pt>
                <c:pt idx="1">
                  <c:v>CO2</c:v>
                </c:pt>
                <c:pt idx="2">
                  <c:v>N2O</c:v>
                </c:pt>
                <c:pt idx="3">
                  <c:v>SF6</c:v>
                </c:pt>
                <c:pt idx="4">
                  <c:v>CO</c:v>
                </c:pt>
                <c:pt idx="5">
                  <c:v>CFC-14</c:v>
                </c:pt>
                <c:pt idx="6">
                  <c:v>HFC-116</c:v>
                </c:pt>
                <c:pt idx="7">
                  <c:v>CFC-12</c:v>
                </c:pt>
                <c:pt idx="8">
                  <c:v>CFC-114</c:v>
                </c:pt>
                <c:pt idx="9">
                  <c:v>HCFC-22</c:v>
                </c:pt>
                <c:pt idx="10">
                  <c:v>HFC-23</c:v>
                </c:pt>
                <c:pt idx="11">
                  <c:v>CFC-10</c:v>
                </c:pt>
                <c:pt idx="12">
                  <c:v>CFC-113</c:v>
                </c:pt>
                <c:pt idx="13">
                  <c:v>Halon 1301</c:v>
                </c:pt>
                <c:pt idx="14">
                  <c:v>HFC-134a</c:v>
                </c:pt>
                <c:pt idx="15">
                  <c:v>HFC-152a</c:v>
                </c:pt>
                <c:pt idx="16">
                  <c:v>Halon 1211</c:v>
                </c:pt>
              </c:strCache>
            </c:strRef>
          </c:cat>
          <c:val>
            <c:numRef>
              <c:f>Graphique2!$B$6:$R$6</c:f>
              <c:numCache>
                <c:formatCode>0.00E+00</c:formatCode>
                <c:ptCount val="17"/>
                <c:pt idx="0">
                  <c:v>0.83562158954247812</c:v>
                </c:pt>
                <c:pt idx="1">
                  <c:v>378.14119497413992</c:v>
                </c:pt>
                <c:pt idx="2">
                  <c:v>1.6354827328205129E-2</c:v>
                </c:pt>
                <c:pt idx="3">
                  <c:v>9.2575112222222201E-6</c:v>
                </c:pt>
                <c:pt idx="4">
                  <c:v>0.85597930670912947</c:v>
                </c:pt>
                <c:pt idx="5">
                  <c:v>7.2340370569288388E-6</c:v>
                </c:pt>
                <c:pt idx="6">
                  <c:v>5.3583777011111105E-7</c:v>
                </c:pt>
                <c:pt idx="7">
                  <c:v>2.5092864212820514E-7</c:v>
                </c:pt>
                <c:pt idx="8">
                  <c:v>9.6718048436781619E-7</c:v>
                </c:pt>
                <c:pt idx="9">
                  <c:v>5.1269344839506173E-6</c:v>
                </c:pt>
                <c:pt idx="10">
                  <c:v>7.6507375693333335E-8</c:v>
                </c:pt>
                <c:pt idx="11">
                  <c:v>1.6418080047126435E-7</c:v>
                </c:pt>
                <c:pt idx="12">
                  <c:v>1.3193806320987654E-7</c:v>
                </c:pt>
                <c:pt idx="13">
                  <c:v>5.936200977037037E-6</c:v>
                </c:pt>
                <c:pt idx="14">
                  <c:v>5.7879142133333328E-7</c:v>
                </c:pt>
                <c:pt idx="15">
                  <c:v>1.1305095463063063E-6</c:v>
                </c:pt>
                <c:pt idx="16">
                  <c:v>1.3116424996581198E-7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F-4EA5-BBA4-8FCF000EE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8265567"/>
        <c:axId val="798277215"/>
      </c:barChart>
      <c:catAx>
        <c:axId val="7982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77215"/>
        <c:crosses val="autoZero"/>
        <c:auto val="1"/>
        <c:lblAlgn val="ctr"/>
        <c:lblOffset val="100"/>
        <c:noMultiLvlLbl val="0"/>
      </c:catAx>
      <c:valAx>
        <c:axId val="7982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6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761069</xdr:colOff>
      <xdr:row>7</xdr:row>
      <xdr:rowOff>66404</xdr:rowOff>
    </xdr:from>
    <xdr:to>
      <xdr:col>12</xdr:col>
      <xdr:colOff>653143</xdr:colOff>
      <xdr:row>29</xdr:row>
      <xdr:rowOff>116632</xdr:rowOff>
    </xdr:to>
    <xdr:graphicFrame macro="">
      <xdr:nvGraphicFramePr>
        <xdr:cNvPr id="68" name="Graphique 1">
          <a:extLst>
            <a:ext uri="{FF2B5EF4-FFF2-40B4-BE49-F238E27FC236}">
              <a16:creationId xmlns:a16="http://schemas.microsoft.com/office/drawing/2014/main" id="{4F93236A-43A3-4C0A-736F-926C56783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7</xdr:row>
      <xdr:rowOff>175260</xdr:rowOff>
    </xdr:from>
    <xdr:to>
      <xdr:col>12</xdr:col>
      <xdr:colOff>579120</xdr:colOff>
      <xdr:row>26</xdr:row>
      <xdr:rowOff>129540</xdr:rowOff>
    </xdr:to>
    <xdr:graphicFrame macro="">
      <xdr:nvGraphicFramePr>
        <xdr:cNvPr id="136" name="Graphique 1">
          <a:extLst>
            <a:ext uri="{FF2B5EF4-FFF2-40B4-BE49-F238E27FC236}">
              <a16:creationId xmlns:a16="http://schemas.microsoft.com/office/drawing/2014/main" id="{A3B9F0AF-D720-CDDC-464C-F64930E26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B210-87A7-41D3-8287-3042FEB1C6C5}">
  <dimension ref="A1:A2"/>
  <sheetViews>
    <sheetView tabSelected="1" workbookViewId="0">
      <selection activeCell="A10" sqref="A10"/>
    </sheetView>
  </sheetViews>
  <sheetFormatPr baseColWidth="10" defaultRowHeight="14.4" x14ac:dyDescent="0.3"/>
  <cols>
    <col min="1" max="1" width="47" customWidth="1"/>
  </cols>
  <sheetData>
    <row r="1" spans="1:1" ht="15.6" x14ac:dyDescent="0.3">
      <c r="A1" s="93" t="s">
        <v>95</v>
      </c>
    </row>
    <row r="2" spans="1:1" ht="16.2" thickBot="1" x14ac:dyDescent="0.35">
      <c r="A2" s="94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38B8-3401-4B05-B6F7-4DDBA3F16748}">
  <dimension ref="A2:P5"/>
  <sheetViews>
    <sheetView topLeftCell="D1" zoomScale="98" workbookViewId="0">
      <selection activeCell="A2" sqref="A2:P5"/>
    </sheetView>
  </sheetViews>
  <sheetFormatPr baseColWidth="10" defaultRowHeight="14.4" x14ac:dyDescent="0.3"/>
  <sheetData>
    <row r="2" spans="1:16" ht="21.6" x14ac:dyDescent="0.3">
      <c r="B2" s="70" t="s">
        <v>25</v>
      </c>
      <c r="C2" s="70" t="s">
        <v>26</v>
      </c>
      <c r="D2" s="70" t="s">
        <v>27</v>
      </c>
      <c r="E2" s="70" t="s">
        <v>28</v>
      </c>
      <c r="F2" s="70" t="s">
        <v>29</v>
      </c>
      <c r="G2" s="70" t="s">
        <v>52</v>
      </c>
      <c r="H2" s="70" t="s">
        <v>30</v>
      </c>
      <c r="I2" s="70" t="s">
        <v>31</v>
      </c>
      <c r="J2" s="70" t="s">
        <v>32</v>
      </c>
      <c r="K2" s="70" t="s">
        <v>33</v>
      </c>
      <c r="L2" s="70" t="s">
        <v>34</v>
      </c>
      <c r="M2" s="70" t="s">
        <v>35</v>
      </c>
      <c r="N2" s="70" t="s">
        <v>36</v>
      </c>
      <c r="O2" s="70" t="s">
        <v>37</v>
      </c>
      <c r="P2" s="70" t="s">
        <v>38</v>
      </c>
    </row>
    <row r="3" spans="1:16" x14ac:dyDescent="0.3">
      <c r="A3" t="s">
        <v>22</v>
      </c>
      <c r="B3" s="5">
        <f>SUM('Annexe 2'!B5:B14)*0.125</f>
        <v>677.66101885329385</v>
      </c>
      <c r="C3" s="5">
        <f>SUM('Annexe 2'!C5:C14)*0.125</f>
        <v>2332.5953552373126</v>
      </c>
      <c r="D3" s="5">
        <f>SUM('Annexe 2'!D5:D14)*0.125</f>
        <v>46.371366995099997</v>
      </c>
      <c r="E3" s="5">
        <f>SUM('Annexe 2'!E5:E14)*0.125</f>
        <v>164115.38050359747</v>
      </c>
      <c r="F3" s="5">
        <f>SUM('Annexe 2'!F5:F14)*0.125</f>
        <v>0.16645853269499997</v>
      </c>
      <c r="G3" s="5">
        <f>SUM('Annexe 2'!G5:G14)*0.125</f>
        <v>9.7557228013424986</v>
      </c>
      <c r="H3" s="5">
        <f>SUM('Annexe 2'!H5:H14)*0.125</f>
        <v>7117598.5766517743</v>
      </c>
      <c r="I3" s="5">
        <f>SUM('Annexe 2'!I5:I14)*0.125</f>
        <v>2418961.9899545242</v>
      </c>
      <c r="J3" s="5">
        <f>SUM('Annexe 2'!J5:J14)*0.125</f>
        <v>471.35567763525</v>
      </c>
      <c r="K3" s="5">
        <f>SUM('Annexe 2'!K5:K14)*0.125</f>
        <v>522.93244996554745</v>
      </c>
      <c r="L3" s="5">
        <f>SUM('Annexe 2'!L5:L14)*0.125</f>
        <v>184.54226187500001</v>
      </c>
      <c r="M3" s="5">
        <f>SUM('Annexe 2'!M5:M14)*0.125</f>
        <v>57.546502637125002</v>
      </c>
      <c r="N3" s="5">
        <f>SUM('Annexe 2'!N5:N14)*0.125</f>
        <v>13640.469186884282</v>
      </c>
      <c r="O3" s="5">
        <f>SUM('Annexe 2'!O5:O14)*0.125</f>
        <v>178019.17435456254</v>
      </c>
      <c r="P3" s="5">
        <f>SUM('Annexe 2'!P5:P14)*0.125</f>
        <v>16696.837315570792</v>
      </c>
    </row>
    <row r="4" spans="1:16" x14ac:dyDescent="0.3">
      <c r="A4" t="s">
        <v>53</v>
      </c>
      <c r="B4" s="5">
        <f>'Annexe 2'!B16*0.125</f>
        <v>1222.9781458333332</v>
      </c>
      <c r="C4" s="5">
        <f>'Annexe 2'!C16*0.125</f>
        <v>1844.8479083333332</v>
      </c>
      <c r="D4" s="5">
        <f>'Annexe 2'!D16*0.125</f>
        <v>50.333393999999991</v>
      </c>
      <c r="E4" s="5">
        <f>'Annexe 2'!E16*0.125</f>
        <v>4115822.7499999991</v>
      </c>
      <c r="F4" s="5">
        <f>'Annexe 2'!F16*0.125</f>
        <v>6.5751878799999988E-3</v>
      </c>
      <c r="G4" s="5">
        <f>'Annexe 2'!G16*0.125</f>
        <v>14.905527549999999</v>
      </c>
      <c r="H4" s="5">
        <f>'Annexe 2'!H16*0.125</f>
        <v>11728965.999999998</v>
      </c>
      <c r="I4" s="5">
        <f>'Annexe 2'!I16*0.125</f>
        <v>4096827.8799999994</v>
      </c>
      <c r="J4" s="5">
        <f>'Annexe 2'!J16*0.125</f>
        <v>15218.694099999999</v>
      </c>
      <c r="K4" s="5">
        <f>'Annexe 2'!K16*0.125</f>
        <v>939.90194649999989</v>
      </c>
      <c r="L4" s="5">
        <f>'Annexe 2'!L16*0.125</f>
        <v>184.88702499999999</v>
      </c>
      <c r="M4" s="5">
        <f>'Annexe 2'!M16*0.125</f>
        <v>12.953973333333332</v>
      </c>
      <c r="N4" s="5">
        <f>'Annexe 2'!N16*0.125</f>
        <v>63902.909681033336</v>
      </c>
      <c r="O4" s="5">
        <f>'Annexe 2'!O16*0.125</f>
        <v>694278.92874999985</v>
      </c>
      <c r="P4" s="5">
        <f>'Annexe 2'!P16*0.125</f>
        <v>4846.3534333333328</v>
      </c>
    </row>
    <row r="5" spans="1:16" x14ac:dyDescent="0.3">
      <c r="A5" t="s">
        <v>24</v>
      </c>
      <c r="B5" s="5">
        <f>SUM('Annexe 2'!B18:B20)*0.125</f>
        <v>0.48260824184374995</v>
      </c>
      <c r="C5" s="5">
        <f>SUM('Annexe 2'!C18:C20)*0.125</f>
        <v>2.0852100369437498</v>
      </c>
      <c r="D5" s="5">
        <f>SUM('Annexe 2'!D18:D20)*0.125</f>
        <v>5.5284475845E-2</v>
      </c>
      <c r="E5" s="5">
        <f>SUM('Annexe 2'!E18:E20)*0.125</f>
        <v>462.34415087720242</v>
      </c>
      <c r="F5" s="5">
        <f>SUM('Annexe 2'!F18:F20)*0.125</f>
        <v>1.0505624827499999E-5</v>
      </c>
      <c r="G5" s="5">
        <f>SUM('Annexe 2'!G18:G20)*0.125</f>
        <v>3.4888407524999998E-2</v>
      </c>
      <c r="H5" s="5">
        <f>SUM('Annexe 2'!H18:H20)*0.125</f>
        <v>852260.87667597528</v>
      </c>
      <c r="I5" s="5">
        <f>SUM('Annexe 2'!I18:I20)*0.125</f>
        <v>6210.7265408924995</v>
      </c>
      <c r="J5" s="5">
        <f>SUM('Annexe 2'!J18:J20)*0.125</f>
        <v>4.6037471404724997</v>
      </c>
      <c r="K5" s="5">
        <f>SUM('Annexe 2'!K18:K20)*0.125</f>
        <v>0.72125158178249993</v>
      </c>
      <c r="L5" s="5">
        <f>SUM('Annexe 2'!L18:L20)*0.125</f>
        <v>0.17045311275</v>
      </c>
      <c r="M5" s="5">
        <f>SUM('Annexe 2'!M18:M20)*0.125</f>
        <v>6.088516875E-3</v>
      </c>
      <c r="N5" s="5">
        <f>SUM('Annexe 2'!N18:N20)*0.125</f>
        <v>48.598898452493536</v>
      </c>
      <c r="O5" s="5">
        <f>SUM('Annexe 2'!O18:O20)*0.125</f>
        <v>801.46764175187491</v>
      </c>
      <c r="P5" s="5">
        <f>SUM('Annexe 2'!P18:P20)*0.125</f>
        <v>0.60924661588750006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2E3C2-139B-495B-9600-58C6A541F943}">
  <dimension ref="A2:R6"/>
  <sheetViews>
    <sheetView topLeftCell="D1" workbookViewId="0">
      <selection activeCell="A3" sqref="A3:R6"/>
    </sheetView>
  </sheetViews>
  <sheetFormatPr baseColWidth="10" defaultRowHeight="14.4" x14ac:dyDescent="0.3"/>
  <sheetData>
    <row r="2" spans="1:18" ht="15" thickBot="1" x14ac:dyDescent="0.35"/>
    <row r="3" spans="1:18" ht="15" thickBot="1" x14ac:dyDescent="0.35">
      <c r="B3" s="10" t="s">
        <v>12</v>
      </c>
      <c r="C3" s="10" t="s">
        <v>1</v>
      </c>
      <c r="D3" s="10" t="s">
        <v>23</v>
      </c>
      <c r="E3" s="10" t="s">
        <v>16</v>
      </c>
      <c r="F3" s="10" t="s">
        <v>2</v>
      </c>
      <c r="G3" s="10" t="s">
        <v>14</v>
      </c>
      <c r="H3" s="10" t="s">
        <v>7</v>
      </c>
      <c r="I3" s="10" t="s">
        <v>11</v>
      </c>
      <c r="J3" s="10" t="s">
        <v>6</v>
      </c>
      <c r="K3" s="10" t="s">
        <v>10</v>
      </c>
      <c r="L3" s="10" t="s">
        <v>15</v>
      </c>
      <c r="M3" s="10" t="s">
        <v>13</v>
      </c>
      <c r="N3" s="10" t="s">
        <v>5</v>
      </c>
      <c r="O3" s="10" t="s">
        <v>9</v>
      </c>
      <c r="P3" s="10" t="s">
        <v>4</v>
      </c>
      <c r="Q3" s="10" t="s">
        <v>3</v>
      </c>
      <c r="R3" s="10" t="s">
        <v>8</v>
      </c>
    </row>
    <row r="4" spans="1:18" x14ac:dyDescent="0.3">
      <c r="A4" t="s">
        <v>22</v>
      </c>
      <c r="B4" s="5">
        <f>SUM('Annexe 1'!B27:B36)</f>
        <v>488.39410850888009</v>
      </c>
      <c r="C4" s="5">
        <f>SUM('Annexe 1'!C27:C36)</f>
        <v>97067.51906980027</v>
      </c>
      <c r="D4" s="5">
        <f>SUM('Annexe 1'!D27:D36)</f>
        <v>5.5172225155128203</v>
      </c>
      <c r="E4" s="5">
        <f>SUM('Annexe 1'!E27:E36)</f>
        <v>3.5484257430913574E-2</v>
      </c>
      <c r="F4" s="5">
        <f>SUM('Annexe 1'!F27:F36)</f>
        <v>511.59601716687888</v>
      </c>
      <c r="G4" s="5">
        <f>SUM('Annexe 1'!G27:G36)</f>
        <v>6.2455559440419466E-2</v>
      </c>
      <c r="H4" s="5">
        <f>SUM('Annexe 1'!H27:H36)</f>
        <v>5.2743096016503697E-3</v>
      </c>
      <c r="I4" s="5">
        <f>SUM('Annexe 1'!I27:I36)</f>
        <v>3.2195700581179487E-2</v>
      </c>
      <c r="J4" s="5">
        <f>SUM('Annexe 1'!J27:J36)</f>
        <v>8.8722993786819935E-4</v>
      </c>
      <c r="K4" s="5">
        <f>SUM('Annexe 1'!K27:K36)</f>
        <v>0.17500521930102222</v>
      </c>
      <c r="L4" s="5">
        <f>SUM('Annexe 1'!L27:L36)</f>
        <v>1.0426942080566E-2</v>
      </c>
      <c r="M4" s="5">
        <f>SUM('Annexe 1'!M27:M36)</f>
        <v>5.7400049096611493E-3</v>
      </c>
      <c r="N4" s="5">
        <f>SUM('Annexe 1'!N27:N36)</f>
        <v>1.2986832931170131</v>
      </c>
      <c r="O4" s="5">
        <f>SUM('Annexe 1'!O27:O36)</f>
        <v>3.1390141102716055E-4</v>
      </c>
      <c r="P4" s="5">
        <f>SUM('Annexe 1'!P27:P36)</f>
        <v>2.4859857783211248</v>
      </c>
      <c r="Q4" s="5">
        <f>SUM('Annexe 1'!Q27:Q36)</f>
        <v>2.9346861578147747E-2</v>
      </c>
      <c r="R4" s="5">
        <f>SUM('Annexe 1'!R27:R36)</f>
        <v>1.3895547053333334E-4</v>
      </c>
    </row>
    <row r="5" spans="1:18" x14ac:dyDescent="0.3">
      <c r="A5" t="s">
        <v>53</v>
      </c>
      <c r="B5" s="5">
        <f>'Annexe 1'!B38</f>
        <v>883.02235809122817</v>
      </c>
      <c r="C5" s="5">
        <f>'Annexe 1'!C38</f>
        <v>464858.6333333333</v>
      </c>
      <c r="D5" s="5">
        <f>'Annexe 1'!D38</f>
        <v>172.3777136752137</v>
      </c>
      <c r="E5" s="5">
        <f>'Annexe 1'!E38</f>
        <v>0.34328862139917693</v>
      </c>
      <c r="F5" s="5">
        <f>'Annexe 1'!F38</f>
        <v>745.36972399150739</v>
      </c>
      <c r="G5" s="5">
        <f>'Annexe 1'!G38</f>
        <v>3.3376015730337077E-2</v>
      </c>
      <c r="H5" s="5">
        <f>'Annexe 1'!H38</f>
        <v>2.4484421111111115E-3</v>
      </c>
      <c r="I5" s="5">
        <f>'Annexe 1'!I38</f>
        <v>2.5072749999999998E-3</v>
      </c>
      <c r="J5" s="5">
        <f>'Annexe 1'!J38</f>
        <v>3.8879727969348661E-3</v>
      </c>
      <c r="K5" s="5">
        <f>'Annexe 1'!K38</f>
        <v>1.4744203703703702E-2</v>
      </c>
      <c r="L5" s="5">
        <f>'Annexe 1'!L38</f>
        <v>2.9915121333333336E-4</v>
      </c>
      <c r="M5" s="5">
        <f>'Annexe 1'!M38</f>
        <v>3.7064612643678154E-4</v>
      </c>
      <c r="N5" s="5">
        <f>'Annexe 1'!N38</f>
        <v>1.9175483703703703E-2</v>
      </c>
      <c r="O5" s="5">
        <f>'Annexe 1'!O38</f>
        <v>1.3589157530864199E-3</v>
      </c>
      <c r="P5" s="5">
        <f>'Annexe 1'!P38</f>
        <v>3.7583133333333338E-2</v>
      </c>
      <c r="Q5" s="5">
        <f>'Annexe 1'!Q38</f>
        <v>3.8788751351351348E-3</v>
      </c>
      <c r="R5" s="5">
        <f>'Annexe 1'!R38</f>
        <v>5.1118369230769231E-4</v>
      </c>
    </row>
    <row r="6" spans="1:18" x14ac:dyDescent="0.3">
      <c r="A6" t="s">
        <v>24</v>
      </c>
      <c r="B6" s="5">
        <f>SUM('Annexe 1'!B40:B42)</f>
        <v>0.83562158954247812</v>
      </c>
      <c r="C6" s="5">
        <f>SUM('Annexe 1'!C40:C42)</f>
        <v>378.14119497413992</v>
      </c>
      <c r="D6" s="5">
        <f>SUM('Annexe 1'!D40:D42)</f>
        <v>1.6354827328205129E-2</v>
      </c>
      <c r="E6" s="5">
        <f>SUM('Annexe 1'!E40:E42)</f>
        <v>9.2575112222222201E-6</v>
      </c>
      <c r="F6" s="5">
        <f>SUM('Annexe 1'!F40:F42)</f>
        <v>0.85597930670912947</v>
      </c>
      <c r="G6" s="5">
        <f>SUM('Annexe 1'!G40:G42)</f>
        <v>7.2340370569288388E-6</v>
      </c>
      <c r="H6" s="5">
        <f>SUM('Annexe 1'!H40:H42)</f>
        <v>5.3583777011111105E-7</v>
      </c>
      <c r="I6" s="5">
        <f>SUM('Annexe 1'!I40:I42)</f>
        <v>2.5092864212820514E-7</v>
      </c>
      <c r="J6" s="5">
        <f>SUM('Annexe 1'!J40:J42)</f>
        <v>9.6718048436781619E-7</v>
      </c>
      <c r="K6" s="5">
        <f>SUM('Annexe 1'!K40:K42)</f>
        <v>5.1269344839506173E-6</v>
      </c>
      <c r="L6" s="5">
        <f>SUM('Annexe 1'!L40:L42)</f>
        <v>7.6507375693333335E-8</v>
      </c>
      <c r="M6" s="5">
        <f>SUM('Annexe 1'!M40:M42)</f>
        <v>1.6418080047126435E-7</v>
      </c>
      <c r="N6" s="5">
        <f>SUM('Annexe 1'!N40:N42)</f>
        <v>1.3193806320987654E-7</v>
      </c>
      <c r="O6" s="5">
        <f>SUM('Annexe 1'!O40:O42)</f>
        <v>5.936200977037037E-6</v>
      </c>
      <c r="P6" s="5">
        <f>SUM('Annexe 1'!P40:P42)</f>
        <v>5.7879142133333328E-7</v>
      </c>
      <c r="Q6" s="5">
        <f>SUM('Annexe 1'!Q40:Q42)</f>
        <v>1.1305095463063063E-6</v>
      </c>
      <c r="R6" s="5">
        <f>SUM('Annexe 1'!R40:R42)</f>
        <v>1.3116424996581198E-7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5"/>
  <sheetViews>
    <sheetView topLeftCell="A24" zoomScale="85" zoomScaleNormal="85" workbookViewId="0">
      <selection activeCell="C44" sqref="C44"/>
    </sheetView>
  </sheetViews>
  <sheetFormatPr baseColWidth="10" defaultRowHeight="14.4" x14ac:dyDescent="0.3"/>
  <cols>
    <col min="1" max="1" width="25.33203125" customWidth="1"/>
    <col min="18" max="18" width="12.109375" customWidth="1"/>
    <col min="19" max="19" width="12.6640625" customWidth="1"/>
    <col min="25" max="25" width="12" customWidth="1"/>
    <col min="26" max="26" width="12.44140625" customWidth="1"/>
  </cols>
  <sheetData>
    <row r="1" spans="1:34" x14ac:dyDescent="0.3">
      <c r="A1" s="46" t="s">
        <v>73</v>
      </c>
      <c r="B1" s="2"/>
      <c r="C1" s="2"/>
      <c r="D1" s="3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34" ht="1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54" t="s">
        <v>77</v>
      </c>
    </row>
    <row r="3" spans="1:34" ht="15.6" thickTop="1" thickBot="1" x14ac:dyDescent="0.35">
      <c r="A3" s="1" t="s">
        <v>0</v>
      </c>
      <c r="B3" s="10" t="s">
        <v>12</v>
      </c>
      <c r="C3" s="10" t="s">
        <v>1</v>
      </c>
      <c r="D3" s="10" t="s">
        <v>23</v>
      </c>
      <c r="E3" s="10" t="s">
        <v>16</v>
      </c>
      <c r="F3" s="10" t="s">
        <v>2</v>
      </c>
      <c r="G3" s="10" t="s">
        <v>14</v>
      </c>
      <c r="H3" s="10" t="s">
        <v>7</v>
      </c>
      <c r="I3" s="10" t="s">
        <v>11</v>
      </c>
      <c r="J3" s="10" t="s">
        <v>6</v>
      </c>
      <c r="K3" s="10" t="s">
        <v>10</v>
      </c>
      <c r="L3" s="10" t="s">
        <v>15</v>
      </c>
      <c r="M3" s="10" t="s">
        <v>13</v>
      </c>
      <c r="N3" s="10" t="s">
        <v>5</v>
      </c>
      <c r="O3" s="10" t="s">
        <v>9</v>
      </c>
      <c r="P3" s="10" t="s">
        <v>4</v>
      </c>
      <c r="Q3" s="10" t="s">
        <v>3</v>
      </c>
      <c r="R3" s="10" t="s">
        <v>8</v>
      </c>
      <c r="S3" s="2"/>
      <c r="T3" s="2"/>
      <c r="U3" s="66" t="s">
        <v>17</v>
      </c>
      <c r="V3" s="67" t="s">
        <v>75</v>
      </c>
    </row>
    <row r="4" spans="1:34" ht="15" thickBot="1" x14ac:dyDescent="0.35">
      <c r="A4" s="4" t="s">
        <v>17</v>
      </c>
      <c r="B4" s="28" t="s">
        <v>18</v>
      </c>
      <c r="C4" s="28" t="s">
        <v>18</v>
      </c>
      <c r="D4" s="28" t="s">
        <v>19</v>
      </c>
      <c r="E4" s="28" t="s">
        <v>21</v>
      </c>
      <c r="F4" s="28" t="s">
        <v>19</v>
      </c>
      <c r="G4" s="28" t="s">
        <v>21</v>
      </c>
      <c r="H4" s="28" t="s">
        <v>21</v>
      </c>
      <c r="I4" s="28" t="s">
        <v>20</v>
      </c>
      <c r="J4" s="28" t="s">
        <v>20</v>
      </c>
      <c r="K4" s="28" t="s">
        <v>21</v>
      </c>
      <c r="L4" s="28" t="s">
        <v>20</v>
      </c>
      <c r="M4" s="28" t="s">
        <v>21</v>
      </c>
      <c r="N4" s="28" t="s">
        <v>20</v>
      </c>
      <c r="O4" s="28" t="s">
        <v>20</v>
      </c>
      <c r="P4" s="28" t="s">
        <v>20</v>
      </c>
      <c r="Q4" s="28" t="s">
        <v>20</v>
      </c>
      <c r="R4" s="28" t="s">
        <v>20</v>
      </c>
      <c r="S4" s="2"/>
      <c r="T4" s="2"/>
      <c r="U4" s="62" t="s">
        <v>20</v>
      </c>
      <c r="V4" s="63">
        <v>1.0000000000000001E-9</v>
      </c>
      <c r="Z4" s="24"/>
      <c r="AA4" s="11"/>
      <c r="AD4" s="27"/>
      <c r="AE4" s="27"/>
    </row>
    <row r="5" spans="1:34" ht="15.75" customHeight="1" thickBot="1" x14ac:dyDescent="0.35">
      <c r="A5" s="39" t="s">
        <v>22</v>
      </c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8"/>
      <c r="S5" s="2"/>
      <c r="T5" s="31"/>
      <c r="U5" s="62" t="s">
        <v>21</v>
      </c>
      <c r="V5" s="42">
        <v>9.9999999999999995E-7</v>
      </c>
    </row>
    <row r="6" spans="1:34" ht="15" customHeight="1" x14ac:dyDescent="0.3">
      <c r="A6" s="32" t="s">
        <v>54</v>
      </c>
      <c r="B6" s="12">
        <v>81.832869999368953</v>
      </c>
      <c r="C6" s="3">
        <v>17448.136221600002</v>
      </c>
      <c r="D6" s="3">
        <v>1117.5898504273503</v>
      </c>
      <c r="E6" s="3">
        <v>3051.3013004115219</v>
      </c>
      <c r="F6" s="3">
        <v>153332.74751592355</v>
      </c>
      <c r="G6" s="3">
        <v>30983.298007490634</v>
      </c>
      <c r="H6" s="3">
        <v>2666.8727229629631</v>
      </c>
      <c r="I6" s="3">
        <v>3487391.6666666665</v>
      </c>
      <c r="J6" s="3">
        <v>142265.46574712644</v>
      </c>
      <c r="K6" s="3">
        <v>7771.489323456788</v>
      </c>
      <c r="L6" s="3">
        <v>405482.41666666669</v>
      </c>
      <c r="M6" s="3">
        <v>333.42527586206899</v>
      </c>
      <c r="N6" s="3">
        <v>211114.48177777772</v>
      </c>
      <c r="O6" s="3">
        <v>58157.267308641982</v>
      </c>
      <c r="P6" s="3">
        <v>866301.81833333324</v>
      </c>
      <c r="Q6" s="3">
        <v>4342061.0954954959</v>
      </c>
      <c r="R6" s="13">
        <v>24743.181982905982</v>
      </c>
      <c r="S6" s="89" t="s">
        <v>70</v>
      </c>
      <c r="U6" s="62" t="s">
        <v>19</v>
      </c>
      <c r="V6" s="63">
        <v>1E-3</v>
      </c>
      <c r="Y6" s="24"/>
      <c r="Z6" s="11"/>
      <c r="AC6" s="27"/>
      <c r="AD6" s="27"/>
    </row>
    <row r="7" spans="1:34" ht="15" thickBot="1" x14ac:dyDescent="0.35">
      <c r="A7" s="33" t="s">
        <v>55</v>
      </c>
      <c r="B7" s="14">
        <v>13.086215061397859</v>
      </c>
      <c r="C7" s="7">
        <v>2690.5612449546661</v>
      </c>
      <c r="D7" s="7">
        <v>88.72021623931623</v>
      </c>
      <c r="E7" s="7">
        <v>170.90621534979422</v>
      </c>
      <c r="F7" s="7">
        <v>17337.072585987258</v>
      </c>
      <c r="G7" s="7">
        <v>316.42018202247192</v>
      </c>
      <c r="H7" s="7">
        <v>23.278398866666674</v>
      </c>
      <c r="I7" s="7">
        <v>20106.395179487175</v>
      </c>
      <c r="J7" s="7">
        <v>18558.703632183904</v>
      </c>
      <c r="K7" s="7">
        <v>345.12261234567899</v>
      </c>
      <c r="L7" s="7">
        <v>3443.0991080000003</v>
      </c>
      <c r="M7" s="7">
        <v>5.8166876597701149</v>
      </c>
      <c r="N7" s="7">
        <v>4489.6500148148143</v>
      </c>
      <c r="O7" s="7">
        <v>7087.4054469135799</v>
      </c>
      <c r="P7" s="7">
        <v>16706.628406666667</v>
      </c>
      <c r="Q7" s="7">
        <v>43599.941189189194</v>
      </c>
      <c r="R7" s="15">
        <v>3333.8622700854694</v>
      </c>
      <c r="S7" s="89"/>
      <c r="U7" s="64" t="s">
        <v>18</v>
      </c>
      <c r="V7" s="65">
        <v>1</v>
      </c>
      <c r="Y7" s="24"/>
      <c r="Z7" s="11"/>
      <c r="AC7" s="27"/>
      <c r="AD7" s="27"/>
    </row>
    <row r="8" spans="1:34" x14ac:dyDescent="0.3">
      <c r="A8" s="33" t="s">
        <v>56</v>
      </c>
      <c r="B8" s="14">
        <v>59.756685664182719</v>
      </c>
      <c r="C8" s="7">
        <v>11356.077803426666</v>
      </c>
      <c r="D8" s="7">
        <v>579.15307692307692</v>
      </c>
      <c r="E8" s="7">
        <v>1393.2625168724278</v>
      </c>
      <c r="F8" s="7">
        <v>58596.715583864112</v>
      </c>
      <c r="G8" s="7">
        <v>1405.1123565543069</v>
      </c>
      <c r="H8" s="7">
        <v>105.15780214814812</v>
      </c>
      <c r="I8" s="7">
        <v>4437034.3358974345</v>
      </c>
      <c r="J8" s="7">
        <v>85324.583831417607</v>
      </c>
      <c r="K8" s="7">
        <v>150288.10691358024</v>
      </c>
      <c r="L8" s="7">
        <v>9526555.3599999994</v>
      </c>
      <c r="M8" s="7">
        <v>4382.7790574712635</v>
      </c>
      <c r="N8" s="7">
        <v>172580.47170370375</v>
      </c>
      <c r="O8" s="7">
        <v>30253.399407407407</v>
      </c>
      <c r="P8" s="7">
        <v>11002141.033333333</v>
      </c>
      <c r="Q8" s="7">
        <v>951003.62954954943</v>
      </c>
      <c r="R8" s="15">
        <v>15087.562499145295</v>
      </c>
      <c r="S8" s="89"/>
      <c r="Y8" s="24"/>
      <c r="Z8" s="11"/>
      <c r="AC8" s="27"/>
      <c r="AD8" s="27"/>
    </row>
    <row r="9" spans="1:34" x14ac:dyDescent="0.3">
      <c r="A9" s="33" t="s">
        <v>57</v>
      </c>
      <c r="B9" s="14">
        <v>60.897330977866453</v>
      </c>
      <c r="C9" s="7">
        <v>12873.364450986666</v>
      </c>
      <c r="D9" s="7">
        <v>1252.7877957264957</v>
      </c>
      <c r="E9" s="7">
        <v>1115.21241563786</v>
      </c>
      <c r="F9" s="7">
        <v>86525.581910828012</v>
      </c>
      <c r="G9" s="7">
        <v>2575.4794906367042</v>
      </c>
      <c r="H9" s="7">
        <v>189.65510666666663</v>
      </c>
      <c r="I9" s="7">
        <v>22007232.974358972</v>
      </c>
      <c r="J9" s="7">
        <v>107479.90666666665</v>
      </c>
      <c r="K9" s="7">
        <v>3092.4443555555558</v>
      </c>
      <c r="L9" s="7">
        <v>110600.14133333332</v>
      </c>
      <c r="M9" s="7">
        <v>136.48682942528734</v>
      </c>
      <c r="N9" s="7">
        <v>1298068702.2222223</v>
      </c>
      <c r="O9" s="7">
        <v>39128.989382716041</v>
      </c>
      <c r="P9" s="7">
        <v>2466482413.333333</v>
      </c>
      <c r="Q9" s="7">
        <v>16671500.731531531</v>
      </c>
      <c r="R9" s="15">
        <v>17744.093473504272</v>
      </c>
      <c r="S9" s="89"/>
      <c r="Y9" s="24"/>
      <c r="Z9" s="11"/>
      <c r="AC9" s="27"/>
      <c r="AD9" s="27"/>
    </row>
    <row r="10" spans="1:34" x14ac:dyDescent="0.3">
      <c r="A10" s="33" t="s">
        <v>58</v>
      </c>
      <c r="B10" s="14">
        <v>1.0883140349804479</v>
      </c>
      <c r="C10" s="7">
        <v>792.94363055226654</v>
      </c>
      <c r="D10" s="7">
        <v>35.822896367521366</v>
      </c>
      <c r="E10" s="7">
        <v>15.837347662551462</v>
      </c>
      <c r="F10" s="7">
        <v>1290.5720628450106</v>
      </c>
      <c r="G10" s="7">
        <v>16.167256898876403</v>
      </c>
      <c r="H10" s="7">
        <v>1.1929521170370367</v>
      </c>
      <c r="I10" s="7">
        <v>498.8009769230768</v>
      </c>
      <c r="J10" s="7">
        <v>1483.7601210727969</v>
      </c>
      <c r="K10" s="7">
        <v>10.288572380246912</v>
      </c>
      <c r="L10" s="7">
        <v>145.63398733333332</v>
      </c>
      <c r="M10" s="7">
        <v>0.34800823126436775</v>
      </c>
      <c r="N10" s="7">
        <v>204.87756118518513</v>
      </c>
      <c r="O10" s="7">
        <v>13232.05674074074</v>
      </c>
      <c r="P10" s="7">
        <v>952.08148566666648</v>
      </c>
      <c r="Q10" s="7">
        <v>2236.57285045045</v>
      </c>
      <c r="R10" s="15">
        <v>202.34821538461537</v>
      </c>
      <c r="S10" s="7"/>
      <c r="Y10" s="24"/>
      <c r="Z10" s="11"/>
      <c r="AC10" s="27"/>
      <c r="AD10" s="27"/>
    </row>
    <row r="11" spans="1:34" ht="15" customHeight="1" x14ac:dyDescent="0.3">
      <c r="A11" s="33" t="s">
        <v>69</v>
      </c>
      <c r="B11" s="14">
        <v>57.793400745868411</v>
      </c>
      <c r="C11" s="7">
        <v>10343.237056704</v>
      </c>
      <c r="D11" s="7">
        <v>548.11974256410247</v>
      </c>
      <c r="E11" s="7">
        <v>6998.5561086419739</v>
      </c>
      <c r="F11" s="7">
        <v>37335.005187261144</v>
      </c>
      <c r="G11" s="7">
        <v>5186.1274714606734</v>
      </c>
      <c r="H11" s="7">
        <v>451.59500995555544</v>
      </c>
      <c r="I11" s="7">
        <v>535212.81784615375</v>
      </c>
      <c r="J11" s="7">
        <v>120283.19746206897</v>
      </c>
      <c r="K11" s="7">
        <v>3058.3627040000006</v>
      </c>
      <c r="L11" s="7">
        <v>90569.436799999996</v>
      </c>
      <c r="M11" s="7">
        <v>201.34514477241376</v>
      </c>
      <c r="N11" s="7">
        <v>53136.862850370366</v>
      </c>
      <c r="O11" s="7">
        <v>31071.213878518516</v>
      </c>
      <c r="P11" s="7">
        <v>1822568.5279999997</v>
      </c>
      <c r="Q11" s="7">
        <v>1751065.5031351354</v>
      </c>
      <c r="R11" s="15">
        <v>16601.578543589741</v>
      </c>
      <c r="S11" s="90" t="s">
        <v>59</v>
      </c>
      <c r="Y11" s="24"/>
      <c r="Z11" s="11"/>
      <c r="AC11" s="27"/>
      <c r="AD11" s="27"/>
    </row>
    <row r="12" spans="1:34" ht="15" customHeight="1" x14ac:dyDescent="0.3">
      <c r="A12" s="33" t="s">
        <v>65</v>
      </c>
      <c r="B12" s="14">
        <v>28.896700372934205</v>
      </c>
      <c r="C12" s="7">
        <v>5171.6185283519999</v>
      </c>
      <c r="D12" s="7">
        <v>274.05987128205123</v>
      </c>
      <c r="E12" s="7">
        <v>3499.2780543209869</v>
      </c>
      <c r="F12" s="7">
        <v>18667.502593630572</v>
      </c>
      <c r="G12" s="7">
        <v>2593.0637357303367</v>
      </c>
      <c r="H12" s="7">
        <v>225.79750497777772</v>
      </c>
      <c r="I12" s="7">
        <v>267606.40892307687</v>
      </c>
      <c r="J12" s="7">
        <v>60141.598731034486</v>
      </c>
      <c r="K12" s="7">
        <v>1529.1813520000003</v>
      </c>
      <c r="L12" s="7">
        <v>45284.718399999998</v>
      </c>
      <c r="M12" s="7">
        <v>100.67257238620688</v>
      </c>
      <c r="N12" s="7">
        <v>26568.431425185183</v>
      </c>
      <c r="O12" s="7">
        <v>15535.606939259258</v>
      </c>
      <c r="P12" s="7">
        <v>911284.26399999985</v>
      </c>
      <c r="Q12" s="7">
        <v>875532.7515675677</v>
      </c>
      <c r="R12" s="15">
        <v>8300.7892717948707</v>
      </c>
      <c r="S12" s="90"/>
      <c r="Y12" s="24"/>
      <c r="Z12" s="11"/>
      <c r="AC12" s="27"/>
      <c r="AD12" s="27"/>
    </row>
    <row r="13" spans="1:34" ht="15" customHeight="1" x14ac:dyDescent="0.3">
      <c r="A13" s="33" t="s">
        <v>66</v>
      </c>
      <c r="B13" s="14">
        <v>65.01757583910198</v>
      </c>
      <c r="C13" s="7">
        <v>11636.141688792</v>
      </c>
      <c r="D13" s="7">
        <v>616.63471038461546</v>
      </c>
      <c r="E13" s="7">
        <v>7873.375622222221</v>
      </c>
      <c r="F13" s="7">
        <v>42001.88083566878</v>
      </c>
      <c r="G13" s="7">
        <v>5834.393405393258</v>
      </c>
      <c r="H13" s="7">
        <v>508.04438619999991</v>
      </c>
      <c r="I13" s="7">
        <v>602114.42007692298</v>
      </c>
      <c r="J13" s="7">
        <v>135318.5971448276</v>
      </c>
      <c r="K13" s="7">
        <v>3440.6580420000005</v>
      </c>
      <c r="L13" s="7">
        <v>101890.61640000001</v>
      </c>
      <c r="M13" s="7">
        <v>226.51328786896553</v>
      </c>
      <c r="N13" s="7">
        <v>59778.970706666667</v>
      </c>
      <c r="O13" s="7">
        <v>34955.115613333335</v>
      </c>
      <c r="P13" s="7">
        <v>2050389.5939999996</v>
      </c>
      <c r="Q13" s="7">
        <v>1969948.6910270273</v>
      </c>
      <c r="R13" s="15">
        <v>18676.775861538459</v>
      </c>
      <c r="S13" s="90"/>
      <c r="Y13" s="24"/>
      <c r="Z13" s="11"/>
      <c r="AC13" s="27"/>
      <c r="AD13" s="27"/>
    </row>
    <row r="14" spans="1:34" ht="15" customHeight="1" x14ac:dyDescent="0.3">
      <c r="A14" s="33" t="s">
        <v>67</v>
      </c>
      <c r="B14" s="14">
        <v>89.098159483213806</v>
      </c>
      <c r="C14" s="7">
        <v>15945.823795751996</v>
      </c>
      <c r="D14" s="7">
        <v>845.01793645299142</v>
      </c>
      <c r="E14" s="7">
        <v>10789.440667489709</v>
      </c>
      <c r="F14" s="7">
        <v>57558.132997027584</v>
      </c>
      <c r="G14" s="7">
        <v>7995.2798518352047</v>
      </c>
      <c r="H14" s="7">
        <v>696.20897368148133</v>
      </c>
      <c r="I14" s="7">
        <v>825119.76084615372</v>
      </c>
      <c r="J14" s="7">
        <v>185436.5960873563</v>
      </c>
      <c r="K14" s="7">
        <v>4714.9758353333327</v>
      </c>
      <c r="L14" s="7">
        <v>139627.88173333331</v>
      </c>
      <c r="M14" s="7">
        <v>310.40709819080456</v>
      </c>
      <c r="N14" s="7">
        <v>81919.330227654311</v>
      </c>
      <c r="O14" s="7">
        <v>47901.45472938272</v>
      </c>
      <c r="P14" s="7">
        <v>2809793.1473333333</v>
      </c>
      <c r="Q14" s="7">
        <v>2699559.3173333332</v>
      </c>
      <c r="R14" s="15">
        <v>25594.10025470085</v>
      </c>
      <c r="S14" s="90"/>
      <c r="Y14" s="24"/>
      <c r="Z14" s="11"/>
      <c r="AC14" s="27"/>
      <c r="AD14" s="27"/>
    </row>
    <row r="15" spans="1:34" ht="15" thickBot="1" x14ac:dyDescent="0.35">
      <c r="A15" s="33" t="s">
        <v>60</v>
      </c>
      <c r="B15" s="14">
        <v>30.926856329965254</v>
      </c>
      <c r="C15" s="7">
        <v>8809.6146486799971</v>
      </c>
      <c r="D15" s="7">
        <v>159.31641914529914</v>
      </c>
      <c r="E15" s="7">
        <v>577.08718230452655</v>
      </c>
      <c r="F15" s="7">
        <v>38950.80589384288</v>
      </c>
      <c r="G15" s="7">
        <v>5550.217682397004</v>
      </c>
      <c r="H15" s="7">
        <v>406.50674407407405</v>
      </c>
      <c r="I15" s="7">
        <v>13383.000407692307</v>
      </c>
      <c r="J15" s="7">
        <v>30937.528444444444</v>
      </c>
      <c r="K15" s="7">
        <v>754.58959037037027</v>
      </c>
      <c r="L15" s="7">
        <v>3342.7761373333328</v>
      </c>
      <c r="M15" s="7">
        <v>42.210947793103443</v>
      </c>
      <c r="N15" s="7">
        <v>4797.81852345679</v>
      </c>
      <c r="O15" s="7">
        <v>36578.901580246915</v>
      </c>
      <c r="P15" s="7">
        <v>23227.892899999999</v>
      </c>
      <c r="Q15" s="7">
        <v>40353.344468468465</v>
      </c>
      <c r="R15" s="15">
        <v>8671.1781606837594</v>
      </c>
      <c r="S15" s="2"/>
      <c r="Y15" s="24"/>
      <c r="Z15" s="11"/>
      <c r="AC15" s="27"/>
      <c r="AD15" s="27"/>
    </row>
    <row r="16" spans="1:34" ht="15" thickBot="1" x14ac:dyDescent="0.35">
      <c r="A16" s="39" t="s">
        <v>53</v>
      </c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0" ht="16.5" customHeight="1" thickBot="1" x14ac:dyDescent="0.35">
      <c r="A17" s="33" t="s">
        <v>68</v>
      </c>
      <c r="B17" s="14">
        <v>883.02235809122817</v>
      </c>
      <c r="C17" s="7">
        <v>464858.6333333333</v>
      </c>
      <c r="D17" s="7">
        <v>172377.71367521369</v>
      </c>
      <c r="E17" s="7">
        <v>343288.62139917695</v>
      </c>
      <c r="F17" s="7">
        <v>745369.72399150732</v>
      </c>
      <c r="G17" s="7">
        <v>33376.01573033708</v>
      </c>
      <c r="H17" s="7">
        <v>2448.4421111111114</v>
      </c>
      <c r="I17" s="7">
        <v>2507274.9999999995</v>
      </c>
      <c r="J17" s="7">
        <v>3887972.7969348659</v>
      </c>
      <c r="K17" s="7">
        <v>14744.203703703703</v>
      </c>
      <c r="L17" s="7">
        <v>299151.21333333332</v>
      </c>
      <c r="M17" s="7">
        <v>370.64612643678157</v>
      </c>
      <c r="N17" s="7">
        <v>19175483.703703701</v>
      </c>
      <c r="O17" s="7">
        <v>1358915.7530864198</v>
      </c>
      <c r="P17" s="7">
        <v>37583133.333333336</v>
      </c>
      <c r="Q17" s="7">
        <v>3878875.1351351347</v>
      </c>
      <c r="R17" s="15">
        <v>511183.69230769231</v>
      </c>
      <c r="S17" s="2"/>
      <c r="U17" s="24"/>
      <c r="V17" s="11"/>
    </row>
    <row r="18" spans="1:30" ht="15" thickBot="1" x14ac:dyDescent="0.35">
      <c r="A18" s="39" t="s">
        <v>24</v>
      </c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8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15" customHeight="1" x14ac:dyDescent="0.3">
      <c r="A19" s="33" t="s">
        <v>71</v>
      </c>
      <c r="B19" s="14">
        <v>0.19782179888995521</v>
      </c>
      <c r="C19" s="7">
        <v>1.6032680748066666</v>
      </c>
      <c r="D19" s="7">
        <v>4.1739037606837601E-2</v>
      </c>
      <c r="E19" s="7">
        <v>3.4109781893004107E-2</v>
      </c>
      <c r="F19" s="7">
        <v>3.0211793205944795</v>
      </c>
      <c r="G19" s="7">
        <v>9.0867947565543058E-3</v>
      </c>
      <c r="H19" s="7">
        <v>6.7192196296296286E-4</v>
      </c>
      <c r="I19" s="7">
        <v>0.68430110256410259</v>
      </c>
      <c r="J19" s="7">
        <v>2.8720399233716472</v>
      </c>
      <c r="K19" s="7">
        <v>1.2693237037037038E-2</v>
      </c>
      <c r="L19" s="7">
        <v>0.19747769333333332</v>
      </c>
      <c r="M19" s="7">
        <v>3.9123725287356313E-4</v>
      </c>
      <c r="N19" s="7">
        <v>0.42277432098765433</v>
      </c>
      <c r="O19" s="7">
        <v>13.069865925925926</v>
      </c>
      <c r="P19" s="7">
        <v>1.7646713333333333</v>
      </c>
      <c r="Q19" s="7">
        <v>2.8520904504504498</v>
      </c>
      <c r="R19" s="15">
        <v>0.34281064957264956</v>
      </c>
      <c r="S19" s="2"/>
      <c r="U19" s="24"/>
      <c r="V19" s="11"/>
      <c r="Y19" s="27"/>
      <c r="Z19" s="27"/>
    </row>
    <row r="20" spans="1:30" x14ac:dyDescent="0.3">
      <c r="A20" s="33" t="s">
        <v>72</v>
      </c>
      <c r="B20" s="14">
        <v>0.1766497758741544</v>
      </c>
      <c r="C20" s="7">
        <v>40.544876439333329</v>
      </c>
      <c r="D20" s="7">
        <v>1.1338947008547009</v>
      </c>
      <c r="E20" s="7">
        <v>2.5126609053497941</v>
      </c>
      <c r="F20" s="7">
        <v>306.10555838641187</v>
      </c>
      <c r="G20" s="7">
        <v>0.37441760299625471</v>
      </c>
      <c r="H20" s="7">
        <v>2.967766296296296E-2</v>
      </c>
      <c r="I20" s="7">
        <v>38.887994871794881</v>
      </c>
      <c r="J20" s="7">
        <v>335.59652873563209</v>
      </c>
      <c r="K20" s="7">
        <v>0.75467667901234559</v>
      </c>
      <c r="L20" s="7">
        <v>14.600580666666668</v>
      </c>
      <c r="M20" s="7">
        <v>1.6328448275862068E-2</v>
      </c>
      <c r="N20" s="7">
        <v>44.702762962962964</v>
      </c>
      <c r="O20" s="7">
        <v>316.32740740740741</v>
      </c>
      <c r="P20" s="7">
        <v>173.60238333333334</v>
      </c>
      <c r="Q20" s="7">
        <v>179.95709549549545</v>
      </c>
      <c r="R20" s="15">
        <v>45.080666666666673</v>
      </c>
      <c r="S20" s="2"/>
      <c r="U20" s="24"/>
      <c r="V20" s="11"/>
      <c r="Y20" s="27"/>
      <c r="Z20" s="27"/>
    </row>
    <row r="21" spans="1:30" ht="15" thickBot="1" x14ac:dyDescent="0.35">
      <c r="A21" s="34" t="s">
        <v>63</v>
      </c>
      <c r="B21" s="8">
        <v>0.46115001477836848</v>
      </c>
      <c r="C21" s="9">
        <v>335.99305045999995</v>
      </c>
      <c r="D21" s="9">
        <v>15.179193589743591</v>
      </c>
      <c r="E21" s="9">
        <v>6.7107405349794229</v>
      </c>
      <c r="F21" s="9">
        <v>546.85256900212312</v>
      </c>
      <c r="G21" s="9">
        <v>6.8505326591760296</v>
      </c>
      <c r="H21" s="9">
        <v>0.50548818518518512</v>
      </c>
      <c r="I21" s="9">
        <v>211.35634615384612</v>
      </c>
      <c r="J21" s="9">
        <v>628.71191570881228</v>
      </c>
      <c r="K21" s="9">
        <v>4.3595645679012343</v>
      </c>
      <c r="L21" s="9">
        <v>61.709317333333331</v>
      </c>
      <c r="M21" s="9">
        <v>0.14746111494252873</v>
      </c>
      <c r="N21" s="9">
        <v>86.812525925925911</v>
      </c>
      <c r="O21" s="9">
        <v>5606.8037037037038</v>
      </c>
      <c r="P21" s="9">
        <v>403.42436666666663</v>
      </c>
      <c r="Q21" s="9">
        <v>947.70036036036026</v>
      </c>
      <c r="R21" s="16">
        <v>85.740772649572648</v>
      </c>
      <c r="S21" s="2"/>
      <c r="U21" s="24"/>
      <c r="V21" s="11"/>
      <c r="Y21" s="27"/>
      <c r="Z21" s="27"/>
    </row>
    <row r="22" spans="1:30" x14ac:dyDescent="0.3">
      <c r="A22" s="24"/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5"/>
      <c r="T22" s="2"/>
      <c r="V22" s="24"/>
      <c r="W22" s="11"/>
    </row>
    <row r="23" spans="1:30" ht="15" thickBot="1" x14ac:dyDescent="0.35">
      <c r="A23" s="61" t="s">
        <v>76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"/>
      <c r="T23" s="2"/>
      <c r="V23" s="24"/>
      <c r="W23" s="11"/>
    </row>
    <row r="24" spans="1:30" ht="15.6" thickTop="1" thickBot="1" x14ac:dyDescent="0.35">
      <c r="A24" s="1" t="s">
        <v>0</v>
      </c>
      <c r="B24" s="10" t="s">
        <v>12</v>
      </c>
      <c r="C24" s="10" t="s">
        <v>1</v>
      </c>
      <c r="D24" s="10" t="s">
        <v>23</v>
      </c>
      <c r="E24" s="10" t="s">
        <v>16</v>
      </c>
      <c r="F24" s="10" t="s">
        <v>2</v>
      </c>
      <c r="G24" s="10" t="s">
        <v>14</v>
      </c>
      <c r="H24" s="10" t="s">
        <v>7</v>
      </c>
      <c r="I24" s="10" t="s">
        <v>11</v>
      </c>
      <c r="J24" s="10" t="s">
        <v>6</v>
      </c>
      <c r="K24" s="10" t="s">
        <v>10</v>
      </c>
      <c r="L24" s="10" t="s">
        <v>15</v>
      </c>
      <c r="M24" s="10" t="s">
        <v>13</v>
      </c>
      <c r="N24" s="10" t="s">
        <v>5</v>
      </c>
      <c r="O24" s="10" t="s">
        <v>9</v>
      </c>
      <c r="P24" s="10" t="s">
        <v>4</v>
      </c>
      <c r="Q24" s="10" t="s">
        <v>3</v>
      </c>
      <c r="R24" s="10" t="s">
        <v>8</v>
      </c>
    </row>
    <row r="25" spans="1:30" ht="15" thickBot="1" x14ac:dyDescent="0.35">
      <c r="A25" s="4" t="s">
        <v>17</v>
      </c>
      <c r="B25" s="28" t="s">
        <v>18</v>
      </c>
      <c r="C25" s="28" t="s">
        <v>18</v>
      </c>
      <c r="D25" s="28" t="s">
        <v>18</v>
      </c>
      <c r="E25" s="28" t="s">
        <v>18</v>
      </c>
      <c r="F25" s="28" t="s">
        <v>18</v>
      </c>
      <c r="G25" s="28" t="s">
        <v>18</v>
      </c>
      <c r="H25" s="28" t="s">
        <v>18</v>
      </c>
      <c r="I25" s="28" t="s">
        <v>18</v>
      </c>
      <c r="J25" s="28" t="s">
        <v>18</v>
      </c>
      <c r="K25" s="28" t="s">
        <v>18</v>
      </c>
      <c r="L25" s="28" t="s">
        <v>18</v>
      </c>
      <c r="M25" s="28" t="s">
        <v>18</v>
      </c>
      <c r="N25" s="28" t="s">
        <v>18</v>
      </c>
      <c r="O25" s="28" t="s">
        <v>18</v>
      </c>
      <c r="P25" s="28" t="s">
        <v>18</v>
      </c>
      <c r="Q25" s="28" t="s">
        <v>18</v>
      </c>
      <c r="R25" s="28" t="s">
        <v>18</v>
      </c>
    </row>
    <row r="26" spans="1:30" ht="15" thickBot="1" x14ac:dyDescent="0.35">
      <c r="A26" s="39" t="s">
        <v>22</v>
      </c>
      <c r="B26" s="47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9"/>
    </row>
    <row r="27" spans="1:30" ht="15" customHeight="1" x14ac:dyDescent="0.3">
      <c r="A27" s="50" t="s">
        <v>54</v>
      </c>
      <c r="B27" s="12">
        <f>B6*VLOOKUP(B$4,$U$3:$V$7,2,0)</f>
        <v>81.832869999368953</v>
      </c>
      <c r="C27" s="3">
        <f t="shared" ref="C27:R36" si="0">C6*VLOOKUP(C$4,$U$3:$V$7,2,0)</f>
        <v>17448.136221600002</v>
      </c>
      <c r="D27" s="3">
        <f t="shared" si="0"/>
        <v>1.1175898504273503</v>
      </c>
      <c r="E27" s="3">
        <f t="shared" si="0"/>
        <v>3.0513013004115218E-3</v>
      </c>
      <c r="F27" s="3">
        <f t="shared" si="0"/>
        <v>153.33274751592356</v>
      </c>
      <c r="G27" s="3">
        <f t="shared" si="0"/>
        <v>3.0983298007490633E-2</v>
      </c>
      <c r="H27" s="3">
        <f t="shared" si="0"/>
        <v>2.6668727229629628E-3</v>
      </c>
      <c r="I27" s="3">
        <f t="shared" si="0"/>
        <v>3.4873916666666666E-3</v>
      </c>
      <c r="J27" s="3">
        <f t="shared" si="0"/>
        <v>1.4226546574712645E-4</v>
      </c>
      <c r="K27" s="3">
        <f t="shared" si="0"/>
        <v>7.7714893234567877E-3</v>
      </c>
      <c r="L27" s="3">
        <f t="shared" si="0"/>
        <v>4.054824166666667E-4</v>
      </c>
      <c r="M27" s="3">
        <f t="shared" si="0"/>
        <v>3.3342527586206896E-4</v>
      </c>
      <c r="N27" s="3">
        <f t="shared" si="0"/>
        <v>2.1111448177777773E-4</v>
      </c>
      <c r="O27" s="3">
        <f t="shared" si="0"/>
        <v>5.8157267308641983E-5</v>
      </c>
      <c r="P27" s="3">
        <f t="shared" si="0"/>
        <v>8.6630181833333327E-4</v>
      </c>
      <c r="Q27" s="3">
        <f t="shared" si="0"/>
        <v>4.3420610954954964E-3</v>
      </c>
      <c r="R27" s="13">
        <f t="shared" si="0"/>
        <v>2.4743181982905985E-5</v>
      </c>
    </row>
    <row r="28" spans="1:30" ht="15" customHeight="1" x14ac:dyDescent="0.3">
      <c r="A28" s="51" t="s">
        <v>55</v>
      </c>
      <c r="B28" s="14">
        <f>B7*VLOOKUP(B$4,$U$3:$V$7,2,0)</f>
        <v>13.086215061397859</v>
      </c>
      <c r="C28" s="7">
        <f t="shared" si="0"/>
        <v>2690.5612449546661</v>
      </c>
      <c r="D28" s="7">
        <f t="shared" si="0"/>
        <v>8.8720216239316238E-2</v>
      </c>
      <c r="E28" s="7">
        <f t="shared" si="0"/>
        <v>1.7090621534979422E-4</v>
      </c>
      <c r="F28" s="7">
        <f t="shared" si="0"/>
        <v>17.337072585987258</v>
      </c>
      <c r="G28" s="7">
        <f t="shared" si="0"/>
        <v>3.1642018202247189E-4</v>
      </c>
      <c r="H28" s="7">
        <f t="shared" si="0"/>
        <v>2.3278398866666671E-5</v>
      </c>
      <c r="I28" s="7">
        <f t="shared" si="0"/>
        <v>2.0106395179487177E-5</v>
      </c>
      <c r="J28" s="7">
        <f t="shared" si="0"/>
        <v>1.8558703632183905E-5</v>
      </c>
      <c r="K28" s="7">
        <f t="shared" si="0"/>
        <v>3.45122612345679E-4</v>
      </c>
      <c r="L28" s="7">
        <f t="shared" si="0"/>
        <v>3.4430991080000007E-6</v>
      </c>
      <c r="M28" s="7">
        <f t="shared" si="0"/>
        <v>5.8166876597701147E-6</v>
      </c>
      <c r="N28" s="7">
        <f t="shared" si="0"/>
        <v>4.4896500148148149E-6</v>
      </c>
      <c r="O28" s="7">
        <f t="shared" si="0"/>
        <v>7.0874054469135807E-6</v>
      </c>
      <c r="P28" s="7">
        <f t="shared" si="0"/>
        <v>1.6706628406666668E-5</v>
      </c>
      <c r="Q28" s="7">
        <f t="shared" si="0"/>
        <v>4.3599941189189194E-5</v>
      </c>
      <c r="R28" s="15">
        <f t="shared" si="0"/>
        <v>3.3338622700854695E-6</v>
      </c>
    </row>
    <row r="29" spans="1:30" x14ac:dyDescent="0.3">
      <c r="A29" s="51" t="s">
        <v>56</v>
      </c>
      <c r="B29" s="14">
        <f t="shared" ref="B29:B36" si="1">B8*VLOOKUP(B$4,$U$3:$V$7,2,0)</f>
        <v>59.756685664182719</v>
      </c>
      <c r="C29" s="7">
        <f t="shared" si="0"/>
        <v>11356.077803426666</v>
      </c>
      <c r="D29" s="7">
        <f t="shared" si="0"/>
        <v>0.57915307692307694</v>
      </c>
      <c r="E29" s="7">
        <f t="shared" si="0"/>
        <v>1.3932625168724278E-3</v>
      </c>
      <c r="F29" s="7">
        <f t="shared" si="0"/>
        <v>58.59671558386411</v>
      </c>
      <c r="G29" s="7">
        <f t="shared" si="0"/>
        <v>1.4051123565543067E-3</v>
      </c>
      <c r="H29" s="7">
        <f t="shared" si="0"/>
        <v>1.0515780214814811E-4</v>
      </c>
      <c r="I29" s="7">
        <f t="shared" si="0"/>
        <v>4.4370343358974352E-3</v>
      </c>
      <c r="J29" s="7">
        <f t="shared" si="0"/>
        <v>8.5324583831417617E-5</v>
      </c>
      <c r="K29" s="7">
        <f t="shared" si="0"/>
        <v>0.15028810691358024</v>
      </c>
      <c r="L29" s="7">
        <f t="shared" si="0"/>
        <v>9.5265553599999993E-3</v>
      </c>
      <c r="M29" s="7">
        <f t="shared" si="0"/>
        <v>4.3827790574712637E-3</v>
      </c>
      <c r="N29" s="7">
        <f t="shared" si="0"/>
        <v>1.7258047170370377E-4</v>
      </c>
      <c r="O29" s="7">
        <f t="shared" si="0"/>
        <v>3.0253399407407409E-5</v>
      </c>
      <c r="P29" s="7">
        <f t="shared" si="0"/>
        <v>1.1002141033333334E-2</v>
      </c>
      <c r="Q29" s="7">
        <f t="shared" si="0"/>
        <v>9.510036295495495E-4</v>
      </c>
      <c r="R29" s="15">
        <f t="shared" si="0"/>
        <v>1.5087562499145296E-5</v>
      </c>
    </row>
    <row r="30" spans="1:30" x14ac:dyDescent="0.3">
      <c r="A30" s="51" t="s">
        <v>57</v>
      </c>
      <c r="B30" s="14">
        <f t="shared" si="1"/>
        <v>60.897330977866453</v>
      </c>
      <c r="C30" s="7">
        <f t="shared" si="0"/>
        <v>12873.364450986666</v>
      </c>
      <c r="D30" s="7">
        <f t="shared" si="0"/>
        <v>1.2527877957264957</v>
      </c>
      <c r="E30" s="7">
        <f t="shared" si="0"/>
        <v>1.1152124156378598E-3</v>
      </c>
      <c r="F30" s="7">
        <f t="shared" si="0"/>
        <v>86.525581910828009</v>
      </c>
      <c r="G30" s="7">
        <f t="shared" si="0"/>
        <v>2.5754794906367039E-3</v>
      </c>
      <c r="H30" s="7">
        <f t="shared" si="0"/>
        <v>1.8965510666666663E-4</v>
      </c>
      <c r="I30" s="7">
        <f t="shared" si="0"/>
        <v>2.2007232974358974E-2</v>
      </c>
      <c r="J30" s="7">
        <f t="shared" si="0"/>
        <v>1.0747990666666665E-4</v>
      </c>
      <c r="K30" s="7">
        <f t="shared" si="0"/>
        <v>3.0924443555555557E-3</v>
      </c>
      <c r="L30" s="7">
        <f t="shared" si="0"/>
        <v>1.1060014133333332E-4</v>
      </c>
      <c r="M30" s="7">
        <f t="shared" si="0"/>
        <v>1.3648682942528733E-4</v>
      </c>
      <c r="N30" s="7">
        <f t="shared" si="0"/>
        <v>1.2980687022222224</v>
      </c>
      <c r="O30" s="7">
        <f t="shared" si="0"/>
        <v>3.9128989382716043E-5</v>
      </c>
      <c r="P30" s="7">
        <f t="shared" si="0"/>
        <v>2.466482413333333</v>
      </c>
      <c r="Q30" s="7">
        <f t="shared" si="0"/>
        <v>1.6671500731531532E-2</v>
      </c>
      <c r="R30" s="15">
        <f t="shared" si="0"/>
        <v>1.7744093473504275E-5</v>
      </c>
    </row>
    <row r="31" spans="1:30" x14ac:dyDescent="0.3">
      <c r="A31" s="51" t="s">
        <v>58</v>
      </c>
      <c r="B31" s="14">
        <f t="shared" si="1"/>
        <v>1.0883140349804479</v>
      </c>
      <c r="C31" s="7">
        <f t="shared" si="0"/>
        <v>792.94363055226654</v>
      </c>
      <c r="D31" s="7">
        <f t="shared" si="0"/>
        <v>3.5822896367521367E-2</v>
      </c>
      <c r="E31" s="7">
        <f t="shared" si="0"/>
        <v>1.5837347662551462E-5</v>
      </c>
      <c r="F31" s="7">
        <f t="shared" si="0"/>
        <v>1.2905720628450106</v>
      </c>
      <c r="G31" s="7">
        <f t="shared" si="0"/>
        <v>1.6167256898876402E-5</v>
      </c>
      <c r="H31" s="7">
        <f t="shared" si="0"/>
        <v>1.1929521170370366E-6</v>
      </c>
      <c r="I31" s="7">
        <f t="shared" si="0"/>
        <v>4.9880097692307685E-7</v>
      </c>
      <c r="J31" s="7">
        <f t="shared" si="0"/>
        <v>1.4837601210727969E-6</v>
      </c>
      <c r="K31" s="7">
        <f t="shared" si="0"/>
        <v>1.028857238024691E-5</v>
      </c>
      <c r="L31" s="7">
        <f t="shared" si="0"/>
        <v>1.4563398733333332E-7</v>
      </c>
      <c r="M31" s="7">
        <f t="shared" si="0"/>
        <v>3.4800823126436771E-7</v>
      </c>
      <c r="N31" s="7">
        <f t="shared" si="0"/>
        <v>2.0487756118518513E-7</v>
      </c>
      <c r="O31" s="7">
        <f t="shared" si="0"/>
        <v>1.3232056740740741E-5</v>
      </c>
      <c r="P31" s="7">
        <f t="shared" si="0"/>
        <v>9.5208148566666652E-7</v>
      </c>
      <c r="Q31" s="7">
        <f t="shared" si="0"/>
        <v>2.2365728504504503E-6</v>
      </c>
      <c r="R31" s="15">
        <f t="shared" si="0"/>
        <v>2.0234821538461539E-7</v>
      </c>
    </row>
    <row r="32" spans="1:30" x14ac:dyDescent="0.3">
      <c r="A32" s="51" t="s">
        <v>69</v>
      </c>
      <c r="B32" s="14">
        <f t="shared" si="1"/>
        <v>57.793400745868411</v>
      </c>
      <c r="C32" s="7">
        <f t="shared" si="0"/>
        <v>10343.237056704</v>
      </c>
      <c r="D32" s="7">
        <f t="shared" si="0"/>
        <v>0.54811974256410245</v>
      </c>
      <c r="E32" s="7">
        <f t="shared" si="0"/>
        <v>6.9985561086419734E-3</v>
      </c>
      <c r="F32" s="7">
        <f t="shared" si="0"/>
        <v>37.335005187261146</v>
      </c>
      <c r="G32" s="7">
        <f t="shared" si="0"/>
        <v>5.186127471460673E-3</v>
      </c>
      <c r="H32" s="7">
        <f t="shared" si="0"/>
        <v>4.5159500995555543E-4</v>
      </c>
      <c r="I32" s="7">
        <f t="shared" si="0"/>
        <v>5.3521281784615373E-4</v>
      </c>
      <c r="J32" s="7">
        <f t="shared" si="0"/>
        <v>1.2028319746206898E-4</v>
      </c>
      <c r="K32" s="7">
        <f t="shared" si="0"/>
        <v>3.0583627040000005E-3</v>
      </c>
      <c r="L32" s="7">
        <f t="shared" si="0"/>
        <v>9.0569436799999999E-5</v>
      </c>
      <c r="M32" s="7">
        <f t="shared" si="0"/>
        <v>2.0134514477241375E-4</v>
      </c>
      <c r="N32" s="7">
        <f t="shared" si="0"/>
        <v>5.3136862850370371E-5</v>
      </c>
      <c r="O32" s="7">
        <f t="shared" si="0"/>
        <v>3.1071213878518521E-5</v>
      </c>
      <c r="P32" s="7">
        <f t="shared" si="0"/>
        <v>1.8225685279999997E-3</v>
      </c>
      <c r="Q32" s="7">
        <f t="shared" si="0"/>
        <v>1.7510655031351356E-3</v>
      </c>
      <c r="R32" s="15">
        <f t="shared" si="0"/>
        <v>1.6601578543589744E-5</v>
      </c>
    </row>
    <row r="33" spans="1:19" ht="15" customHeight="1" x14ac:dyDescent="0.3">
      <c r="A33" s="51" t="s">
        <v>65</v>
      </c>
      <c r="B33" s="14">
        <f t="shared" si="1"/>
        <v>28.896700372934205</v>
      </c>
      <c r="C33" s="7">
        <f t="shared" si="0"/>
        <v>5171.6185283519999</v>
      </c>
      <c r="D33" s="7">
        <f t="shared" si="0"/>
        <v>0.27405987128205123</v>
      </c>
      <c r="E33" s="7">
        <f t="shared" si="0"/>
        <v>3.4992780543209867E-3</v>
      </c>
      <c r="F33" s="7">
        <f t="shared" si="0"/>
        <v>18.667502593630573</v>
      </c>
      <c r="G33" s="7">
        <f t="shared" si="0"/>
        <v>2.5930637357303365E-3</v>
      </c>
      <c r="H33" s="7">
        <f t="shared" si="0"/>
        <v>2.2579750497777771E-4</v>
      </c>
      <c r="I33" s="7">
        <f t="shared" si="0"/>
        <v>2.6760640892307686E-4</v>
      </c>
      <c r="J33" s="7">
        <f t="shared" si="0"/>
        <v>6.014159873103449E-5</v>
      </c>
      <c r="K33" s="7">
        <f t="shared" si="0"/>
        <v>1.5291813520000002E-3</v>
      </c>
      <c r="L33" s="7">
        <f t="shared" si="0"/>
        <v>4.5284718399999999E-5</v>
      </c>
      <c r="M33" s="7">
        <f t="shared" si="0"/>
        <v>1.0067257238620687E-4</v>
      </c>
      <c r="N33" s="7">
        <f t="shared" si="0"/>
        <v>2.6568431425185186E-5</v>
      </c>
      <c r="O33" s="7">
        <f t="shared" si="0"/>
        <v>1.5535606939259261E-5</v>
      </c>
      <c r="P33" s="7">
        <f t="shared" si="0"/>
        <v>9.1128426399999986E-4</v>
      </c>
      <c r="Q33" s="7">
        <f t="shared" si="0"/>
        <v>8.7553275156756778E-4</v>
      </c>
      <c r="R33" s="15">
        <f t="shared" si="0"/>
        <v>8.3007892717948718E-6</v>
      </c>
    </row>
    <row r="34" spans="1:19" x14ac:dyDescent="0.3">
      <c r="A34" s="51" t="s">
        <v>66</v>
      </c>
      <c r="B34" s="14">
        <f t="shared" si="1"/>
        <v>65.01757583910198</v>
      </c>
      <c r="C34" s="7">
        <f t="shared" si="0"/>
        <v>11636.141688792</v>
      </c>
      <c r="D34" s="7">
        <f t="shared" si="0"/>
        <v>0.61663471038461548</v>
      </c>
      <c r="E34" s="7">
        <f t="shared" si="0"/>
        <v>7.8733756222222201E-3</v>
      </c>
      <c r="F34" s="7">
        <f t="shared" si="0"/>
        <v>42.001880835668779</v>
      </c>
      <c r="G34" s="7">
        <f t="shared" si="0"/>
        <v>5.8343934053932574E-3</v>
      </c>
      <c r="H34" s="7">
        <f t="shared" si="0"/>
        <v>5.0804438619999985E-4</v>
      </c>
      <c r="I34" s="7">
        <f t="shared" si="0"/>
        <v>6.0211442007692306E-4</v>
      </c>
      <c r="J34" s="7">
        <f t="shared" si="0"/>
        <v>1.3531859714482761E-4</v>
      </c>
      <c r="K34" s="7">
        <f t="shared" si="0"/>
        <v>3.4406580420000004E-3</v>
      </c>
      <c r="L34" s="7">
        <f t="shared" si="0"/>
        <v>1.0189061640000001E-4</v>
      </c>
      <c r="M34" s="7">
        <f t="shared" si="0"/>
        <v>2.2651328786896553E-4</v>
      </c>
      <c r="N34" s="7">
        <f t="shared" si="0"/>
        <v>5.9778970706666668E-5</v>
      </c>
      <c r="O34" s="7">
        <f t="shared" si="0"/>
        <v>3.495511561333334E-5</v>
      </c>
      <c r="P34" s="7">
        <f t="shared" si="0"/>
        <v>2.0503895939999999E-3</v>
      </c>
      <c r="Q34" s="7">
        <f t="shared" si="0"/>
        <v>1.9699486910270273E-3</v>
      </c>
      <c r="R34" s="15">
        <f t="shared" si="0"/>
        <v>1.867677586153846E-5</v>
      </c>
    </row>
    <row r="35" spans="1:19" x14ac:dyDescent="0.3">
      <c r="A35" s="51" t="s">
        <v>67</v>
      </c>
      <c r="B35" s="14">
        <f t="shared" si="1"/>
        <v>89.098159483213806</v>
      </c>
      <c r="C35" s="7">
        <f t="shared" si="0"/>
        <v>15945.823795751996</v>
      </c>
      <c r="D35" s="7">
        <f t="shared" si="0"/>
        <v>0.84501793645299139</v>
      </c>
      <c r="E35" s="7">
        <f t="shared" si="0"/>
        <v>1.0789440667489708E-2</v>
      </c>
      <c r="F35" s="7">
        <f t="shared" si="0"/>
        <v>57.558132997027585</v>
      </c>
      <c r="G35" s="7">
        <f t="shared" si="0"/>
        <v>7.995279851835204E-3</v>
      </c>
      <c r="H35" s="7">
        <f t="shared" si="0"/>
        <v>6.9620897368148128E-4</v>
      </c>
      <c r="I35" s="7">
        <f t="shared" si="0"/>
        <v>8.2511976084615379E-4</v>
      </c>
      <c r="J35" s="7">
        <f t="shared" si="0"/>
        <v>1.8543659608735632E-4</v>
      </c>
      <c r="K35" s="7">
        <f t="shared" si="0"/>
        <v>4.7149758353333326E-3</v>
      </c>
      <c r="L35" s="7">
        <f t="shared" si="0"/>
        <v>1.3962788173333332E-4</v>
      </c>
      <c r="M35" s="7">
        <f t="shared" si="0"/>
        <v>3.1040709819080457E-4</v>
      </c>
      <c r="N35" s="7">
        <f t="shared" si="0"/>
        <v>8.1919330227654317E-5</v>
      </c>
      <c r="O35" s="7">
        <f t="shared" si="0"/>
        <v>4.7901454729382723E-5</v>
      </c>
      <c r="P35" s="7">
        <f t="shared" si="0"/>
        <v>2.8097931473333336E-3</v>
      </c>
      <c r="Q35" s="7">
        <f t="shared" si="0"/>
        <v>2.6995593173333335E-3</v>
      </c>
      <c r="R35" s="15">
        <f t="shared" si="0"/>
        <v>2.5594100254700852E-5</v>
      </c>
    </row>
    <row r="36" spans="1:19" ht="15" thickBot="1" x14ac:dyDescent="0.35">
      <c r="A36" s="51" t="s">
        <v>60</v>
      </c>
      <c r="B36" s="8">
        <f t="shared" si="1"/>
        <v>30.926856329965254</v>
      </c>
      <c r="C36" s="9">
        <f t="shared" si="0"/>
        <v>8809.6146486799971</v>
      </c>
      <c r="D36" s="9">
        <f t="shared" si="0"/>
        <v>0.15931641914529915</v>
      </c>
      <c r="E36" s="9">
        <f t="shared" si="0"/>
        <v>5.7708718230452651E-4</v>
      </c>
      <c r="F36" s="9">
        <f t="shared" si="0"/>
        <v>38.950805893842883</v>
      </c>
      <c r="G36" s="9">
        <f t="shared" si="0"/>
        <v>5.550217682397004E-3</v>
      </c>
      <c r="H36" s="9">
        <f t="shared" si="0"/>
        <v>4.0650674407407406E-4</v>
      </c>
      <c r="I36" s="9">
        <f t="shared" si="0"/>
        <v>1.3383000407692308E-5</v>
      </c>
      <c r="J36" s="9">
        <f t="shared" si="0"/>
        <v>3.0937528444444445E-5</v>
      </c>
      <c r="K36" s="9">
        <f t="shared" si="0"/>
        <v>7.5458959037037027E-4</v>
      </c>
      <c r="L36" s="9">
        <f t="shared" si="0"/>
        <v>3.342776137333333E-6</v>
      </c>
      <c r="M36" s="9">
        <f t="shared" si="0"/>
        <v>4.2210947793103438E-5</v>
      </c>
      <c r="N36" s="9">
        <f t="shared" si="0"/>
        <v>4.79781852345679E-6</v>
      </c>
      <c r="O36" s="9">
        <f t="shared" si="0"/>
        <v>3.6578901580246916E-5</v>
      </c>
      <c r="P36" s="9">
        <f t="shared" si="0"/>
        <v>2.3227892900000001E-5</v>
      </c>
      <c r="Q36" s="9">
        <f t="shared" si="0"/>
        <v>4.0353344468468471E-5</v>
      </c>
      <c r="R36" s="16">
        <f t="shared" si="0"/>
        <v>8.6711781606837602E-6</v>
      </c>
    </row>
    <row r="37" spans="1:19" ht="15" thickBot="1" x14ac:dyDescent="0.35">
      <c r="A37" s="52" t="s">
        <v>53</v>
      </c>
      <c r="B37" s="55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9" ht="15" thickBot="1" x14ac:dyDescent="0.35">
      <c r="A38" s="51" t="s">
        <v>68</v>
      </c>
      <c r="B38" s="58">
        <f>B17*VLOOKUP(B$4,$U$3:$V$7,2,0)</f>
        <v>883.02235809122817</v>
      </c>
      <c r="C38" s="59">
        <f t="shared" ref="C38:R38" si="2">C17*VLOOKUP(C$4,$U$3:$V$7,2,0)</f>
        <v>464858.6333333333</v>
      </c>
      <c r="D38" s="59">
        <f t="shared" si="2"/>
        <v>172.3777136752137</v>
      </c>
      <c r="E38" s="59">
        <f t="shared" si="2"/>
        <v>0.34328862139917693</v>
      </c>
      <c r="F38" s="59">
        <f t="shared" si="2"/>
        <v>745.36972399150739</v>
      </c>
      <c r="G38" s="59">
        <f t="shared" si="2"/>
        <v>3.3376015730337077E-2</v>
      </c>
      <c r="H38" s="59">
        <f t="shared" si="2"/>
        <v>2.4484421111111115E-3</v>
      </c>
      <c r="I38" s="59">
        <f t="shared" si="2"/>
        <v>2.5072749999999998E-3</v>
      </c>
      <c r="J38" s="59">
        <f t="shared" si="2"/>
        <v>3.8879727969348661E-3</v>
      </c>
      <c r="K38" s="59">
        <f t="shared" si="2"/>
        <v>1.4744203703703702E-2</v>
      </c>
      <c r="L38" s="59">
        <f t="shared" si="2"/>
        <v>2.9915121333333336E-4</v>
      </c>
      <c r="M38" s="59">
        <f t="shared" si="2"/>
        <v>3.7064612643678154E-4</v>
      </c>
      <c r="N38" s="59">
        <f t="shared" si="2"/>
        <v>1.9175483703703703E-2</v>
      </c>
      <c r="O38" s="59">
        <f t="shared" si="2"/>
        <v>1.3589157530864199E-3</v>
      </c>
      <c r="P38" s="59">
        <f t="shared" si="2"/>
        <v>3.7583133333333338E-2</v>
      </c>
      <c r="Q38" s="59">
        <f t="shared" si="2"/>
        <v>3.8788751351351348E-3</v>
      </c>
      <c r="R38" s="60">
        <f t="shared" si="2"/>
        <v>5.1118369230769231E-4</v>
      </c>
    </row>
    <row r="39" spans="1:19" ht="15.75" customHeight="1" thickBot="1" x14ac:dyDescent="0.35">
      <c r="A39" s="52" t="s">
        <v>24</v>
      </c>
      <c r="B39" s="55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7"/>
    </row>
    <row r="40" spans="1:19" x14ac:dyDescent="0.3">
      <c r="A40" s="51" t="s">
        <v>71</v>
      </c>
      <c r="B40" s="12">
        <f>B19*VLOOKUP(B$4,$U$3:$V$7,2,0)</f>
        <v>0.19782179888995521</v>
      </c>
      <c r="C40" s="3">
        <f t="shared" ref="C40:R40" si="3">C19*VLOOKUP(C$4,$U$3:$V$7,2,0)</f>
        <v>1.6032680748066666</v>
      </c>
      <c r="D40" s="3">
        <f t="shared" si="3"/>
        <v>4.1739037606837601E-5</v>
      </c>
      <c r="E40" s="3">
        <f t="shared" si="3"/>
        <v>3.4109781893004104E-8</v>
      </c>
      <c r="F40" s="3">
        <f t="shared" si="3"/>
        <v>3.0211793205944795E-3</v>
      </c>
      <c r="G40" s="3">
        <f t="shared" si="3"/>
        <v>9.086794756554305E-9</v>
      </c>
      <c r="H40" s="3">
        <f t="shared" si="3"/>
        <v>6.7192196296296285E-10</v>
      </c>
      <c r="I40" s="3">
        <f t="shared" si="3"/>
        <v>6.8430110256410268E-10</v>
      </c>
      <c r="J40" s="3">
        <f t="shared" si="3"/>
        <v>2.8720399233716473E-9</v>
      </c>
      <c r="K40" s="3">
        <f t="shared" si="3"/>
        <v>1.2693237037037038E-8</v>
      </c>
      <c r="L40" s="3">
        <f t="shared" si="3"/>
        <v>1.9747769333333332E-10</v>
      </c>
      <c r="M40" s="3">
        <f t="shared" si="3"/>
        <v>3.9123725287356314E-10</v>
      </c>
      <c r="N40" s="3">
        <f t="shared" si="3"/>
        <v>4.2277432098765437E-10</v>
      </c>
      <c r="O40" s="3">
        <f t="shared" si="3"/>
        <v>1.3069865925925927E-8</v>
      </c>
      <c r="P40" s="3">
        <f t="shared" si="3"/>
        <v>1.7646713333333333E-9</v>
      </c>
      <c r="Q40" s="3">
        <f t="shared" si="3"/>
        <v>2.8520904504504498E-9</v>
      </c>
      <c r="R40" s="13">
        <f t="shared" si="3"/>
        <v>3.4281064957264957E-10</v>
      </c>
    </row>
    <row r="41" spans="1:19" x14ac:dyDescent="0.3">
      <c r="A41" s="51" t="s">
        <v>72</v>
      </c>
      <c r="B41" s="14">
        <f t="shared" ref="B41:R42" si="4">B20*VLOOKUP(B$4,$U$3:$V$7,2,0)</f>
        <v>0.1766497758741544</v>
      </c>
      <c r="C41" s="7">
        <f t="shared" si="4"/>
        <v>40.544876439333329</v>
      </c>
      <c r="D41" s="7">
        <f t="shared" si="4"/>
        <v>1.133894700854701E-3</v>
      </c>
      <c r="E41" s="7">
        <f t="shared" si="4"/>
        <v>2.5126609053497942E-6</v>
      </c>
      <c r="F41" s="7">
        <f t="shared" si="4"/>
        <v>0.3061055583864119</v>
      </c>
      <c r="G41" s="7">
        <f t="shared" si="4"/>
        <v>3.7441760299625471E-7</v>
      </c>
      <c r="H41" s="7">
        <f t="shared" si="4"/>
        <v>2.967766296296296E-8</v>
      </c>
      <c r="I41" s="7">
        <f t="shared" si="4"/>
        <v>3.8887994871794885E-8</v>
      </c>
      <c r="J41" s="7">
        <f t="shared" si="4"/>
        <v>3.3559652873563209E-7</v>
      </c>
      <c r="K41" s="7">
        <f t="shared" si="4"/>
        <v>7.5467667901234556E-7</v>
      </c>
      <c r="L41" s="7">
        <f t="shared" si="4"/>
        <v>1.4600580666666669E-8</v>
      </c>
      <c r="M41" s="7">
        <f t="shared" si="4"/>
        <v>1.6328448275862067E-8</v>
      </c>
      <c r="N41" s="7">
        <f t="shared" si="4"/>
        <v>4.4702762962962969E-8</v>
      </c>
      <c r="O41" s="7">
        <f t="shared" si="4"/>
        <v>3.1632740740740743E-7</v>
      </c>
      <c r="P41" s="7">
        <f t="shared" si="4"/>
        <v>1.7360238333333333E-7</v>
      </c>
      <c r="Q41" s="7">
        <f t="shared" si="4"/>
        <v>1.7995709549549546E-7</v>
      </c>
      <c r="R41" s="15">
        <f t="shared" si="4"/>
        <v>4.5080666666666676E-8</v>
      </c>
    </row>
    <row r="42" spans="1:19" ht="15" thickBot="1" x14ac:dyDescent="0.35">
      <c r="A42" s="53" t="s">
        <v>63</v>
      </c>
      <c r="B42" s="8">
        <f t="shared" si="4"/>
        <v>0.46115001477836848</v>
      </c>
      <c r="C42" s="9">
        <f t="shared" si="4"/>
        <v>335.99305045999995</v>
      </c>
      <c r="D42" s="9">
        <f t="shared" si="4"/>
        <v>1.5179193589743591E-2</v>
      </c>
      <c r="E42" s="9">
        <f t="shared" si="4"/>
        <v>6.7107405349794223E-6</v>
      </c>
      <c r="F42" s="9">
        <f t="shared" si="4"/>
        <v>0.54685256900212309</v>
      </c>
      <c r="G42" s="9">
        <f t="shared" si="4"/>
        <v>6.8505326591760294E-6</v>
      </c>
      <c r="H42" s="9">
        <f t="shared" si="4"/>
        <v>5.0548818518518511E-7</v>
      </c>
      <c r="I42" s="9">
        <f t="shared" si="4"/>
        <v>2.1135634615384613E-7</v>
      </c>
      <c r="J42" s="9">
        <f t="shared" si="4"/>
        <v>6.2871191570881235E-7</v>
      </c>
      <c r="K42" s="9">
        <f t="shared" si="4"/>
        <v>4.3595645679012342E-6</v>
      </c>
      <c r="L42" s="9">
        <f t="shared" si="4"/>
        <v>6.1709317333333338E-8</v>
      </c>
      <c r="M42" s="9">
        <f t="shared" si="4"/>
        <v>1.4746111494252873E-7</v>
      </c>
      <c r="N42" s="9">
        <f t="shared" si="4"/>
        <v>8.6812525925925922E-8</v>
      </c>
      <c r="O42" s="9">
        <f t="shared" si="4"/>
        <v>5.6068037037037038E-6</v>
      </c>
      <c r="P42" s="9">
        <f t="shared" si="4"/>
        <v>4.0342436666666666E-7</v>
      </c>
      <c r="Q42" s="9">
        <f t="shared" si="4"/>
        <v>9.477003603603603E-7</v>
      </c>
      <c r="R42" s="16">
        <f t="shared" si="4"/>
        <v>8.574077264957266E-8</v>
      </c>
    </row>
    <row r="43" spans="1:19" x14ac:dyDescent="0.3">
      <c r="B43" s="21"/>
    </row>
    <row r="46" spans="1:19" ht="15.75" customHeight="1" thickBot="1" x14ac:dyDescent="0.35">
      <c r="A46" s="54" t="s">
        <v>78</v>
      </c>
    </row>
    <row r="47" spans="1:19" ht="17.25" customHeight="1" thickTop="1" thickBot="1" x14ac:dyDescent="0.35">
      <c r="A47" s="1" t="s">
        <v>0</v>
      </c>
      <c r="B47" s="10" t="s">
        <v>12</v>
      </c>
      <c r="C47" s="10" t="s">
        <v>1</v>
      </c>
      <c r="D47" s="10" t="s">
        <v>23</v>
      </c>
      <c r="E47" s="10" t="s">
        <v>16</v>
      </c>
      <c r="F47" s="10" t="s">
        <v>2</v>
      </c>
      <c r="G47" s="10" t="s">
        <v>14</v>
      </c>
      <c r="H47" s="10" t="s">
        <v>7</v>
      </c>
      <c r="I47" s="10" t="s">
        <v>11</v>
      </c>
      <c r="J47" s="10" t="s">
        <v>6</v>
      </c>
      <c r="K47" s="10" t="s">
        <v>10</v>
      </c>
      <c r="L47" s="10" t="s">
        <v>15</v>
      </c>
      <c r="M47" s="10" t="s">
        <v>13</v>
      </c>
      <c r="N47" s="10" t="s">
        <v>5</v>
      </c>
      <c r="O47" s="10" t="s">
        <v>9</v>
      </c>
      <c r="P47" s="10" t="s">
        <v>4</v>
      </c>
      <c r="Q47" s="10" t="s">
        <v>3</v>
      </c>
      <c r="R47" s="10" t="s">
        <v>8</v>
      </c>
      <c r="S47" s="68" t="s">
        <v>80</v>
      </c>
    </row>
    <row r="48" spans="1:19" ht="15" thickBot="1" x14ac:dyDescent="0.35">
      <c r="A48" s="4" t="s">
        <v>17</v>
      </c>
      <c r="B48" s="28" t="s">
        <v>79</v>
      </c>
      <c r="C48" s="28" t="s">
        <v>79</v>
      </c>
      <c r="D48" s="28" t="s">
        <v>79</v>
      </c>
      <c r="E48" s="28" t="s">
        <v>79</v>
      </c>
      <c r="F48" s="28" t="s">
        <v>79</v>
      </c>
      <c r="G48" s="28" t="s">
        <v>79</v>
      </c>
      <c r="H48" s="28" t="s">
        <v>79</v>
      </c>
      <c r="I48" s="28" t="s">
        <v>79</v>
      </c>
      <c r="J48" s="28" t="s">
        <v>79</v>
      </c>
      <c r="K48" s="28" t="s">
        <v>79</v>
      </c>
      <c r="L48" s="28" t="s">
        <v>79</v>
      </c>
      <c r="M48" s="28" t="s">
        <v>79</v>
      </c>
      <c r="N48" s="28" t="s">
        <v>79</v>
      </c>
      <c r="O48" s="28" t="s">
        <v>79</v>
      </c>
      <c r="P48" s="28" t="s">
        <v>79</v>
      </c>
      <c r="Q48" s="28" t="s">
        <v>79</v>
      </c>
      <c r="R48" s="28" t="s">
        <v>79</v>
      </c>
      <c r="S48" s="28" t="s">
        <v>81</v>
      </c>
    </row>
    <row r="49" spans="1:35" ht="15" customHeight="1" thickBot="1" x14ac:dyDescent="0.35">
      <c r="A49" s="52" t="s">
        <v>22</v>
      </c>
      <c r="B49" s="36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71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3">
      <c r="A50" s="50" t="s">
        <v>54</v>
      </c>
      <c r="B50" s="14">
        <f>B27*7.6</f>
        <v>621.92981199520398</v>
      </c>
      <c r="C50" s="7">
        <f>C27</f>
        <v>17448.136221600002</v>
      </c>
      <c r="D50" s="7">
        <f>D27*156</f>
        <v>174.34401666666665</v>
      </c>
      <c r="E50" s="7">
        <f>E27*32400</f>
        <v>98.8621621333333</v>
      </c>
      <c r="F50" s="7">
        <f>F27*1.57</f>
        <v>240.7324136</v>
      </c>
      <c r="G50" s="7">
        <f>G27*8900</f>
        <v>275.75135226666663</v>
      </c>
      <c r="H50" s="7">
        <f>H27*18000</f>
        <v>48.003709013333328</v>
      </c>
      <c r="I50" s="7">
        <f>I27*5200</f>
        <v>18.134436666666666</v>
      </c>
      <c r="J50" s="7">
        <f>J27*8700</f>
        <v>1.2377095520000001</v>
      </c>
      <c r="K50" s="7">
        <f>K27*540</f>
        <v>4.1966042346666654</v>
      </c>
      <c r="L50" s="7">
        <f>L27*10000</f>
        <v>4.0548241666666671</v>
      </c>
      <c r="M50" s="7">
        <f>M27*580</f>
        <v>0.19338665999999999</v>
      </c>
      <c r="N50" s="7">
        <f>N27*2700</f>
        <v>0.57000910079999989</v>
      </c>
      <c r="O50" s="7">
        <f>O27*2700</f>
        <v>0.15702462173333334</v>
      </c>
      <c r="P50" s="7">
        <f t="shared" ref="P50:P59" si="5">P27*400</f>
        <v>0.34652072733333328</v>
      </c>
      <c r="Q50" s="7">
        <f t="shared" ref="Q50:Q59" si="6">Q27*37</f>
        <v>0.16065626053333337</v>
      </c>
      <c r="R50" s="7">
        <f t="shared" ref="R50:R59" si="7">R27*390</f>
        <v>9.6498409733333339E-3</v>
      </c>
      <c r="S50" s="72">
        <f>SUM(B50:R50)</f>
        <v>18936.820509106579</v>
      </c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3">
      <c r="A51" s="51" t="s">
        <v>55</v>
      </c>
      <c r="B51" s="14">
        <f t="shared" ref="B51:B65" si="8">B28*7.6</f>
        <v>99.455234466623722</v>
      </c>
      <c r="C51" s="7">
        <f t="shared" ref="C51:C65" si="9">C28</f>
        <v>2690.5612449546661</v>
      </c>
      <c r="D51" s="7">
        <f t="shared" ref="D51:D65" si="10">D28*156</f>
        <v>13.840353733333334</v>
      </c>
      <c r="E51" s="7">
        <f t="shared" ref="E51:E65" si="11">E28*32400</f>
        <v>5.5373613773333332</v>
      </c>
      <c r="F51" s="7">
        <f t="shared" ref="F51:F65" si="12">F28*1.57</f>
        <v>27.219203959999994</v>
      </c>
      <c r="G51" s="7">
        <f t="shared" ref="G51:G65" si="13">G28*8900</f>
        <v>2.81613962</v>
      </c>
      <c r="H51" s="7">
        <f t="shared" ref="H51:H64" si="14">H28*18000</f>
        <v>0.41901117960000006</v>
      </c>
      <c r="I51" s="7">
        <f t="shared" ref="I51:I65" si="15">I28*5200</f>
        <v>0.10455325493333333</v>
      </c>
      <c r="J51" s="7">
        <f t="shared" ref="J51:J65" si="16">J28*8700</f>
        <v>0.16146072159999997</v>
      </c>
      <c r="K51" s="7">
        <f t="shared" ref="K51:K65" si="17">K28*540</f>
        <v>0.18636621066666667</v>
      </c>
      <c r="L51" s="7">
        <f t="shared" ref="L51:L65" si="18">L28*10000</f>
        <v>3.4430991080000008E-2</v>
      </c>
      <c r="M51" s="7">
        <f t="shared" ref="M51:M65" si="19">M28*580</f>
        <v>3.3736788426666667E-3</v>
      </c>
      <c r="N51" s="7">
        <f t="shared" ref="N51:N65" si="20">N28*2700</f>
        <v>1.2122055039999999E-2</v>
      </c>
      <c r="O51" s="7">
        <f t="shared" ref="O51:O59" si="21">O28*2700</f>
        <v>1.913599470666667E-2</v>
      </c>
      <c r="P51" s="7">
        <f t="shared" si="5"/>
        <v>6.6826513626666671E-3</v>
      </c>
      <c r="Q51" s="7">
        <f t="shared" si="6"/>
        <v>1.6131978240000002E-3</v>
      </c>
      <c r="R51" s="7">
        <f t="shared" si="7"/>
        <v>1.3002062853333331E-3</v>
      </c>
      <c r="S51" s="73">
        <f t="shared" ref="S51:S65" si="22">SUM(B51:R51)</f>
        <v>2840.3795882538975</v>
      </c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x14ac:dyDescent="0.3">
      <c r="A52" s="51" t="s">
        <v>56</v>
      </c>
      <c r="B52" s="14">
        <f t="shared" si="8"/>
        <v>454.15081104778864</v>
      </c>
      <c r="C52" s="7">
        <f t="shared" si="9"/>
        <v>11356.077803426666</v>
      </c>
      <c r="D52" s="7">
        <f t="shared" si="10"/>
        <v>90.347880000000004</v>
      </c>
      <c r="E52" s="7">
        <f t="shared" si="11"/>
        <v>45.141705546666664</v>
      </c>
      <c r="F52" s="7">
        <f t="shared" si="12"/>
        <v>91.996843466666661</v>
      </c>
      <c r="G52" s="7">
        <f t="shared" si="13"/>
        <v>12.505499973333329</v>
      </c>
      <c r="H52" s="7">
        <f t="shared" si="14"/>
        <v>1.892840438666666</v>
      </c>
      <c r="I52" s="7">
        <f t="shared" si="15"/>
        <v>23.072578546666662</v>
      </c>
      <c r="J52" s="7">
        <f t="shared" si="16"/>
        <v>0.74232387933333321</v>
      </c>
      <c r="K52" s="7">
        <f t="shared" si="17"/>
        <v>81.155577733333331</v>
      </c>
      <c r="L52" s="7">
        <f t="shared" si="18"/>
        <v>95.26555359999999</v>
      </c>
      <c r="M52" s="7">
        <f t="shared" si="19"/>
        <v>2.5420118533333329</v>
      </c>
      <c r="N52" s="7">
        <f t="shared" si="20"/>
        <v>0.46596727360000018</v>
      </c>
      <c r="O52" s="7">
        <f t="shared" si="21"/>
        <v>8.1684178400000002E-2</v>
      </c>
      <c r="P52" s="7">
        <f t="shared" si="5"/>
        <v>4.4008564133333339</v>
      </c>
      <c r="Q52" s="7">
        <f t="shared" si="6"/>
        <v>3.5187134293333332E-2</v>
      </c>
      <c r="R52" s="7">
        <f t="shared" si="7"/>
        <v>5.8841493746666657E-3</v>
      </c>
      <c r="S52" s="73">
        <f t="shared" si="22"/>
        <v>12259.881008661454</v>
      </c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x14ac:dyDescent="0.3">
      <c r="A53" s="51" t="s">
        <v>57</v>
      </c>
      <c r="B53" s="14">
        <f t="shared" si="8"/>
        <v>462.81971543178503</v>
      </c>
      <c r="C53" s="7">
        <f t="shared" si="9"/>
        <v>12873.364450986666</v>
      </c>
      <c r="D53" s="7">
        <f t="shared" si="10"/>
        <v>195.43489613333332</v>
      </c>
      <c r="E53" s="7">
        <f t="shared" si="11"/>
        <v>36.132882266666655</v>
      </c>
      <c r="F53" s="7">
        <f t="shared" si="12"/>
        <v>135.84516359999998</v>
      </c>
      <c r="G53" s="7">
        <f t="shared" si="13"/>
        <v>22.921767466666665</v>
      </c>
      <c r="H53" s="7">
        <f t="shared" si="14"/>
        <v>3.4137919199999991</v>
      </c>
      <c r="I53" s="7">
        <f t="shared" si="15"/>
        <v>114.43761146666667</v>
      </c>
      <c r="J53" s="7">
        <f t="shared" si="16"/>
        <v>0.93507518799999989</v>
      </c>
      <c r="K53" s="7">
        <f t="shared" si="17"/>
        <v>1.6699199520000001</v>
      </c>
      <c r="L53" s="7">
        <f t="shared" si="18"/>
        <v>1.1060014133333331</v>
      </c>
      <c r="M53" s="7">
        <f t="shared" si="19"/>
        <v>7.9162361066666645E-2</v>
      </c>
      <c r="N53" s="7">
        <f t="shared" si="20"/>
        <v>3504.7854960000004</v>
      </c>
      <c r="O53" s="7">
        <f t="shared" si="21"/>
        <v>0.10564827133333332</v>
      </c>
      <c r="P53" s="7">
        <f t="shared" si="5"/>
        <v>986.59296533333315</v>
      </c>
      <c r="Q53" s="7">
        <f t="shared" si="6"/>
        <v>0.61684552706666673</v>
      </c>
      <c r="R53" s="7">
        <f t="shared" si="7"/>
        <v>6.9201964546666671E-3</v>
      </c>
      <c r="S53" s="73">
        <f t="shared" si="22"/>
        <v>18340.268313514374</v>
      </c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x14ac:dyDescent="0.3">
      <c r="A54" s="51" t="s">
        <v>58</v>
      </c>
      <c r="B54" s="14">
        <f t="shared" si="8"/>
        <v>8.2711866658514026</v>
      </c>
      <c r="C54" s="7">
        <f t="shared" si="9"/>
        <v>792.94363055226654</v>
      </c>
      <c r="D54" s="7">
        <f t="shared" si="10"/>
        <v>5.5883718333333334</v>
      </c>
      <c r="E54" s="7">
        <f t="shared" si="11"/>
        <v>0.51313006426666741</v>
      </c>
      <c r="F54" s="7">
        <f t="shared" si="12"/>
        <v>2.0261981386666665</v>
      </c>
      <c r="G54" s="7">
        <f t="shared" si="13"/>
        <v>0.14388858639999996</v>
      </c>
      <c r="H54" s="7">
        <f t="shared" si="14"/>
        <v>2.1473138106666661E-2</v>
      </c>
      <c r="I54" s="7">
        <f t="shared" si="15"/>
        <v>2.5937650799999997E-3</v>
      </c>
      <c r="J54" s="7">
        <f t="shared" si="16"/>
        <v>1.2908713053333333E-2</v>
      </c>
      <c r="K54" s="7">
        <f t="shared" si="17"/>
        <v>5.5558290853333315E-3</v>
      </c>
      <c r="L54" s="7">
        <f t="shared" si="18"/>
        <v>1.4563398733333332E-3</v>
      </c>
      <c r="M54" s="7">
        <f t="shared" si="19"/>
        <v>2.0184477413333327E-4</v>
      </c>
      <c r="N54" s="7">
        <f t="shared" si="20"/>
        <v>5.5316941519999987E-4</v>
      </c>
      <c r="O54" s="7">
        <f t="shared" si="21"/>
        <v>3.5726553199999997E-2</v>
      </c>
      <c r="P54" s="7">
        <f t="shared" si="5"/>
        <v>3.8083259426666659E-4</v>
      </c>
      <c r="Q54" s="7">
        <f t="shared" si="6"/>
        <v>8.2753195466666655E-5</v>
      </c>
      <c r="R54" s="7">
        <f t="shared" si="7"/>
        <v>7.8915803999999998E-5</v>
      </c>
      <c r="S54" s="73">
        <f t="shared" si="22"/>
        <v>809.56741769496614</v>
      </c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x14ac:dyDescent="0.3">
      <c r="A55" s="51" t="s">
        <v>69</v>
      </c>
      <c r="B55" s="14">
        <f t="shared" si="8"/>
        <v>439.22984566859992</v>
      </c>
      <c r="C55" s="7">
        <f t="shared" si="9"/>
        <v>10343.237056704</v>
      </c>
      <c r="D55" s="7">
        <f t="shared" si="10"/>
        <v>85.506679839999975</v>
      </c>
      <c r="E55" s="7">
        <f t="shared" si="11"/>
        <v>226.75321791999994</v>
      </c>
      <c r="F55" s="7">
        <f t="shared" si="12"/>
        <v>58.615958144000004</v>
      </c>
      <c r="G55" s="7">
        <f t="shared" si="13"/>
        <v>46.156534495999992</v>
      </c>
      <c r="H55" s="7">
        <f t="shared" si="14"/>
        <v>8.1287101791999969</v>
      </c>
      <c r="I55" s="7">
        <f t="shared" si="15"/>
        <v>2.7831066527999995</v>
      </c>
      <c r="J55" s="7">
        <f t="shared" si="16"/>
        <v>1.0464638179200001</v>
      </c>
      <c r="K55" s="7">
        <f t="shared" si="17"/>
        <v>1.6515158601600002</v>
      </c>
      <c r="L55" s="7">
        <f t="shared" si="18"/>
        <v>0.90569436800000003</v>
      </c>
      <c r="M55" s="7">
        <f t="shared" si="19"/>
        <v>0.11678018396799997</v>
      </c>
      <c r="N55" s="7">
        <f t="shared" si="20"/>
        <v>0.14346952969599999</v>
      </c>
      <c r="O55" s="7">
        <f t="shared" si="21"/>
        <v>8.389227747200001E-2</v>
      </c>
      <c r="P55" s="7">
        <f t="shared" si="5"/>
        <v>0.72902741119999992</v>
      </c>
      <c r="Q55" s="7">
        <f t="shared" si="6"/>
        <v>6.4789423616000014E-2</v>
      </c>
      <c r="R55" s="7">
        <f t="shared" si="7"/>
        <v>6.4746156319999996E-3</v>
      </c>
      <c r="S55" s="73">
        <f t="shared" si="22"/>
        <v>11215.159217092265</v>
      </c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x14ac:dyDescent="0.3">
      <c r="A56" s="51" t="s">
        <v>65</v>
      </c>
      <c r="B56" s="14">
        <f t="shared" si="8"/>
        <v>219.61492283429996</v>
      </c>
      <c r="C56" s="7">
        <f t="shared" si="9"/>
        <v>5171.6185283519999</v>
      </c>
      <c r="D56" s="7">
        <f t="shared" si="10"/>
        <v>42.753339919999988</v>
      </c>
      <c r="E56" s="7">
        <f t="shared" si="11"/>
        <v>113.37660895999997</v>
      </c>
      <c r="F56" s="7">
        <f t="shared" si="12"/>
        <v>29.307979072000002</v>
      </c>
      <c r="G56" s="7">
        <f t="shared" si="13"/>
        <v>23.078267247999996</v>
      </c>
      <c r="H56" s="7">
        <f t="shared" si="14"/>
        <v>4.0643550895999985</v>
      </c>
      <c r="I56" s="7">
        <f t="shared" si="15"/>
        <v>1.3915533263999997</v>
      </c>
      <c r="J56" s="7">
        <f t="shared" si="16"/>
        <v>0.52323190896000005</v>
      </c>
      <c r="K56" s="7">
        <f t="shared" si="17"/>
        <v>0.82575793008000009</v>
      </c>
      <c r="L56" s="7">
        <f t="shared" si="18"/>
        <v>0.45284718400000001</v>
      </c>
      <c r="M56" s="7">
        <f t="shared" si="19"/>
        <v>5.8390091983999984E-2</v>
      </c>
      <c r="N56" s="7">
        <f t="shared" si="20"/>
        <v>7.1734764847999996E-2</v>
      </c>
      <c r="O56" s="7">
        <f t="shared" si="21"/>
        <v>4.1946138736000005E-2</v>
      </c>
      <c r="P56" s="7">
        <f t="shared" si="5"/>
        <v>0.36451370559999996</v>
      </c>
      <c r="Q56" s="7">
        <f t="shared" si="6"/>
        <v>3.2394711808000007E-2</v>
      </c>
      <c r="R56" s="7">
        <f t="shared" si="7"/>
        <v>3.2373078159999998E-3</v>
      </c>
      <c r="S56" s="73">
        <f t="shared" si="22"/>
        <v>5607.5796085461325</v>
      </c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ht="15" customHeight="1" x14ac:dyDescent="0.3">
      <c r="A57" s="51" t="s">
        <v>66</v>
      </c>
      <c r="B57" s="14">
        <f t="shared" si="8"/>
        <v>494.13357637717502</v>
      </c>
      <c r="C57" s="7">
        <f t="shared" si="9"/>
        <v>11636.141688792</v>
      </c>
      <c r="D57" s="7">
        <f t="shared" si="10"/>
        <v>96.195014820000011</v>
      </c>
      <c r="E57" s="7">
        <f t="shared" si="11"/>
        <v>255.09737015999994</v>
      </c>
      <c r="F57" s="7">
        <f t="shared" si="12"/>
        <v>65.942952911999981</v>
      </c>
      <c r="G57" s="7">
        <f t="shared" si="13"/>
        <v>51.926101307999993</v>
      </c>
      <c r="H57" s="7">
        <f t="shared" si="14"/>
        <v>9.1447989515999968</v>
      </c>
      <c r="I57" s="7">
        <f t="shared" si="15"/>
        <v>3.1309949844</v>
      </c>
      <c r="J57" s="7">
        <f t="shared" si="16"/>
        <v>1.1772717951600002</v>
      </c>
      <c r="K57" s="7">
        <f t="shared" si="17"/>
        <v>1.8579553426800002</v>
      </c>
      <c r="L57" s="7">
        <f t="shared" si="18"/>
        <v>1.0189061640000001</v>
      </c>
      <c r="M57" s="7">
        <f t="shared" si="19"/>
        <v>0.131377706964</v>
      </c>
      <c r="N57" s="7">
        <f t="shared" si="20"/>
        <v>0.16140322090799999</v>
      </c>
      <c r="O57" s="7">
        <f t="shared" si="21"/>
        <v>9.4378812156000011E-2</v>
      </c>
      <c r="P57" s="7">
        <f t="shared" si="5"/>
        <v>0.82015583759999999</v>
      </c>
      <c r="Q57" s="7">
        <f t="shared" si="6"/>
        <v>7.2888101568000005E-2</v>
      </c>
      <c r="R57" s="7">
        <f t="shared" si="7"/>
        <v>7.2839425859999992E-3</v>
      </c>
      <c r="S57" s="73">
        <f t="shared" si="22"/>
        <v>12617.054119228798</v>
      </c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x14ac:dyDescent="0.3">
      <c r="A58" s="51" t="s">
        <v>67</v>
      </c>
      <c r="B58" s="14">
        <f t="shared" si="8"/>
        <v>677.14601207242492</v>
      </c>
      <c r="C58" s="7">
        <f t="shared" si="9"/>
        <v>15945.823795751996</v>
      </c>
      <c r="D58" s="7">
        <f t="shared" si="10"/>
        <v>131.82279808666667</v>
      </c>
      <c r="E58" s="7">
        <f t="shared" si="11"/>
        <v>349.57787762666658</v>
      </c>
      <c r="F58" s="7">
        <f t="shared" si="12"/>
        <v>90.366268805333306</v>
      </c>
      <c r="G58" s="7">
        <f t="shared" si="13"/>
        <v>71.157990681333317</v>
      </c>
      <c r="H58" s="7">
        <f t="shared" si="14"/>
        <v>12.531761526266664</v>
      </c>
      <c r="I58" s="7">
        <f t="shared" si="15"/>
        <v>4.2906227563999995</v>
      </c>
      <c r="J58" s="7">
        <f t="shared" si="16"/>
        <v>1.6132983859600001</v>
      </c>
      <c r="K58" s="7">
        <f t="shared" si="17"/>
        <v>2.5460869510799995</v>
      </c>
      <c r="L58" s="7">
        <f t="shared" si="18"/>
        <v>1.3962788173333331</v>
      </c>
      <c r="M58" s="7">
        <f t="shared" si="19"/>
        <v>0.18003611695066665</v>
      </c>
      <c r="N58" s="7">
        <f t="shared" si="20"/>
        <v>0.22118219161466665</v>
      </c>
      <c r="O58" s="7">
        <f t="shared" si="21"/>
        <v>0.12933392776933336</v>
      </c>
      <c r="P58" s="7">
        <f t="shared" si="5"/>
        <v>1.1239172589333335</v>
      </c>
      <c r="Q58" s="7">
        <f t="shared" si="6"/>
        <v>9.9883694741333337E-2</v>
      </c>
      <c r="R58" s="7">
        <f t="shared" si="7"/>
        <v>9.9816990993333316E-3</v>
      </c>
      <c r="S58" s="73">
        <f t="shared" si="22"/>
        <v>17290.037126350573</v>
      </c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ht="15" thickBot="1" x14ac:dyDescent="0.35">
      <c r="A59" s="51" t="s">
        <v>60</v>
      </c>
      <c r="B59" s="14">
        <f t="shared" si="8"/>
        <v>235.04410810773592</v>
      </c>
      <c r="C59" s="7">
        <f t="shared" si="9"/>
        <v>8809.6146486799971</v>
      </c>
      <c r="D59" s="7">
        <f t="shared" si="10"/>
        <v>24.853361386666666</v>
      </c>
      <c r="E59" s="7">
        <f t="shared" si="11"/>
        <v>18.697624706666659</v>
      </c>
      <c r="F59" s="7">
        <f t="shared" si="12"/>
        <v>61.152765253333328</v>
      </c>
      <c r="G59" s="7">
        <f t="shared" si="13"/>
        <v>49.396937373333337</v>
      </c>
      <c r="H59" s="7">
        <f t="shared" si="14"/>
        <v>7.3171213933333332</v>
      </c>
      <c r="I59" s="7">
        <f t="shared" si="15"/>
        <v>6.9591602119999998E-2</v>
      </c>
      <c r="J59" s="7">
        <f t="shared" si="16"/>
        <v>0.26915649746666664</v>
      </c>
      <c r="K59" s="7">
        <f t="shared" si="17"/>
        <v>0.40747837879999993</v>
      </c>
      <c r="L59" s="7">
        <f t="shared" si="18"/>
        <v>3.342776137333333E-2</v>
      </c>
      <c r="M59" s="7">
        <f t="shared" si="19"/>
        <v>2.4482349719999994E-2</v>
      </c>
      <c r="N59" s="7">
        <f t="shared" si="20"/>
        <v>1.2954110013333332E-2</v>
      </c>
      <c r="O59" s="7">
        <f t="shared" si="21"/>
        <v>9.8763034266666674E-2</v>
      </c>
      <c r="P59" s="7">
        <f t="shared" si="5"/>
        <v>9.2911571600000006E-3</v>
      </c>
      <c r="Q59" s="7">
        <f t="shared" si="6"/>
        <v>1.4930737453333334E-3</v>
      </c>
      <c r="R59" s="7">
        <f t="shared" si="7"/>
        <v>3.3817594826666664E-3</v>
      </c>
      <c r="S59" s="74">
        <f t="shared" si="22"/>
        <v>9207.0065866252116</v>
      </c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ht="15" thickBot="1" x14ac:dyDescent="0.35">
      <c r="A60" s="52" t="s">
        <v>53</v>
      </c>
      <c r="B60" s="36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75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ht="15" thickBot="1" x14ac:dyDescent="0.35">
      <c r="A61" s="51" t="s">
        <v>68</v>
      </c>
      <c r="B61" s="14">
        <f t="shared" si="8"/>
        <v>6710.9699214933335</v>
      </c>
      <c r="C61" s="7">
        <f t="shared" si="9"/>
        <v>464858.6333333333</v>
      </c>
      <c r="D61" s="7">
        <f t="shared" si="10"/>
        <v>26890.923333333336</v>
      </c>
      <c r="E61" s="7">
        <f t="shared" si="11"/>
        <v>11122.551333333333</v>
      </c>
      <c r="F61" s="7">
        <f t="shared" si="12"/>
        <v>1170.2304666666666</v>
      </c>
      <c r="G61" s="7">
        <f t="shared" si="13"/>
        <v>297.04653999999999</v>
      </c>
      <c r="H61" s="7">
        <f t="shared" si="14"/>
        <v>44.071958000000009</v>
      </c>
      <c r="I61" s="7">
        <f t="shared" si="15"/>
        <v>13.03783</v>
      </c>
      <c r="J61" s="7">
        <f t="shared" si="16"/>
        <v>33.825363333333335</v>
      </c>
      <c r="K61" s="7">
        <f t="shared" si="17"/>
        <v>7.9618699999999993</v>
      </c>
      <c r="L61" s="7">
        <f t="shared" si="18"/>
        <v>2.9915121333333334</v>
      </c>
      <c r="M61" s="7">
        <f t="shared" si="19"/>
        <v>0.2149747533333333</v>
      </c>
      <c r="N61" s="7">
        <f t="shared" si="20"/>
        <v>51.773806</v>
      </c>
      <c r="O61" s="7">
        <f>O38*2700</f>
        <v>3.6690725333333338</v>
      </c>
      <c r="P61" s="7">
        <f>P38*400</f>
        <v>15.033253333333334</v>
      </c>
      <c r="Q61" s="7">
        <f>Q38*37</f>
        <v>0.14351838</v>
      </c>
      <c r="R61" s="7">
        <f>R38*390</f>
        <v>0.19936164000000001</v>
      </c>
      <c r="S61" s="76">
        <f t="shared" si="22"/>
        <v>511223.27744826669</v>
      </c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ht="15" thickBot="1" x14ac:dyDescent="0.35">
      <c r="A62" s="52" t="s">
        <v>24</v>
      </c>
      <c r="B62" s="36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75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x14ac:dyDescent="0.3">
      <c r="A63" s="51" t="s">
        <v>71</v>
      </c>
      <c r="B63" s="14">
        <f t="shared" si="8"/>
        <v>1.5034456715636595</v>
      </c>
      <c r="C63" s="7">
        <f t="shared" si="9"/>
        <v>1.6032680748066666</v>
      </c>
      <c r="D63" s="7">
        <f t="shared" si="10"/>
        <v>6.5112898666666655E-3</v>
      </c>
      <c r="E63" s="7">
        <f t="shared" si="11"/>
        <v>1.1051569333333331E-3</v>
      </c>
      <c r="F63" s="7">
        <f t="shared" si="12"/>
        <v>4.7432515333333328E-3</v>
      </c>
      <c r="G63" s="7">
        <f t="shared" si="13"/>
        <v>8.0872473333333311E-5</v>
      </c>
      <c r="H63" s="7">
        <f t="shared" si="14"/>
        <v>1.2094595333333332E-5</v>
      </c>
      <c r="I63" s="7">
        <f t="shared" si="15"/>
        <v>3.5583657333333339E-6</v>
      </c>
      <c r="J63" s="7">
        <f t="shared" si="16"/>
        <v>2.4986747333333331E-5</v>
      </c>
      <c r="K63" s="7">
        <f t="shared" si="17"/>
        <v>6.8543480000000002E-6</v>
      </c>
      <c r="L63" s="7">
        <f t="shared" si="18"/>
        <v>1.9747769333333331E-6</v>
      </c>
      <c r="M63" s="7">
        <f t="shared" si="19"/>
        <v>2.2691760666666662E-7</v>
      </c>
      <c r="N63" s="7">
        <f t="shared" si="20"/>
        <v>1.1414906666666668E-6</v>
      </c>
      <c r="O63" s="7">
        <f>O40*2700</f>
        <v>3.5288638000000004E-5</v>
      </c>
      <c r="P63" s="7">
        <f>P40*400</f>
        <v>7.0586853333333338E-7</v>
      </c>
      <c r="Q63" s="7">
        <f>Q40*37</f>
        <v>1.0552734666666664E-7</v>
      </c>
      <c r="R63" s="7">
        <f>R40*390</f>
        <v>1.3369615333333333E-7</v>
      </c>
      <c r="S63" s="72">
        <f t="shared" si="22"/>
        <v>3.1192413881486329</v>
      </c>
    </row>
    <row r="64" spans="1:35" x14ac:dyDescent="0.3">
      <c r="A64" s="51" t="s">
        <v>72</v>
      </c>
      <c r="B64" s="14">
        <f t="shared" si="8"/>
        <v>1.3425382966435733</v>
      </c>
      <c r="C64" s="7">
        <f t="shared" si="9"/>
        <v>40.544876439333329</v>
      </c>
      <c r="D64" s="7">
        <f t="shared" si="10"/>
        <v>0.17688757333333335</v>
      </c>
      <c r="E64" s="7">
        <f t="shared" si="11"/>
        <v>8.1410213333333328E-2</v>
      </c>
      <c r="F64" s="7">
        <f t="shared" si="12"/>
        <v>0.48058572666666671</v>
      </c>
      <c r="G64" s="7">
        <f t="shared" si="13"/>
        <v>3.3323166666666668E-3</v>
      </c>
      <c r="H64" s="7">
        <f t="shared" si="14"/>
        <v>5.3419793333333329E-4</v>
      </c>
      <c r="I64" s="7">
        <f t="shared" si="15"/>
        <v>2.022175733333334E-4</v>
      </c>
      <c r="J64" s="7">
        <f t="shared" si="16"/>
        <v>2.919689799999999E-3</v>
      </c>
      <c r="K64" s="7">
        <f t="shared" si="17"/>
        <v>4.0752540666666659E-4</v>
      </c>
      <c r="L64" s="7">
        <f t="shared" si="18"/>
        <v>1.460058066666667E-4</v>
      </c>
      <c r="M64" s="7">
        <f t="shared" si="19"/>
        <v>9.4704999999999985E-6</v>
      </c>
      <c r="N64" s="7">
        <f t="shared" si="20"/>
        <v>1.2069746000000002E-4</v>
      </c>
      <c r="O64" s="7">
        <f>O41*2700</f>
        <v>8.5408400000000007E-4</v>
      </c>
      <c r="P64" s="7">
        <f>P41*400</f>
        <v>6.9440953333333336E-5</v>
      </c>
      <c r="Q64" s="7">
        <f>Q41*37</f>
        <v>6.6584125333333321E-6</v>
      </c>
      <c r="R64" s="7">
        <f>R41*390</f>
        <v>1.7581460000000005E-5</v>
      </c>
      <c r="S64" s="73">
        <f t="shared" si="22"/>
        <v>42.63491813528276</v>
      </c>
    </row>
    <row r="65" spans="1:19" ht="15" thickBot="1" x14ac:dyDescent="0.35">
      <c r="A65" s="53" t="s">
        <v>63</v>
      </c>
      <c r="B65" s="8">
        <f t="shared" si="8"/>
        <v>3.5047401123156003</v>
      </c>
      <c r="C65" s="9">
        <f t="shared" si="9"/>
        <v>335.99305045999995</v>
      </c>
      <c r="D65" s="9">
        <f t="shared" si="10"/>
        <v>2.3679542000000002</v>
      </c>
      <c r="E65" s="9">
        <f t="shared" si="11"/>
        <v>0.21742799333333329</v>
      </c>
      <c r="F65" s="9">
        <f t="shared" si="12"/>
        <v>0.85855853333333332</v>
      </c>
      <c r="G65" s="9">
        <f t="shared" si="13"/>
        <v>6.0969740666666661E-2</v>
      </c>
      <c r="H65" s="9">
        <f>H42*18000</f>
        <v>9.098787333333332E-3</v>
      </c>
      <c r="I65" s="9">
        <f t="shared" si="15"/>
        <v>1.0990529999999998E-3</v>
      </c>
      <c r="J65" s="9">
        <f t="shared" si="16"/>
        <v>5.4697936666666678E-3</v>
      </c>
      <c r="K65" s="9">
        <f t="shared" si="17"/>
        <v>2.3541648666666666E-3</v>
      </c>
      <c r="L65" s="9">
        <f t="shared" si="18"/>
        <v>6.1709317333333335E-4</v>
      </c>
      <c r="M65" s="9">
        <f t="shared" si="19"/>
        <v>8.5527446666666662E-5</v>
      </c>
      <c r="N65" s="9">
        <f t="shared" si="20"/>
        <v>2.3439381999999998E-4</v>
      </c>
      <c r="O65" s="9">
        <f>O42*2700</f>
        <v>1.513837E-2</v>
      </c>
      <c r="P65" s="9">
        <f>P42*400</f>
        <v>1.6136974666666667E-4</v>
      </c>
      <c r="Q65" s="9">
        <f>Q42*37</f>
        <v>3.5064913333333329E-5</v>
      </c>
      <c r="R65" s="9">
        <f>R42*390</f>
        <v>3.3438901333333335E-5</v>
      </c>
      <c r="S65" s="74">
        <f t="shared" si="22"/>
        <v>343.03702809651691</v>
      </c>
    </row>
  </sheetData>
  <mergeCells count="2">
    <mergeCell ref="S6:S9"/>
    <mergeCell ref="S11:S14"/>
  </mergeCells>
  <conditionalFormatting sqref="T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{5E8D2F95-8046-40F3-B17F-1C53E747D519}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8D2F95-8046-40F3-B17F-1C53E747D5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7"/>
  <sheetViews>
    <sheetView topLeftCell="A20" zoomScale="98" zoomScaleNormal="85" workbookViewId="0">
      <selection activeCell="E51" sqref="E51"/>
    </sheetView>
  </sheetViews>
  <sheetFormatPr baseColWidth="10" defaultRowHeight="14.4" x14ac:dyDescent="0.3"/>
  <cols>
    <col min="1" max="1" width="25.5546875" customWidth="1"/>
    <col min="4" max="4" width="12.44140625" customWidth="1"/>
    <col min="6" max="6" width="11.44140625" customWidth="1"/>
    <col min="7" max="7" width="12.33203125" customWidth="1"/>
    <col min="13" max="13" width="12.77734375" customWidth="1"/>
    <col min="15" max="15" width="12.109375" customWidth="1"/>
    <col min="16" max="16" width="11.109375" customWidth="1"/>
  </cols>
  <sheetData>
    <row r="1" spans="1:25" ht="15" thickBot="1" x14ac:dyDescent="0.35">
      <c r="A1" t="s">
        <v>64</v>
      </c>
    </row>
    <row r="2" spans="1:25" ht="39.6" customHeight="1" thickTop="1" thickBot="1" x14ac:dyDescent="0.35">
      <c r="A2" s="17"/>
      <c r="B2" s="18" t="s">
        <v>25</v>
      </c>
      <c r="C2" s="18" t="s">
        <v>26</v>
      </c>
      <c r="D2" s="18" t="s">
        <v>27</v>
      </c>
      <c r="E2" s="18" t="s">
        <v>28</v>
      </c>
      <c r="F2" s="18" t="s">
        <v>29</v>
      </c>
      <c r="G2" s="18" t="s">
        <v>52</v>
      </c>
      <c r="H2" s="18" t="s">
        <v>30</v>
      </c>
      <c r="I2" s="18" t="s">
        <v>31</v>
      </c>
      <c r="J2" s="18" t="s">
        <v>32</v>
      </c>
      <c r="K2" s="18" t="s">
        <v>33</v>
      </c>
      <c r="L2" s="18" t="s">
        <v>34</v>
      </c>
      <c r="M2" s="18" t="s">
        <v>35</v>
      </c>
      <c r="N2" s="18" t="s">
        <v>36</v>
      </c>
      <c r="O2" s="18" t="s">
        <v>37</v>
      </c>
      <c r="P2" s="19" t="s">
        <v>38</v>
      </c>
    </row>
    <row r="3" spans="1:25" ht="38.25" customHeight="1" thickBot="1" x14ac:dyDescent="0.35">
      <c r="A3" s="20"/>
      <c r="B3" s="22" t="s">
        <v>74</v>
      </c>
      <c r="C3" s="22" t="s">
        <v>74</v>
      </c>
      <c r="D3" s="22" t="s">
        <v>39</v>
      </c>
      <c r="E3" s="22" t="s">
        <v>40</v>
      </c>
      <c r="F3" s="22" t="s">
        <v>41</v>
      </c>
      <c r="G3" s="22" t="s">
        <v>42</v>
      </c>
      <c r="H3" s="22" t="s">
        <v>43</v>
      </c>
      <c r="I3" s="22" t="s">
        <v>44</v>
      </c>
      <c r="J3" s="22" t="s">
        <v>45</v>
      </c>
      <c r="K3" s="22" t="s">
        <v>46</v>
      </c>
      <c r="L3" s="22" t="s">
        <v>47</v>
      </c>
      <c r="M3" s="22" t="s">
        <v>48</v>
      </c>
      <c r="N3" s="22" t="s">
        <v>49</v>
      </c>
      <c r="O3" s="22" t="s">
        <v>50</v>
      </c>
      <c r="P3" s="23" t="s">
        <v>51</v>
      </c>
    </row>
    <row r="4" spans="1:25" ht="15.75" customHeight="1" thickTop="1" thickBot="1" x14ac:dyDescent="0.35">
      <c r="A4" s="52" t="s">
        <v>22</v>
      </c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8"/>
      <c r="S4" s="2"/>
      <c r="T4" s="31"/>
      <c r="V4" s="5"/>
    </row>
    <row r="5" spans="1:25" ht="15.75" customHeight="1" x14ac:dyDescent="0.3">
      <c r="A5" s="50" t="s">
        <v>54</v>
      </c>
      <c r="B5" s="41">
        <v>791.97560663499996</v>
      </c>
      <c r="C5" s="5">
        <v>3199.5677636499995</v>
      </c>
      <c r="D5" s="5">
        <v>59.919351523799996</v>
      </c>
      <c r="E5" s="5">
        <v>221050.82596199997</v>
      </c>
      <c r="F5" s="5">
        <v>5.1402554399999998E-3</v>
      </c>
      <c r="G5" s="5">
        <v>9.7375752403799982</v>
      </c>
      <c r="H5" s="5">
        <v>9242413.9603799991</v>
      </c>
      <c r="I5" s="5">
        <v>3269735.6880000001</v>
      </c>
      <c r="J5" s="5">
        <v>579.57964036199996</v>
      </c>
      <c r="K5" s="5">
        <v>690.00788356199996</v>
      </c>
      <c r="L5" s="5">
        <v>279.05723999999998</v>
      </c>
      <c r="M5" s="5">
        <v>63.994230000000002</v>
      </c>
      <c r="N5" s="5">
        <f>'Annexe 1'!S50</f>
        <v>18936.820509106579</v>
      </c>
      <c r="O5" s="5">
        <v>203084.065</v>
      </c>
      <c r="P5" s="42">
        <v>33286.516736500002</v>
      </c>
      <c r="Q5" s="91" t="s">
        <v>70</v>
      </c>
      <c r="R5" s="30"/>
      <c r="T5" s="5"/>
      <c r="U5" s="5"/>
      <c r="W5" s="5"/>
    </row>
    <row r="6" spans="1:25" x14ac:dyDescent="0.3">
      <c r="A6" s="51" t="s">
        <v>55</v>
      </c>
      <c r="B6" s="41">
        <v>157.87689</v>
      </c>
      <c r="C6" s="5">
        <v>284.06728999999996</v>
      </c>
      <c r="D6" s="5">
        <v>8.6769473596199997</v>
      </c>
      <c r="E6" s="5">
        <v>18460.194796199998</v>
      </c>
      <c r="F6" s="5">
        <v>1.6361963999999998E-4</v>
      </c>
      <c r="G6" s="5">
        <v>1.2852084883799999</v>
      </c>
      <c r="H6" s="5">
        <v>668493.75043799996</v>
      </c>
      <c r="I6" s="5">
        <v>384463.37356199994</v>
      </c>
      <c r="J6" s="5">
        <v>64.003894003799999</v>
      </c>
      <c r="K6" s="5">
        <v>64.86982583999999</v>
      </c>
      <c r="L6" s="5">
        <v>22.21489</v>
      </c>
      <c r="M6" s="5">
        <v>3.6933102670000002</v>
      </c>
      <c r="N6" s="5">
        <f>'Annexe 1'!S51</f>
        <v>2840.3795882538975</v>
      </c>
      <c r="O6" s="5">
        <v>27025.762136499998</v>
      </c>
      <c r="P6" s="42">
        <v>2390.4684699999998</v>
      </c>
      <c r="Q6" s="91"/>
      <c r="R6" s="2"/>
      <c r="T6" s="5"/>
      <c r="U6" s="5"/>
      <c r="W6" s="5"/>
    </row>
    <row r="7" spans="1:25" x14ac:dyDescent="0.3">
      <c r="A7" s="51" t="s">
        <v>56</v>
      </c>
      <c r="B7" s="41">
        <v>619.39081036499999</v>
      </c>
      <c r="C7" s="5">
        <v>2224.2798400000001</v>
      </c>
      <c r="D7" s="5">
        <v>41.831163043799997</v>
      </c>
      <c r="E7" s="5">
        <v>122263.72319999999</v>
      </c>
      <c r="F7" s="5">
        <v>1.537377096E-2</v>
      </c>
      <c r="G7" s="5">
        <v>6.114925648379999</v>
      </c>
      <c r="H7" s="5">
        <v>5084329.3199999994</v>
      </c>
      <c r="I7" s="5">
        <v>2485296.8236199999</v>
      </c>
      <c r="J7" s="5">
        <v>320.538230838</v>
      </c>
      <c r="K7" s="5">
        <v>384.01450243799997</v>
      </c>
      <c r="L7" s="5">
        <v>146.2694267</v>
      </c>
      <c r="M7" s="5">
        <v>37.093953329999998</v>
      </c>
      <c r="N7" s="5">
        <f>'Annexe 1'!S52</f>
        <v>12259.881008661454</v>
      </c>
      <c r="O7" s="5">
        <v>132068.360365</v>
      </c>
      <c r="P7" s="42">
        <v>14985.089099999999</v>
      </c>
      <c r="Q7" s="91"/>
      <c r="T7" s="5"/>
      <c r="U7" s="5"/>
      <c r="W7" s="5"/>
    </row>
    <row r="8" spans="1:25" x14ac:dyDescent="0.3">
      <c r="A8" s="51" t="s">
        <v>57</v>
      </c>
      <c r="B8" s="41">
        <v>1301.46402635</v>
      </c>
      <c r="C8" s="5">
        <v>8415.35776635</v>
      </c>
      <c r="D8" s="5">
        <v>78.6687172038</v>
      </c>
      <c r="E8" s="5">
        <v>125135.17036199999</v>
      </c>
      <c r="F8" s="5">
        <v>1.3013125079999999</v>
      </c>
      <c r="G8" s="5">
        <v>9.7576749599999992</v>
      </c>
      <c r="H8" s="5">
        <v>15947033.639999999</v>
      </c>
      <c r="I8" s="5">
        <v>7109111.0596199986</v>
      </c>
      <c r="J8" s="5">
        <v>548.43705196199994</v>
      </c>
      <c r="K8" s="5">
        <v>896.43436396199991</v>
      </c>
      <c r="L8" s="5">
        <v>422.69374670000002</v>
      </c>
      <c r="M8" s="5">
        <v>134.77455330000001</v>
      </c>
      <c r="N8" s="5">
        <f>'Annexe 1'!S53</f>
        <v>18340.268313514374</v>
      </c>
      <c r="O8" s="5">
        <v>148171.74063499999</v>
      </c>
      <c r="P8" s="42">
        <v>39019.543163499991</v>
      </c>
      <c r="Q8" s="91"/>
      <c r="U8" s="5"/>
      <c r="W8" s="5"/>
    </row>
    <row r="9" spans="1:25" x14ac:dyDescent="0.3">
      <c r="A9" s="51" t="s">
        <v>58</v>
      </c>
      <c r="B9" s="41">
        <v>4.4144724763500003</v>
      </c>
      <c r="C9" s="5">
        <v>16.233145263499999</v>
      </c>
      <c r="D9" s="5">
        <v>0.69670307357999994</v>
      </c>
      <c r="E9" s="5">
        <v>6435.0987523799995</v>
      </c>
      <c r="F9" s="5">
        <v>1.5739409999999997E-4</v>
      </c>
      <c r="G9" s="5">
        <v>0.51748579397999994</v>
      </c>
      <c r="H9" s="5">
        <v>95397.381196199989</v>
      </c>
      <c r="I9" s="5">
        <v>84081.376396199994</v>
      </c>
      <c r="J9" s="5">
        <v>64.458770716199993</v>
      </c>
      <c r="K9" s="5">
        <v>8.9445091603799991</v>
      </c>
      <c r="L9" s="5">
        <v>1.9995396000000001</v>
      </c>
      <c r="M9" s="5">
        <v>8.2506999999999997E-2</v>
      </c>
      <c r="N9" s="5">
        <f>'Annexe 1'!S54</f>
        <v>809.56741769496614</v>
      </c>
      <c r="O9" s="5">
        <v>11506.934536499999</v>
      </c>
      <c r="P9" s="42">
        <v>8.522844566349999</v>
      </c>
      <c r="Q9" s="7"/>
      <c r="U9" s="5"/>
      <c r="W9" s="5"/>
    </row>
    <row r="10" spans="1:25" ht="15" customHeight="1" x14ac:dyDescent="0.3">
      <c r="A10" s="51" t="s">
        <v>69</v>
      </c>
      <c r="B10" s="41">
        <v>567.19578239999998</v>
      </c>
      <c r="C10" s="5">
        <v>1040.3879399999998</v>
      </c>
      <c r="D10" s="5">
        <v>40.123418111999996</v>
      </c>
      <c r="E10" s="5">
        <v>187250.90155199997</v>
      </c>
      <c r="F10" s="5">
        <v>2.1438668999999998E-3</v>
      </c>
      <c r="G10" s="5">
        <v>11.072000203199998</v>
      </c>
      <c r="H10" s="5">
        <v>6073286.0687999995</v>
      </c>
      <c r="I10" s="5">
        <v>1367753.7599999998</v>
      </c>
      <c r="J10" s="5">
        <v>495.76076495999996</v>
      </c>
      <c r="K10" s="5">
        <v>427.97187791999994</v>
      </c>
      <c r="L10" s="5">
        <v>129.8412696</v>
      </c>
      <c r="M10" s="5">
        <v>52.619824800000004</v>
      </c>
      <c r="N10" s="5">
        <f>'Annexe 1'!S55</f>
        <v>11215.159217092265</v>
      </c>
      <c r="O10" s="5">
        <v>197934.98292000001</v>
      </c>
      <c r="P10" s="42">
        <v>10305.4233</v>
      </c>
      <c r="Q10" s="92" t="s">
        <v>59</v>
      </c>
      <c r="T10" s="40"/>
      <c r="U10" s="5"/>
      <c r="V10" s="5"/>
      <c r="W10" s="5"/>
      <c r="X10" s="5"/>
      <c r="Y10" s="5"/>
    </row>
    <row r="11" spans="1:25" x14ac:dyDescent="0.3">
      <c r="A11" s="51" t="s">
        <v>65</v>
      </c>
      <c r="B11" s="41">
        <v>283.59789119999999</v>
      </c>
      <c r="C11" s="5">
        <v>520.19396999999992</v>
      </c>
      <c r="D11" s="5">
        <v>20.061709055999998</v>
      </c>
      <c r="E11" s="5">
        <v>93625.450775999983</v>
      </c>
      <c r="F11" s="5">
        <v>1.07193288E-3</v>
      </c>
      <c r="G11" s="5">
        <v>5.5360001015999991</v>
      </c>
      <c r="H11" s="5">
        <v>3036643.0343999998</v>
      </c>
      <c r="I11" s="5">
        <v>683876.87999999989</v>
      </c>
      <c r="J11" s="5">
        <v>247.88038247999998</v>
      </c>
      <c r="K11" s="5">
        <v>213.98593895999997</v>
      </c>
      <c r="L11" s="5">
        <v>64.920634800000002</v>
      </c>
      <c r="M11" s="5">
        <v>26.309912400000002</v>
      </c>
      <c r="N11" s="5">
        <f>'Annexe 1'!S56</f>
        <v>5607.5796085461325</v>
      </c>
      <c r="O11" s="5">
        <v>98967.491460000005</v>
      </c>
      <c r="P11" s="42">
        <v>5152.7116500000002</v>
      </c>
      <c r="Q11" s="92"/>
      <c r="T11" s="40"/>
      <c r="U11" s="5"/>
      <c r="V11" s="5"/>
      <c r="W11" s="5"/>
      <c r="X11" s="5"/>
      <c r="Y11" s="5"/>
    </row>
    <row r="12" spans="1:25" x14ac:dyDescent="0.3">
      <c r="A12" s="51" t="s">
        <v>66</v>
      </c>
      <c r="B12" s="41">
        <v>638.0952552</v>
      </c>
      <c r="C12" s="5">
        <v>1170.4364324999999</v>
      </c>
      <c r="D12" s="5">
        <v>45.138845375999992</v>
      </c>
      <c r="E12" s="5">
        <v>210657.26424599998</v>
      </c>
      <c r="F12" s="5">
        <v>2.4118501199999996E-3</v>
      </c>
      <c r="G12" s="5">
        <v>12.456000228600001</v>
      </c>
      <c r="H12" s="5">
        <v>6832446.8273999998</v>
      </c>
      <c r="I12" s="5">
        <v>1538722.98</v>
      </c>
      <c r="J12" s="5">
        <v>557.7308605799999</v>
      </c>
      <c r="K12" s="5">
        <v>481.46836265999997</v>
      </c>
      <c r="L12" s="5">
        <v>146.07142830000001</v>
      </c>
      <c r="M12" s="5">
        <v>59.197302899999997</v>
      </c>
      <c r="N12" s="5">
        <f>'Annexe 1'!S57</f>
        <v>12617.054119228798</v>
      </c>
      <c r="O12" s="5">
        <v>222676.85578499996</v>
      </c>
      <c r="P12" s="42">
        <v>11593.6012125</v>
      </c>
      <c r="Q12" s="92"/>
      <c r="T12" s="40"/>
      <c r="U12" s="5"/>
      <c r="V12" s="5"/>
      <c r="W12" s="5"/>
      <c r="X12" s="5"/>
      <c r="Y12" s="5"/>
    </row>
    <row r="13" spans="1:25" x14ac:dyDescent="0.3">
      <c r="A13" s="51" t="s">
        <v>67</v>
      </c>
      <c r="B13" s="41">
        <v>874.42683119999992</v>
      </c>
      <c r="C13" s="5">
        <v>1603.9314075</v>
      </c>
      <c r="D13" s="5">
        <v>61.856936255999997</v>
      </c>
      <c r="E13" s="5">
        <v>288678.47322599997</v>
      </c>
      <c r="F13" s="5">
        <v>3.3051278999999996E-3</v>
      </c>
      <c r="G13" s="5">
        <v>17.069333646599997</v>
      </c>
      <c r="H13" s="5">
        <v>9362982.6893999986</v>
      </c>
      <c r="I13" s="5">
        <v>2108620.38</v>
      </c>
      <c r="J13" s="5">
        <v>764.29784597999992</v>
      </c>
      <c r="K13" s="5">
        <v>659.78997845999993</v>
      </c>
      <c r="L13" s="5">
        <v>200.1719573</v>
      </c>
      <c r="M13" s="5">
        <v>81.122229899999994</v>
      </c>
      <c r="N13" s="5">
        <f>'Annexe 1'!S58</f>
        <v>17290.037126350573</v>
      </c>
      <c r="O13" s="5">
        <v>305149.765335</v>
      </c>
      <c r="P13" s="42">
        <v>15887.527587500001</v>
      </c>
      <c r="Q13" s="92"/>
      <c r="T13" s="40"/>
      <c r="U13" s="5"/>
      <c r="V13" s="5"/>
      <c r="W13" s="5"/>
      <c r="X13" s="5"/>
      <c r="Y13" s="5"/>
    </row>
    <row r="14" spans="1:25" ht="15" thickBot="1" x14ac:dyDescent="0.35">
      <c r="A14" s="51" t="s">
        <v>60</v>
      </c>
      <c r="B14" s="41">
        <v>182.850585</v>
      </c>
      <c r="C14" s="5">
        <v>186.307286635</v>
      </c>
      <c r="D14" s="5">
        <v>13.997144956199998</v>
      </c>
      <c r="E14" s="5">
        <v>39365.941156199995</v>
      </c>
      <c r="F14" s="5">
        <v>5.8793561999999995E-4</v>
      </c>
      <c r="G14" s="5">
        <v>4.499578099619999</v>
      </c>
      <c r="H14" s="5">
        <v>597761.94119999988</v>
      </c>
      <c r="I14" s="5">
        <v>320033.59843799996</v>
      </c>
      <c r="J14" s="5">
        <v>128.1579792</v>
      </c>
      <c r="K14" s="5">
        <v>355.97235676199995</v>
      </c>
      <c r="L14" s="5">
        <v>63.097962000000003</v>
      </c>
      <c r="M14" s="5">
        <v>1.4841972000000001</v>
      </c>
      <c r="N14" s="5">
        <f>'Annexe 1'!S59</f>
        <v>9207.0065866252116</v>
      </c>
      <c r="O14" s="5">
        <v>77567.43666349999</v>
      </c>
      <c r="P14" s="42">
        <v>945.29445999999996</v>
      </c>
      <c r="Q14" s="7"/>
      <c r="T14" s="5"/>
      <c r="U14" s="5"/>
      <c r="W14" s="5"/>
    </row>
    <row r="15" spans="1:25" ht="15" thickBot="1" x14ac:dyDescent="0.35">
      <c r="A15" s="52" t="s">
        <v>53</v>
      </c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69"/>
      <c r="O15" s="37"/>
      <c r="P15" s="38"/>
      <c r="Q15" s="7"/>
      <c r="S15" s="7"/>
      <c r="T15" s="7"/>
      <c r="U15" s="7"/>
      <c r="V15" s="7"/>
      <c r="W15" s="7"/>
      <c r="X15" s="7"/>
      <c r="Y15" s="7"/>
    </row>
    <row r="16" spans="1:25" ht="15" thickBot="1" x14ac:dyDescent="0.35">
      <c r="A16" s="51" t="s">
        <v>68</v>
      </c>
      <c r="B16" s="41">
        <v>9783.8251666666656</v>
      </c>
      <c r="C16" s="5">
        <v>14758.783266666665</v>
      </c>
      <c r="D16" s="5">
        <v>402.66715199999993</v>
      </c>
      <c r="E16" s="5">
        <v>32926581.999999993</v>
      </c>
      <c r="F16" s="5">
        <v>5.260150303999999E-2</v>
      </c>
      <c r="G16" s="5">
        <v>119.24422039999999</v>
      </c>
      <c r="H16" s="5">
        <v>93831727.999999985</v>
      </c>
      <c r="I16" s="5">
        <v>32774623.039999995</v>
      </c>
      <c r="J16" s="5">
        <v>121749.55279999999</v>
      </c>
      <c r="K16" s="5">
        <v>7519.2155719999992</v>
      </c>
      <c r="L16" s="5">
        <v>1479.0962</v>
      </c>
      <c r="M16" s="5">
        <v>103.63178666666666</v>
      </c>
      <c r="N16" s="5">
        <f>'Annexe 1'!S61</f>
        <v>511223.27744826669</v>
      </c>
      <c r="O16" s="5">
        <v>5554231.4299999988</v>
      </c>
      <c r="P16" s="42">
        <v>38770.827466666662</v>
      </c>
      <c r="Q16" s="7"/>
      <c r="T16" s="5"/>
    </row>
    <row r="17" spans="1:25" ht="15" thickBot="1" x14ac:dyDescent="0.35">
      <c r="A17" s="52" t="s">
        <v>24</v>
      </c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69"/>
      <c r="O17" s="37"/>
      <c r="P17" s="38"/>
      <c r="S17" s="7"/>
      <c r="T17" s="7"/>
      <c r="U17" s="7"/>
      <c r="V17" s="7"/>
      <c r="W17" s="7"/>
      <c r="X17" s="7"/>
      <c r="Y17" s="7"/>
    </row>
    <row r="18" spans="1:25" ht="15" customHeight="1" x14ac:dyDescent="0.3">
      <c r="A18" s="51" t="s">
        <v>61</v>
      </c>
      <c r="B18" s="41">
        <v>1.3606602049999998E-2</v>
      </c>
      <c r="C18" s="5">
        <v>1.324692825E-2</v>
      </c>
      <c r="D18" s="5">
        <v>1.7036091599999998E-3</v>
      </c>
      <c r="E18" s="5">
        <v>8.9409485596199989</v>
      </c>
      <c r="F18" s="5">
        <v>1.8665561999999997E-7</v>
      </c>
      <c r="G18" s="5">
        <v>6.2379660000000002E-4</v>
      </c>
      <c r="H18" s="5">
        <v>99.322051603799991</v>
      </c>
      <c r="I18" s="5">
        <v>16.618051319999999</v>
      </c>
      <c r="J18" s="5">
        <v>0.2049922236</v>
      </c>
      <c r="K18" s="5">
        <v>3.2270371019999994E-2</v>
      </c>
      <c r="L18" s="5">
        <v>1.7052069E-2</v>
      </c>
      <c r="M18" s="5">
        <v>2.6909999999999998E-4</v>
      </c>
      <c r="N18" s="5">
        <f>'Annexe 1'!S63</f>
        <v>3.1192413881486329</v>
      </c>
      <c r="O18" s="5">
        <v>15.8167343</v>
      </c>
      <c r="P18" s="42">
        <v>1.7414099449999998E-2</v>
      </c>
      <c r="Q18" s="7"/>
      <c r="T18" s="5"/>
    </row>
    <row r="19" spans="1:25" x14ac:dyDescent="0.3">
      <c r="A19" s="51" t="s">
        <v>62</v>
      </c>
      <c r="B19" s="41">
        <v>1.64002312635</v>
      </c>
      <c r="C19" s="5">
        <v>8.551860733649999</v>
      </c>
      <c r="D19" s="5">
        <v>9.2220664800000005E-2</v>
      </c>
      <c r="E19" s="5">
        <v>472.26288283799994</v>
      </c>
      <c r="F19" s="5">
        <v>5.1611789999999999E-6</v>
      </c>
      <c r="G19" s="5">
        <v>1.9740567179999998E-2</v>
      </c>
      <c r="H19" s="5">
        <v>6770288.9999999991</v>
      </c>
      <c r="I19" s="5">
        <v>7628.5075996199994</v>
      </c>
      <c r="J19" s="5">
        <v>4.3955995363799998</v>
      </c>
      <c r="K19" s="5">
        <v>1.2654877036199998</v>
      </c>
      <c r="L19" s="5">
        <v>0.34680303299999998</v>
      </c>
      <c r="M19" s="5">
        <v>7.1855340000000004E-3</v>
      </c>
      <c r="N19" s="5">
        <f>'Annexe 1'!S64</f>
        <v>42.63491813528276</v>
      </c>
      <c r="O19" s="5">
        <v>642.457133365</v>
      </c>
      <c r="P19" s="42">
        <v>0.59513654400000005</v>
      </c>
      <c r="Q19" s="2"/>
      <c r="T19" s="5"/>
    </row>
    <row r="20" spans="1:25" ht="15" thickBot="1" x14ac:dyDescent="0.35">
      <c r="A20" s="53" t="s">
        <v>63</v>
      </c>
      <c r="B20" s="43">
        <v>2.2072362063499997</v>
      </c>
      <c r="C20" s="44">
        <v>8.1165726336499997</v>
      </c>
      <c r="D20" s="44">
        <v>0.34835153279999997</v>
      </c>
      <c r="E20" s="44">
        <v>3217.5493756199994</v>
      </c>
      <c r="F20" s="44">
        <v>7.8697163999999991E-5</v>
      </c>
      <c r="G20" s="44">
        <v>0.25874289641999998</v>
      </c>
      <c r="H20" s="44">
        <v>47698.69135619999</v>
      </c>
      <c r="I20" s="44">
        <v>42040.686676199999</v>
      </c>
      <c r="J20" s="44">
        <v>32.229385363799999</v>
      </c>
      <c r="K20" s="44">
        <v>4.4722545796199995</v>
      </c>
      <c r="L20" s="44">
        <v>0.99976980000000004</v>
      </c>
      <c r="M20" s="44">
        <v>4.1253500999999998E-2</v>
      </c>
      <c r="N20" s="44">
        <f>'Annexe 1'!S65</f>
        <v>343.03702809651691</v>
      </c>
      <c r="O20" s="44">
        <v>5753.4672663499996</v>
      </c>
      <c r="P20" s="45">
        <v>4.26142228365</v>
      </c>
      <c r="Q20" s="7"/>
      <c r="T20" s="5"/>
    </row>
    <row r="21" spans="1:25" x14ac:dyDescent="0.3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2"/>
    </row>
    <row r="22" spans="1:25" x14ac:dyDescent="0.3">
      <c r="A22" s="29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Q22" s="2"/>
    </row>
    <row r="23" spans="1:25" ht="15.75" customHeight="1" x14ac:dyDescent="0.3"/>
    <row r="24" spans="1:25" ht="15" customHeight="1" thickBot="1" x14ac:dyDescent="0.35">
      <c r="A24" s="54" t="s">
        <v>82</v>
      </c>
    </row>
    <row r="25" spans="1:25" ht="22.8" thickTop="1" thickBot="1" x14ac:dyDescent="0.35">
      <c r="A25" s="17"/>
      <c r="B25" s="18" t="s">
        <v>25</v>
      </c>
      <c r="C25" s="18" t="s">
        <v>26</v>
      </c>
      <c r="D25" s="18" t="s">
        <v>27</v>
      </c>
      <c r="E25" s="18" t="s">
        <v>28</v>
      </c>
      <c r="F25" s="18" t="s">
        <v>29</v>
      </c>
      <c r="G25" s="18" t="s">
        <v>52</v>
      </c>
      <c r="H25" s="18" t="s">
        <v>30</v>
      </c>
      <c r="I25" s="18" t="s">
        <v>31</v>
      </c>
      <c r="J25" s="18" t="s">
        <v>32</v>
      </c>
      <c r="K25" s="18" t="s">
        <v>33</v>
      </c>
      <c r="L25" s="18" t="s">
        <v>36</v>
      </c>
      <c r="M25" s="18" t="s">
        <v>37</v>
      </c>
      <c r="N25" s="19" t="s">
        <v>38</v>
      </c>
    </row>
    <row r="26" spans="1:25" ht="22.2" thickBot="1" x14ac:dyDescent="0.35">
      <c r="A26" s="20"/>
      <c r="B26" s="22" t="s">
        <v>74</v>
      </c>
      <c r="C26" s="22" t="s">
        <v>74</v>
      </c>
      <c r="D26" s="22" t="s">
        <v>39</v>
      </c>
      <c r="E26" s="22" t="s">
        <v>40</v>
      </c>
      <c r="F26" s="22" t="s">
        <v>41</v>
      </c>
      <c r="G26" s="22" t="s">
        <v>42</v>
      </c>
      <c r="H26" s="22" t="s">
        <v>43</v>
      </c>
      <c r="I26" s="22" t="s">
        <v>44</v>
      </c>
      <c r="J26" s="22" t="s">
        <v>45</v>
      </c>
      <c r="K26" s="22" t="s">
        <v>46</v>
      </c>
      <c r="L26" s="22" t="s">
        <v>49</v>
      </c>
      <c r="M26" s="22" t="s">
        <v>50</v>
      </c>
      <c r="N26" s="23" t="s">
        <v>51</v>
      </c>
    </row>
    <row r="27" spans="1:25" ht="15.6" thickTop="1" thickBot="1" x14ac:dyDescent="0.35">
      <c r="A27" s="39" t="s">
        <v>22</v>
      </c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9"/>
    </row>
    <row r="28" spans="1:25" x14ac:dyDescent="0.3">
      <c r="A28" s="50" t="s">
        <v>54</v>
      </c>
      <c r="B28" s="77">
        <f>B5*2.8*10^-6</f>
        <v>2.2175316985779993E-3</v>
      </c>
      <c r="C28" s="78">
        <f>C5*2.8*10^-6</f>
        <v>8.9587897382199973E-3</v>
      </c>
      <c r="D28" s="78">
        <f>D5*7*10^-4</f>
        <v>4.1943546066659995E-2</v>
      </c>
      <c r="E28" s="78">
        <f>E5*2.1*10^-10</f>
        <v>4.6420673452019993E-5</v>
      </c>
      <c r="F28" s="78">
        <f>F5*1.05*10^-3</f>
        <v>5.3972682120000003E-6</v>
      </c>
      <c r="G28" s="78">
        <f>G5*2.13*10^-6</f>
        <v>2.0741035262009394E-5</v>
      </c>
      <c r="H28" s="78">
        <f>H5*5.02*10^-5</f>
        <v>463.969180811076</v>
      </c>
      <c r="I28" s="78">
        <f>I5*7.91*10^-3</f>
        <v>25863.60929208</v>
      </c>
      <c r="J28" s="78">
        <f>J5*1.09</f>
        <v>631.74180799457997</v>
      </c>
      <c r="K28" s="78">
        <f>K5*1.04</f>
        <v>717.60819890447999</v>
      </c>
      <c r="L28" s="78">
        <f>N5</f>
        <v>18936.820509106579</v>
      </c>
      <c r="M28" s="78">
        <f>O5</f>
        <v>203084.065</v>
      </c>
      <c r="N28" s="79">
        <f>P5</f>
        <v>33286.516736500002</v>
      </c>
    </row>
    <row r="29" spans="1:25" x14ac:dyDescent="0.3">
      <c r="A29" s="51" t="s">
        <v>55</v>
      </c>
      <c r="B29" s="41">
        <f t="shared" ref="B29:C37" si="0">B6*2.8*10^-6</f>
        <v>4.4205529199999998E-4</v>
      </c>
      <c r="C29" s="5">
        <f t="shared" si="0"/>
        <v>7.9538841199999972E-4</v>
      </c>
      <c r="D29" s="5">
        <f t="shared" ref="D29:D43" si="1">D6*7*10^-4</f>
        <v>6.073863151734E-3</v>
      </c>
      <c r="E29" s="5">
        <f t="shared" ref="E29:E43" si="2">E6*2.1*10^-10</f>
        <v>3.8766409072020001E-6</v>
      </c>
      <c r="F29" s="5">
        <f t="shared" ref="F29:F43" si="3">F6*1.05*10^-3</f>
        <v>1.71800622E-7</v>
      </c>
      <c r="G29" s="5">
        <f t="shared" ref="G29:G43" si="4">G6*2.13*10^-6</f>
        <v>2.7374940802493993E-6</v>
      </c>
      <c r="H29" s="5">
        <f t="shared" ref="H29:H43" si="5">H6*5.02*10^-5</f>
        <v>33.558386271987601</v>
      </c>
      <c r="I29" s="5">
        <f t="shared" ref="I29:I43" si="6">I6*7.91*10^-3</f>
        <v>3041.1052848754193</v>
      </c>
      <c r="J29" s="5">
        <f t="shared" ref="J29:J43" si="7">J6*1.09</f>
        <v>69.76424446414201</v>
      </c>
      <c r="K29" s="5">
        <f t="shared" ref="K29:K43" si="8">K6*1.04</f>
        <v>67.464618873599989</v>
      </c>
      <c r="L29" s="5">
        <f t="shared" ref="L29:N43" si="9">N6</f>
        <v>2840.3795882538975</v>
      </c>
      <c r="M29" s="5">
        <f t="shared" si="9"/>
        <v>27025.762136499998</v>
      </c>
      <c r="N29" s="42">
        <f t="shared" si="9"/>
        <v>2390.4684699999998</v>
      </c>
    </row>
    <row r="30" spans="1:25" x14ac:dyDescent="0.3">
      <c r="A30" s="51" t="s">
        <v>56</v>
      </c>
      <c r="B30" s="41">
        <f t="shared" si="0"/>
        <v>1.7342942690219999E-3</v>
      </c>
      <c r="C30" s="5">
        <f t="shared" si="0"/>
        <v>6.2279835519999998E-3</v>
      </c>
      <c r="D30" s="5">
        <f t="shared" si="1"/>
        <v>2.9281814130659996E-2</v>
      </c>
      <c r="E30" s="5">
        <f t="shared" si="2"/>
        <v>2.5675381872000002E-5</v>
      </c>
      <c r="F30" s="5">
        <f t="shared" si="3"/>
        <v>1.6142459508000002E-5</v>
      </c>
      <c r="G30" s="5">
        <f t="shared" si="4"/>
        <v>1.3024791631049396E-5</v>
      </c>
      <c r="H30" s="5">
        <f t="shared" si="5"/>
        <v>255.23333186399998</v>
      </c>
      <c r="I30" s="5">
        <f t="shared" si="6"/>
        <v>19658.697874834197</v>
      </c>
      <c r="J30" s="5">
        <f t="shared" si="7"/>
        <v>349.38667161342005</v>
      </c>
      <c r="K30" s="5">
        <f t="shared" si="8"/>
        <v>399.37508253551999</v>
      </c>
      <c r="L30" s="5">
        <f t="shared" si="9"/>
        <v>12259.881008661454</v>
      </c>
      <c r="M30" s="5">
        <f t="shared" si="9"/>
        <v>132068.360365</v>
      </c>
      <c r="N30" s="42">
        <f t="shared" si="9"/>
        <v>14985.089099999999</v>
      </c>
    </row>
    <row r="31" spans="1:25" x14ac:dyDescent="0.3">
      <c r="A31" s="51" t="s">
        <v>57</v>
      </c>
      <c r="B31" s="41">
        <f t="shared" si="0"/>
        <v>3.6440992737799996E-3</v>
      </c>
      <c r="C31" s="5">
        <f t="shared" si="0"/>
        <v>2.3563001745779997E-2</v>
      </c>
      <c r="D31" s="5">
        <f t="shared" si="1"/>
        <v>5.5068102042660001E-2</v>
      </c>
      <c r="E31" s="5">
        <f t="shared" si="2"/>
        <v>2.627838577602E-5</v>
      </c>
      <c r="F31" s="5">
        <f t="shared" si="3"/>
        <v>1.3663781334000002E-3</v>
      </c>
      <c r="G31" s="5">
        <f t="shared" si="4"/>
        <v>2.0783847664799996E-5</v>
      </c>
      <c r="H31" s="5">
        <f t="shared" si="5"/>
        <v>800.54108872799998</v>
      </c>
      <c r="I31" s="5">
        <f t="shared" si="6"/>
        <v>56233.068481594193</v>
      </c>
      <c r="J31" s="5">
        <f t="shared" si="7"/>
        <v>597.79638663857997</v>
      </c>
      <c r="K31" s="5">
        <f t="shared" si="8"/>
        <v>932.29173852047995</v>
      </c>
      <c r="L31" s="5">
        <f t="shared" si="9"/>
        <v>18340.268313514374</v>
      </c>
      <c r="M31" s="5">
        <f t="shared" si="9"/>
        <v>148171.74063499999</v>
      </c>
      <c r="N31" s="42">
        <f t="shared" si="9"/>
        <v>39019.543163499991</v>
      </c>
    </row>
    <row r="32" spans="1:25" x14ac:dyDescent="0.3">
      <c r="A32" s="51" t="s">
        <v>58</v>
      </c>
      <c r="B32" s="41">
        <f t="shared" si="0"/>
        <v>1.236052293378E-5</v>
      </c>
      <c r="C32" s="5">
        <f t="shared" si="0"/>
        <v>4.5452806737799994E-5</v>
      </c>
      <c r="D32" s="5">
        <f t="shared" si="1"/>
        <v>4.8769215150599998E-4</v>
      </c>
      <c r="E32" s="5">
        <f t="shared" si="2"/>
        <v>1.3513707379997999E-6</v>
      </c>
      <c r="F32" s="5">
        <f t="shared" si="3"/>
        <v>1.6526380499999997E-7</v>
      </c>
      <c r="G32" s="5">
        <f t="shared" si="4"/>
        <v>1.1022447411773998E-6</v>
      </c>
      <c r="H32" s="5">
        <f t="shared" si="5"/>
        <v>4.7889485360492392</v>
      </c>
      <c r="I32" s="5">
        <f t="shared" si="6"/>
        <v>665.08368729394203</v>
      </c>
      <c r="J32" s="5">
        <f t="shared" si="7"/>
        <v>70.260060080657993</v>
      </c>
      <c r="K32" s="5">
        <f t="shared" si="8"/>
        <v>9.3022895267951995</v>
      </c>
      <c r="L32" s="5">
        <f t="shared" si="9"/>
        <v>809.56741769496614</v>
      </c>
      <c r="M32" s="5">
        <f t="shared" si="9"/>
        <v>11506.934536499999</v>
      </c>
      <c r="N32" s="42">
        <f t="shared" si="9"/>
        <v>8.522844566349999</v>
      </c>
    </row>
    <row r="33" spans="1:14" ht="15" customHeight="1" x14ac:dyDescent="0.3">
      <c r="A33" s="51" t="s">
        <v>69</v>
      </c>
      <c r="B33" s="41">
        <f t="shared" si="0"/>
        <v>1.5881481907199996E-3</v>
      </c>
      <c r="C33" s="5">
        <f t="shared" si="0"/>
        <v>2.9130862319999991E-3</v>
      </c>
      <c r="D33" s="5">
        <f t="shared" si="1"/>
        <v>2.8086392678400001E-2</v>
      </c>
      <c r="E33" s="5">
        <f t="shared" si="2"/>
        <v>3.9322689325919994E-5</v>
      </c>
      <c r="F33" s="5">
        <f t="shared" si="3"/>
        <v>2.251060245E-6</v>
      </c>
      <c r="G33" s="5">
        <f t="shared" si="4"/>
        <v>2.3583360432815993E-5</v>
      </c>
      <c r="H33" s="5">
        <f t="shared" si="5"/>
        <v>304.87896065375998</v>
      </c>
      <c r="I33" s="5">
        <f t="shared" si="6"/>
        <v>10818.932241599998</v>
      </c>
      <c r="J33" s="5">
        <f t="shared" si="7"/>
        <v>540.37923380639995</v>
      </c>
      <c r="K33" s="5">
        <f t="shared" si="8"/>
        <v>445.09075303679998</v>
      </c>
      <c r="L33" s="5">
        <f t="shared" si="9"/>
        <v>11215.159217092265</v>
      </c>
      <c r="M33" s="5">
        <f t="shared" si="9"/>
        <v>197934.98292000001</v>
      </c>
      <c r="N33" s="42">
        <f t="shared" si="9"/>
        <v>10305.4233</v>
      </c>
    </row>
    <row r="34" spans="1:14" ht="15" customHeight="1" x14ac:dyDescent="0.3">
      <c r="A34" s="51" t="s">
        <v>65</v>
      </c>
      <c r="B34" s="41">
        <f t="shared" si="0"/>
        <v>7.9407409535999982E-4</v>
      </c>
      <c r="C34" s="5">
        <f t="shared" si="0"/>
        <v>1.4565431159999996E-3</v>
      </c>
      <c r="D34" s="5">
        <f t="shared" si="1"/>
        <v>1.4043196339200001E-2</v>
      </c>
      <c r="E34" s="5">
        <f t="shared" si="2"/>
        <v>1.9661344662959997E-5</v>
      </c>
      <c r="F34" s="5">
        <f t="shared" si="3"/>
        <v>1.125529524E-6</v>
      </c>
      <c r="G34" s="5">
        <f t="shared" si="4"/>
        <v>1.1791680216407997E-5</v>
      </c>
      <c r="H34" s="5">
        <f t="shared" si="5"/>
        <v>152.43948032687999</v>
      </c>
      <c r="I34" s="5">
        <f t="shared" si="6"/>
        <v>5409.4661207999989</v>
      </c>
      <c r="J34" s="5">
        <f t="shared" si="7"/>
        <v>270.18961690319998</v>
      </c>
      <c r="K34" s="5">
        <f t="shared" si="8"/>
        <v>222.54537651839999</v>
      </c>
      <c r="L34" s="5">
        <f t="shared" si="9"/>
        <v>5607.5796085461325</v>
      </c>
      <c r="M34" s="5">
        <f t="shared" si="9"/>
        <v>98967.491460000005</v>
      </c>
      <c r="N34" s="42">
        <f t="shared" si="9"/>
        <v>5152.7116500000002</v>
      </c>
    </row>
    <row r="35" spans="1:14" ht="15" customHeight="1" x14ac:dyDescent="0.3">
      <c r="A35" s="51" t="s">
        <v>66</v>
      </c>
      <c r="B35" s="41">
        <f t="shared" si="0"/>
        <v>1.7866667145599998E-3</v>
      </c>
      <c r="C35" s="5">
        <f t="shared" si="0"/>
        <v>3.2772220109999993E-3</v>
      </c>
      <c r="D35" s="5">
        <f t="shared" si="1"/>
        <v>3.1597191763199993E-2</v>
      </c>
      <c r="E35" s="5">
        <f t="shared" si="2"/>
        <v>4.4238025491659997E-5</v>
      </c>
      <c r="F35" s="5">
        <f t="shared" si="3"/>
        <v>2.5324426259999999E-6</v>
      </c>
      <c r="G35" s="5">
        <f t="shared" si="4"/>
        <v>2.6531280486917998E-5</v>
      </c>
      <c r="H35" s="5">
        <f t="shared" si="5"/>
        <v>342.98883073548001</v>
      </c>
      <c r="I35" s="5">
        <f t="shared" si="6"/>
        <v>12171.2987718</v>
      </c>
      <c r="J35" s="5">
        <f t="shared" si="7"/>
        <v>607.92663803219989</v>
      </c>
      <c r="K35" s="5">
        <f t="shared" si="8"/>
        <v>500.72709716639997</v>
      </c>
      <c r="L35" s="5">
        <f t="shared" si="9"/>
        <v>12617.054119228798</v>
      </c>
      <c r="M35" s="5">
        <f t="shared" si="9"/>
        <v>222676.85578499996</v>
      </c>
      <c r="N35" s="42">
        <f t="shared" si="9"/>
        <v>11593.6012125</v>
      </c>
    </row>
    <row r="36" spans="1:14" ht="15" customHeight="1" x14ac:dyDescent="0.3">
      <c r="A36" s="51" t="s">
        <v>67</v>
      </c>
      <c r="B36" s="41">
        <f t="shared" si="0"/>
        <v>2.4483951273599996E-3</v>
      </c>
      <c r="C36" s="5">
        <f t="shared" si="0"/>
        <v>4.4910079409999993E-3</v>
      </c>
      <c r="D36" s="5">
        <f t="shared" si="1"/>
        <v>4.3299855379200003E-2</v>
      </c>
      <c r="E36" s="5">
        <f t="shared" si="2"/>
        <v>6.0622479377460006E-5</v>
      </c>
      <c r="F36" s="5">
        <f t="shared" si="3"/>
        <v>3.4703842949999997E-6</v>
      </c>
      <c r="G36" s="5">
        <f t="shared" si="4"/>
        <v>3.6357680667257995E-5</v>
      </c>
      <c r="H36" s="5">
        <f t="shared" si="5"/>
        <v>470.02173100787996</v>
      </c>
      <c r="I36" s="5">
        <f t="shared" si="6"/>
        <v>16679.187205800001</v>
      </c>
      <c r="J36" s="5">
        <f t="shared" si="7"/>
        <v>833.08465211819998</v>
      </c>
      <c r="K36" s="5">
        <f t="shared" si="8"/>
        <v>686.18157759839994</v>
      </c>
      <c r="L36" s="5">
        <f t="shared" si="9"/>
        <v>17290.037126350573</v>
      </c>
      <c r="M36" s="5">
        <f t="shared" si="9"/>
        <v>305149.765335</v>
      </c>
      <c r="N36" s="42">
        <f t="shared" si="9"/>
        <v>15887.527587500001</v>
      </c>
    </row>
    <row r="37" spans="1:14" ht="15" thickBot="1" x14ac:dyDescent="0.35">
      <c r="A37" s="51" t="s">
        <v>60</v>
      </c>
      <c r="B37" s="43">
        <f t="shared" si="0"/>
        <v>5.1198163799999995E-4</v>
      </c>
      <c r="C37" s="44">
        <f t="shared" si="0"/>
        <v>5.2166040257799998E-4</v>
      </c>
      <c r="D37" s="44">
        <f t="shared" si="1"/>
        <v>9.798001469339998E-3</v>
      </c>
      <c r="E37" s="44">
        <f t="shared" si="2"/>
        <v>8.2668476428019996E-6</v>
      </c>
      <c r="F37" s="44">
        <f t="shared" si="3"/>
        <v>6.1733240100000001E-7</v>
      </c>
      <c r="G37" s="44">
        <f t="shared" si="4"/>
        <v>9.5841013521905969E-6</v>
      </c>
      <c r="H37" s="44">
        <f t="shared" si="5"/>
        <v>30.007649448239992</v>
      </c>
      <c r="I37" s="44">
        <f t="shared" si="6"/>
        <v>2531.46576364458</v>
      </c>
      <c r="J37" s="44">
        <f t="shared" si="7"/>
        <v>139.69219732800002</v>
      </c>
      <c r="K37" s="44">
        <f t="shared" si="8"/>
        <v>370.21125103247994</v>
      </c>
      <c r="L37" s="44">
        <f t="shared" si="9"/>
        <v>9207.0065866252116</v>
      </c>
      <c r="M37" s="44">
        <f t="shared" si="9"/>
        <v>77567.43666349999</v>
      </c>
      <c r="N37" s="45">
        <f t="shared" si="9"/>
        <v>945.29445999999996</v>
      </c>
    </row>
    <row r="38" spans="1:14" ht="15" thickBot="1" x14ac:dyDescent="0.35">
      <c r="A38" s="52" t="s">
        <v>53</v>
      </c>
      <c r="B38" s="47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9"/>
    </row>
    <row r="39" spans="1:14" ht="15" thickBot="1" x14ac:dyDescent="0.35">
      <c r="A39" s="51" t="s">
        <v>68</v>
      </c>
      <c r="B39" s="80">
        <f t="shared" ref="B39:C39" si="10">B16*2.8*10^-6</f>
        <v>2.7394710466666663E-2</v>
      </c>
      <c r="C39" s="81">
        <f t="shared" si="10"/>
        <v>4.1324593146666658E-2</v>
      </c>
      <c r="D39" s="81">
        <f t="shared" si="1"/>
        <v>0.28186700639999995</v>
      </c>
      <c r="E39" s="81">
        <f t="shared" si="2"/>
        <v>6.914582219999999E-3</v>
      </c>
      <c r="F39" s="81">
        <f t="shared" si="3"/>
        <v>5.5231578191999989E-5</v>
      </c>
      <c r="G39" s="81">
        <f t="shared" si="4"/>
        <v>2.5399018945199993E-4</v>
      </c>
      <c r="H39" s="81">
        <f t="shared" si="5"/>
        <v>4710.3527455999993</v>
      </c>
      <c r="I39" s="81">
        <f t="shared" si="6"/>
        <v>259247.26824639997</v>
      </c>
      <c r="J39" s="81">
        <f t="shared" si="7"/>
        <v>132707.012552</v>
      </c>
      <c r="K39" s="81">
        <f t="shared" si="8"/>
        <v>7819.9841948799994</v>
      </c>
      <c r="L39" s="81">
        <f t="shared" si="9"/>
        <v>511223.27744826669</v>
      </c>
      <c r="M39" s="81">
        <f t="shared" si="9"/>
        <v>5554231.4299999988</v>
      </c>
      <c r="N39" s="82">
        <f t="shared" si="9"/>
        <v>38770.827466666662</v>
      </c>
    </row>
    <row r="40" spans="1:14" ht="15" thickBot="1" x14ac:dyDescent="0.35">
      <c r="A40" s="52" t="s">
        <v>24</v>
      </c>
      <c r="B40" s="55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7"/>
    </row>
    <row r="41" spans="1:14" x14ac:dyDescent="0.3">
      <c r="A41" s="51" t="s">
        <v>61</v>
      </c>
      <c r="B41" s="77">
        <f t="shared" ref="B41:C43" si="11">B18*2.8*10^-6</f>
        <v>3.8098485739999992E-8</v>
      </c>
      <c r="C41" s="78">
        <f t="shared" si="11"/>
        <v>3.7091399099999998E-8</v>
      </c>
      <c r="D41" s="78">
        <f t="shared" si="1"/>
        <v>1.1925264119999999E-6</v>
      </c>
      <c r="E41" s="78">
        <f t="shared" si="2"/>
        <v>1.8775991975201998E-9</v>
      </c>
      <c r="F41" s="78">
        <f t="shared" si="3"/>
        <v>1.9598840099999996E-10</v>
      </c>
      <c r="G41" s="78">
        <f t="shared" si="4"/>
        <v>1.3286867579999998E-9</v>
      </c>
      <c r="H41" s="78">
        <f t="shared" si="5"/>
        <v>4.9859669905107599E-3</v>
      </c>
      <c r="I41" s="78">
        <f t="shared" si="6"/>
        <v>0.13144878594119999</v>
      </c>
      <c r="J41" s="78">
        <f t="shared" si="7"/>
        <v>0.223441523724</v>
      </c>
      <c r="K41" s="78">
        <f t="shared" si="8"/>
        <v>3.3561185860799994E-2</v>
      </c>
      <c r="L41" s="78">
        <f t="shared" si="9"/>
        <v>3.1192413881486329</v>
      </c>
      <c r="M41" s="78">
        <f t="shared" si="9"/>
        <v>15.8167343</v>
      </c>
      <c r="N41" s="79">
        <f t="shared" si="9"/>
        <v>1.7414099449999998E-2</v>
      </c>
    </row>
    <row r="42" spans="1:14" x14ac:dyDescent="0.3">
      <c r="A42" s="51" t="s">
        <v>62</v>
      </c>
      <c r="B42" s="41">
        <f t="shared" si="11"/>
        <v>4.5920647537799996E-6</v>
      </c>
      <c r="C42" s="5">
        <f t="shared" si="11"/>
        <v>2.3945210054219995E-5</v>
      </c>
      <c r="D42" s="5">
        <f t="shared" si="1"/>
        <v>6.4554465360000012E-5</v>
      </c>
      <c r="E42" s="5">
        <f t="shared" si="2"/>
        <v>9.9175205395979991E-8</v>
      </c>
      <c r="F42" s="5">
        <f t="shared" si="3"/>
        <v>5.4192379500000002E-9</v>
      </c>
      <c r="G42" s="5">
        <f t="shared" si="4"/>
        <v>4.2047408093399991E-8</v>
      </c>
      <c r="H42" s="5">
        <f t="shared" si="5"/>
        <v>339.86850779999997</v>
      </c>
      <c r="I42" s="5">
        <f t="shared" si="6"/>
        <v>60.341495112994203</v>
      </c>
      <c r="J42" s="5">
        <f t="shared" si="7"/>
        <v>4.7912034946541997</v>
      </c>
      <c r="K42" s="5">
        <f t="shared" si="8"/>
        <v>1.3161072117647998</v>
      </c>
      <c r="L42" s="5">
        <f t="shared" si="9"/>
        <v>42.63491813528276</v>
      </c>
      <c r="M42" s="5">
        <f t="shared" si="9"/>
        <v>642.457133365</v>
      </c>
      <c r="N42" s="42">
        <f t="shared" si="9"/>
        <v>0.59513654400000005</v>
      </c>
    </row>
    <row r="43" spans="1:14" ht="15" thickBot="1" x14ac:dyDescent="0.35">
      <c r="A43" s="53" t="s">
        <v>63</v>
      </c>
      <c r="B43" s="43">
        <f t="shared" si="11"/>
        <v>6.1802613777799987E-6</v>
      </c>
      <c r="C43" s="44">
        <f t="shared" si="11"/>
        <v>2.2726403374219998E-5</v>
      </c>
      <c r="D43" s="44">
        <f t="shared" si="1"/>
        <v>2.4384607296E-4</v>
      </c>
      <c r="E43" s="44">
        <f t="shared" si="2"/>
        <v>6.7568536888019992E-7</v>
      </c>
      <c r="F43" s="44">
        <f t="shared" si="3"/>
        <v>8.2632022199999999E-8</v>
      </c>
      <c r="G43" s="44">
        <f t="shared" si="4"/>
        <v>5.5112236937459984E-7</v>
      </c>
      <c r="H43" s="44">
        <f t="shared" si="5"/>
        <v>2.3944743060812392</v>
      </c>
      <c r="I43" s="44">
        <f t="shared" si="6"/>
        <v>332.54183160874203</v>
      </c>
      <c r="J43" s="44">
        <f t="shared" si="7"/>
        <v>35.130030046542004</v>
      </c>
      <c r="K43" s="44">
        <f t="shared" si="8"/>
        <v>4.6511447628047993</v>
      </c>
      <c r="L43" s="44">
        <f t="shared" si="9"/>
        <v>343.03702809651691</v>
      </c>
      <c r="M43" s="44">
        <f t="shared" si="9"/>
        <v>5753.4672663499996</v>
      </c>
      <c r="N43" s="45">
        <f t="shared" si="9"/>
        <v>4.26142228365</v>
      </c>
    </row>
    <row r="44" spans="1:14" x14ac:dyDescent="0.3">
      <c r="A44" s="32" t="s">
        <v>90</v>
      </c>
      <c r="B44" s="83">
        <v>2.2301567102680945E-2</v>
      </c>
      <c r="C44" s="83">
        <v>1.7149049713580927E-2</v>
      </c>
      <c r="D44" s="83">
        <v>0.16895535165365852</v>
      </c>
      <c r="E44" s="83">
        <v>1.703796510793361E-4</v>
      </c>
      <c r="F44" s="83">
        <v>1.2162958301592917E-5</v>
      </c>
      <c r="G44" s="83">
        <v>2.0530542882696615E-4</v>
      </c>
      <c r="H44" s="83">
        <v>820.61938468841015</v>
      </c>
      <c r="I44" s="83">
        <v>51862.095487513914</v>
      </c>
      <c r="J44" s="83">
        <v>8933.726685411546</v>
      </c>
      <c r="K44" s="83">
        <v>2781.9703846312041</v>
      </c>
      <c r="L44" s="83">
        <v>122275.85597740136</v>
      </c>
      <c r="M44" s="83">
        <v>1781506.3855506878</v>
      </c>
      <c r="N44" s="84">
        <v>52736.822245367213</v>
      </c>
    </row>
    <row r="45" spans="1:14" ht="15" thickBot="1" x14ac:dyDescent="0.35">
      <c r="A45" s="34" t="s">
        <v>91</v>
      </c>
      <c r="B45" s="85">
        <v>4.7550625788835531E-2</v>
      </c>
      <c r="C45" s="85">
        <v>2.7895273027543157E-2</v>
      </c>
      <c r="D45" s="85">
        <v>0.66361462653136982</v>
      </c>
      <c r="E45" s="85">
        <v>1.3647524691879859E-3</v>
      </c>
      <c r="F45" s="85">
        <v>1.4131280243186845E-4</v>
      </c>
      <c r="G45" s="85">
        <v>3.7360463240409045E-4</v>
      </c>
      <c r="H45" s="85">
        <v>2353.5446182060909</v>
      </c>
      <c r="I45" s="85">
        <v>98995.476872027735</v>
      </c>
      <c r="J45" s="85">
        <v>11742.291851062459</v>
      </c>
      <c r="K45" s="85">
        <v>9352.7589395358191</v>
      </c>
      <c r="L45" s="85">
        <v>502912.7510354307</v>
      </c>
      <c r="M45" s="85">
        <v>7712818.8486814955</v>
      </c>
      <c r="N45" s="65">
        <v>82657.565414067358</v>
      </c>
    </row>
    <row r="47" spans="1:14" x14ac:dyDescent="0.3">
      <c r="A47" s="87" t="s">
        <v>92</v>
      </c>
    </row>
    <row r="48" spans="1:14" x14ac:dyDescent="0.3">
      <c r="B48" t="s">
        <v>83</v>
      </c>
      <c r="C48" t="s">
        <v>84</v>
      </c>
      <c r="D48" t="s">
        <v>85</v>
      </c>
      <c r="E48" t="s">
        <v>86</v>
      </c>
    </row>
    <row r="49" spans="1:17" x14ac:dyDescent="0.3">
      <c r="A49" t="s">
        <v>87</v>
      </c>
      <c r="B49" s="5">
        <f>SUM(B28:G37)*0.125</f>
        <v>4.1118700122826042E-2</v>
      </c>
      <c r="C49" s="5">
        <f>SUM(H28:K37)*0.125</f>
        <v>20548.920225674803</v>
      </c>
      <c r="D49" s="5">
        <f>SUM(L28:L37)*0.125</f>
        <v>13640.469186884282</v>
      </c>
      <c r="E49" s="5">
        <f>SUM(M28:N37)*0.125</f>
        <v>194716.01167013327</v>
      </c>
    </row>
    <row r="50" spans="1:17" x14ac:dyDescent="0.3">
      <c r="A50" t="s">
        <v>88</v>
      </c>
      <c r="B50" s="5">
        <f>SUM(B39:G39)*0.125</f>
        <v>4.4726264250122161E-2</v>
      </c>
      <c r="C50" s="5">
        <f>SUM(H39:K39)*0.125</f>
        <v>50560.577217359998</v>
      </c>
      <c r="D50" s="5">
        <f>SUM(L39)*0.125</f>
        <v>63902.909681033336</v>
      </c>
      <c r="E50" s="5">
        <f>SUM(M39:N39)*0.125</f>
        <v>699125.28218333318</v>
      </c>
    </row>
    <row r="51" spans="1:17" x14ac:dyDescent="0.3">
      <c r="A51" t="s">
        <v>89</v>
      </c>
      <c r="B51" s="5">
        <f>SUM(B41:G43)*0.125</f>
        <v>4.6071459757886337E-5</v>
      </c>
      <c r="C51" s="5">
        <f>SUM(H41:K43)*0.125</f>
        <v>97.678528975762489</v>
      </c>
      <c r="D51" s="5">
        <f>SUM(L41:L43)*0.125</f>
        <v>48.598898452493536</v>
      </c>
      <c r="E51" s="5">
        <f>SUM(M41:N43)*0.125</f>
        <v>802.07688836776242</v>
      </c>
    </row>
    <row r="53" spans="1:17" x14ac:dyDescent="0.3">
      <c r="A53" s="86" t="s">
        <v>93</v>
      </c>
    </row>
    <row r="54" spans="1:17" x14ac:dyDescent="0.3">
      <c r="B54" t="s">
        <v>83</v>
      </c>
      <c r="C54" t="s">
        <v>84</v>
      </c>
      <c r="D54" t="s">
        <v>85</v>
      </c>
      <c r="E54" t="s">
        <v>86</v>
      </c>
    </row>
    <row r="55" spans="1:17" x14ac:dyDescent="0.3">
      <c r="A55" t="s">
        <v>87</v>
      </c>
      <c r="B55" s="5"/>
      <c r="C55" s="5"/>
      <c r="D55" s="5"/>
      <c r="E55" s="5"/>
    </row>
    <row r="56" spans="1:17" x14ac:dyDescent="0.3">
      <c r="A56" t="s">
        <v>88</v>
      </c>
      <c r="B56" s="5"/>
      <c r="C56" s="5"/>
      <c r="D56" s="5"/>
      <c r="E56" s="5"/>
    </row>
    <row r="57" spans="1:17" x14ac:dyDescent="0.3">
      <c r="A57" t="s">
        <v>89</v>
      </c>
      <c r="B57" s="5"/>
      <c r="C57" s="5"/>
      <c r="D57" s="5"/>
      <c r="E57" s="5"/>
    </row>
    <row r="59" spans="1:17" x14ac:dyDescent="0.3">
      <c r="A59" s="88" t="s">
        <v>94</v>
      </c>
    </row>
    <row r="60" spans="1:17" x14ac:dyDescent="0.3">
      <c r="B60" t="s">
        <v>83</v>
      </c>
      <c r="C60" t="s">
        <v>84</v>
      </c>
      <c r="D60" t="s">
        <v>85</v>
      </c>
      <c r="E60" t="s">
        <v>86</v>
      </c>
    </row>
    <row r="61" spans="1:17" x14ac:dyDescent="0.3">
      <c r="A61" t="s">
        <v>87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7" x14ac:dyDescent="0.3">
      <c r="A62" t="s">
        <v>88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 x14ac:dyDescent="0.3">
      <c r="A63" t="s">
        <v>89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 x14ac:dyDescent="0.3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2:17" x14ac:dyDescent="0.3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2:17" x14ac:dyDescent="0.3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2:17" x14ac:dyDescent="0.3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2:17" x14ac:dyDescent="0.3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2:17" x14ac:dyDescent="0.3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2:17" x14ac:dyDescent="0.3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2:17" x14ac:dyDescent="0.3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2:17" x14ac:dyDescent="0.3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2:17" x14ac:dyDescent="0.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2:17" x14ac:dyDescent="0.3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2:17" x14ac:dyDescent="0.3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2:17" x14ac:dyDescent="0.3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2:17" x14ac:dyDescent="0.3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</sheetData>
  <mergeCells count="2">
    <mergeCell ref="Q5:Q8"/>
    <mergeCell ref="Q10:Q13"/>
  </mergeCells>
  <conditionalFormatting sqref="T4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{8D878BC9-4902-433E-BB1B-032CADA30CBD}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878BC9-4902-433E-BB1B-032CADA30C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6d3877-51e5-4aba-8708-8d6e04bb7e7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0FABE9A6393848AB595C9D2037B4B9" ma:contentTypeVersion="12" ma:contentTypeDescription="Crée un document." ma:contentTypeScope="" ma:versionID="71d51b7d628b15aac472300875672305">
  <xsd:schema xmlns:xsd="http://www.w3.org/2001/XMLSchema" xmlns:xs="http://www.w3.org/2001/XMLSchema" xmlns:p="http://schemas.microsoft.com/office/2006/metadata/properties" xmlns:ns3="2a6d3877-51e5-4aba-8708-8d6e04bb7e72" xmlns:ns4="f9c419ee-f052-4316-98d9-52dc11559525" targetNamespace="http://schemas.microsoft.com/office/2006/metadata/properties" ma:root="true" ma:fieldsID="fc15980e66dba474a2fcba3fd4cd4ab9" ns3:_="" ns4:_="">
    <xsd:import namespace="2a6d3877-51e5-4aba-8708-8d6e04bb7e72"/>
    <xsd:import namespace="f9c419ee-f052-4316-98d9-52dc115595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6d3877-51e5-4aba-8708-8d6e04bb7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c419ee-f052-4316-98d9-52dc115595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250EDD-FB50-48E6-A1BC-626D6377D1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62AE48-10E4-48E8-BB6F-2F42F3DA9821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f9c419ee-f052-4316-98d9-52dc11559525"/>
    <ds:schemaRef ds:uri="2a6d3877-51e5-4aba-8708-8d6e04bb7e7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4B1F269-D4DC-498F-9162-0D1FE737AD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6d3877-51e5-4aba-8708-8d6e04bb7e72"/>
    <ds:schemaRef ds:uri="f9c419ee-f052-4316-98d9-52dc115595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CIP</vt:lpstr>
      <vt:lpstr>Graphique1</vt:lpstr>
      <vt:lpstr>Graphique2</vt:lpstr>
      <vt:lpstr>Annexe 1</vt:lpstr>
      <vt:lpstr>Annexe 2</vt:lpstr>
    </vt:vector>
  </TitlesOfParts>
  <Company>UdeS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Roure</dc:creator>
  <cp:lastModifiedBy>Alexis Guérard</cp:lastModifiedBy>
  <dcterms:created xsi:type="dcterms:W3CDTF">2017-09-07T15:48:18Z</dcterms:created>
  <dcterms:modified xsi:type="dcterms:W3CDTF">2023-02-22T01:32:10Z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0x010100150FABE9A6393848AB595C9D2037B4B9</vt:lpwstr>
  </property>
</Properties>
</file>