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ridge\City2122_SEM_B\EE3315\cal\"/>
    </mc:Choice>
  </mc:AlternateContent>
  <xr:revisionPtr revIDLastSave="0" documentId="13_ncr:1_{FC7B2E87-21C2-4418-B99C-6A7189CD262D}" xr6:coauthVersionLast="47" xr6:coauthVersionMax="47" xr10:uidLastSave="{00000000-0000-0000-0000-000000000000}"/>
  <bookViews>
    <workbookView xWindow="-120" yWindow="-120" windowWidth="29040" windowHeight="15840" tabRatio="844" firstSheet="6" activeTab="7" xr2:uid="{C4908155-BAB6-47E6-AFAA-68A97289792F}"/>
  </bookViews>
  <sheets>
    <sheet name="Questions" sheetId="11" r:id="rId1"/>
    <sheet name="calDistVec" sheetId="1" r:id="rId2"/>
    <sheet name="calTriDistVec" sheetId="2" r:id="rId3"/>
    <sheet name="linkStateRouting" sheetId="3" r:id="rId4"/>
    <sheet name="routeTableUpdate" sheetId="4" r:id="rId5"/>
    <sheet name="routeTableGate" sheetId="5" r:id="rId6"/>
    <sheet name="HTTP obj and RTT delay time" sheetId="6" r:id="rId7"/>
    <sheet name="Avg access delay" sheetId="7" r:id="rId8"/>
    <sheet name="Road trip times" sheetId="9" r:id="rId9"/>
    <sheet name="Sender &amp; Receiv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AN2" i="9" s="1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AZ2" i="9" s="1"/>
  <c r="BA2" i="9" s="1"/>
  <c r="BB2" i="9" s="1"/>
  <c r="BC2" i="9" s="1"/>
  <c r="BD2" i="9" s="1"/>
  <c r="BE2" i="9" s="1"/>
  <c r="BF2" i="9" s="1"/>
  <c r="BG2" i="9" s="1"/>
  <c r="BH2" i="9" s="1"/>
  <c r="BI2" i="9" s="1"/>
  <c r="BJ2" i="9" s="1"/>
  <c r="BK2" i="9" s="1"/>
  <c r="BL2" i="9" s="1"/>
  <c r="BM2" i="9" s="1"/>
  <c r="F2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E6" i="9"/>
  <c r="F7" i="9"/>
  <c r="E7" i="9"/>
  <c r="E5" i="9"/>
  <c r="H10" i="5"/>
  <c r="H4" i="5"/>
  <c r="H9" i="5"/>
  <c r="I9" i="5" s="1"/>
  <c r="J9" i="5" s="1"/>
  <c r="I37" i="10"/>
  <c r="G36" i="10"/>
  <c r="G31" i="10"/>
  <c r="G30" i="10"/>
  <c r="G13" i="10"/>
  <c r="Q2" i="10"/>
  <c r="P2" i="10"/>
  <c r="P3" i="10"/>
  <c r="P4" i="10"/>
  <c r="P5" i="10"/>
  <c r="P6" i="10"/>
  <c r="M6" i="10"/>
  <c r="M5" i="10"/>
  <c r="M4" i="10"/>
  <c r="G5" i="10" s="1"/>
  <c r="M3" i="10"/>
  <c r="M2" i="10"/>
  <c r="G3" i="10" s="1"/>
  <c r="G2" i="10"/>
  <c r="I2" i="10"/>
  <c r="G14" i="10" s="1"/>
  <c r="I14" i="10" s="1"/>
  <c r="G6" i="10"/>
  <c r="O6" i="6"/>
  <c r="O5" i="6"/>
  <c r="L20" i="7"/>
  <c r="L17" i="7"/>
  <c r="I6" i="6"/>
  <c r="N27" i="7"/>
  <c r="N22" i="7"/>
  <c r="L12" i="7"/>
  <c r="L9" i="7"/>
  <c r="H13" i="7"/>
  <c r="E2" i="9"/>
  <c r="H6" i="7"/>
  <c r="J6" i="7"/>
  <c r="P6" i="7"/>
  <c r="P7" i="7" s="1"/>
  <c r="H7" i="7"/>
  <c r="P24" i="7"/>
  <c r="P25" i="7" s="1"/>
  <c r="J25" i="7"/>
  <c r="H25" i="7"/>
  <c r="H24" i="7"/>
  <c r="J24" i="7"/>
  <c r="P19" i="7"/>
  <c r="N20" i="7" s="1"/>
  <c r="P16" i="7"/>
  <c r="P2" i="7"/>
  <c r="H11" i="7" s="1"/>
  <c r="H20" i="7"/>
  <c r="J19" i="7"/>
  <c r="H19" i="7"/>
  <c r="H17" i="7"/>
  <c r="J16" i="7"/>
  <c r="H16" i="7"/>
  <c r="L13" i="7"/>
  <c r="S12" i="7"/>
  <c r="J11" i="7"/>
  <c r="H3" i="7"/>
  <c r="J2" i="7"/>
  <c r="H2" i="7"/>
  <c r="J27" i="6"/>
  <c r="M27" i="6"/>
  <c r="I22" i="6"/>
  <c r="I13" i="6"/>
  <c r="Z24" i="6"/>
  <c r="Z25" i="6"/>
  <c r="Z26" i="6"/>
  <c r="Z27" i="6"/>
  <c r="Z28" i="6"/>
  <c r="W13" i="6"/>
  <c r="V13" i="6"/>
  <c r="AA22" i="6"/>
  <c r="Z22" i="6"/>
  <c r="W22" i="6"/>
  <c r="V22" i="6"/>
  <c r="V25" i="6"/>
  <c r="I24" i="6" s="1"/>
  <c r="V26" i="6"/>
  <c r="I25" i="6" s="1"/>
  <c r="V27" i="6"/>
  <c r="I26" i="6" s="1"/>
  <c r="V28" i="6"/>
  <c r="I27" i="6" s="1"/>
  <c r="V24" i="6"/>
  <c r="V16" i="6"/>
  <c r="V17" i="6"/>
  <c r="I16" i="6" s="1"/>
  <c r="V18" i="6"/>
  <c r="V19" i="6"/>
  <c r="V15" i="6"/>
  <c r="Y28" i="6"/>
  <c r="Y27" i="6"/>
  <c r="Y26" i="6"/>
  <c r="Y25" i="6"/>
  <c r="Y24" i="6"/>
  <c r="Y23" i="6"/>
  <c r="AA23" i="6" s="1"/>
  <c r="M28" i="6"/>
  <c r="J28" i="6"/>
  <c r="M26" i="6"/>
  <c r="J26" i="6"/>
  <c r="M25" i="6"/>
  <c r="J25" i="6"/>
  <c r="M24" i="6"/>
  <c r="J24" i="6"/>
  <c r="M23" i="6"/>
  <c r="J23" i="6"/>
  <c r="M22" i="6"/>
  <c r="J22" i="6"/>
  <c r="U28" i="6"/>
  <c r="R28" i="6"/>
  <c r="U27" i="6"/>
  <c r="R27" i="6"/>
  <c r="U26" i="6"/>
  <c r="R26" i="6"/>
  <c r="U25" i="6"/>
  <c r="R25" i="6"/>
  <c r="U24" i="6"/>
  <c r="R24" i="6"/>
  <c r="U23" i="6"/>
  <c r="S27" i="6" s="1" a="1"/>
  <c r="R23" i="6"/>
  <c r="O21" i="6"/>
  <c r="L21" i="6"/>
  <c r="J21" i="6"/>
  <c r="S18" i="6" a="1"/>
  <c r="M18" i="6"/>
  <c r="J18" i="6"/>
  <c r="R15" i="6"/>
  <c r="R16" i="6"/>
  <c r="R17" i="6"/>
  <c r="R18" i="6"/>
  <c r="R19" i="6"/>
  <c r="R14" i="6"/>
  <c r="U14" i="6"/>
  <c r="W14" i="6" s="1"/>
  <c r="U15" i="6"/>
  <c r="U16" i="6"/>
  <c r="U17" i="6"/>
  <c r="U18" i="6"/>
  <c r="U19" i="6"/>
  <c r="M17" i="6"/>
  <c r="J17" i="6"/>
  <c r="J16" i="6"/>
  <c r="C14" i="6"/>
  <c r="B14" i="6"/>
  <c r="S19" i="6" s="1" a="1"/>
  <c r="M19" i="6"/>
  <c r="J19" i="6"/>
  <c r="M16" i="6"/>
  <c r="M15" i="6"/>
  <c r="J15" i="6"/>
  <c r="M14" i="6"/>
  <c r="J14" i="6"/>
  <c r="M3" i="6"/>
  <c r="M4" i="6"/>
  <c r="M5" i="6"/>
  <c r="M6" i="6"/>
  <c r="M2" i="6"/>
  <c r="O12" i="6"/>
  <c r="J12" i="6"/>
  <c r="M13" i="6"/>
  <c r="J13" i="6"/>
  <c r="L12" i="6"/>
  <c r="C6" i="6"/>
  <c r="L6" i="6"/>
  <c r="L5" i="6"/>
  <c r="I5" i="6"/>
  <c r="P6" i="6"/>
  <c r="J6" i="6"/>
  <c r="P5" i="6"/>
  <c r="J5" i="6"/>
  <c r="O4" i="6"/>
  <c r="L4" i="6"/>
  <c r="I4" i="6"/>
  <c r="P4" i="6"/>
  <c r="J4" i="6"/>
  <c r="O3" i="6"/>
  <c r="L3" i="6"/>
  <c r="I3" i="6"/>
  <c r="I2" i="6"/>
  <c r="P3" i="6"/>
  <c r="J3" i="6"/>
  <c r="P2" i="6"/>
  <c r="J2" i="6"/>
  <c r="O2" i="6"/>
  <c r="L2" i="6"/>
  <c r="H11" i="5"/>
  <c r="I11" i="5" s="1"/>
  <c r="J11" i="5" s="1"/>
  <c r="I10" i="5"/>
  <c r="J10" i="5" s="1"/>
  <c r="H8" i="5"/>
  <c r="I8" i="5" s="1"/>
  <c r="J8" i="5" s="1"/>
  <c r="H7" i="5"/>
  <c r="I7" i="5" s="1"/>
  <c r="J7" i="5" s="1"/>
  <c r="H6" i="5"/>
  <c r="I6" i="5" s="1"/>
  <c r="J6" i="5" s="1"/>
  <c r="H5" i="5"/>
  <c r="I5" i="5" s="1"/>
  <c r="J5" i="5" s="1"/>
  <c r="I4" i="5"/>
  <c r="J4" i="5" s="1"/>
  <c r="H3" i="5"/>
  <c r="I3" i="5" s="1"/>
  <c r="J3" i="5" s="1"/>
  <c r="F5" i="9" l="1"/>
  <c r="R5" i="9"/>
  <c r="O7" i="9"/>
  <c r="Q7" i="9"/>
  <c r="P7" i="9"/>
  <c r="I5" i="9"/>
  <c r="H5" i="9"/>
  <c r="N7" i="9"/>
  <c r="G5" i="9"/>
  <c r="M7" i="9"/>
  <c r="L7" i="9"/>
  <c r="K7" i="9"/>
  <c r="O5" i="9"/>
  <c r="N5" i="9"/>
  <c r="M5" i="9"/>
  <c r="J7" i="9"/>
  <c r="Q5" i="9"/>
  <c r="R7" i="9"/>
  <c r="J5" i="9"/>
  <c r="I7" i="9"/>
  <c r="P5" i="9"/>
  <c r="S7" i="9"/>
  <c r="L5" i="9"/>
  <c r="K5" i="9"/>
  <c r="H7" i="9"/>
  <c r="G7" i="9"/>
  <c r="G32" i="10"/>
  <c r="G7" i="10"/>
  <c r="Q3" i="10"/>
  <c r="I32" i="10" s="1"/>
  <c r="I31" i="10"/>
  <c r="I3" i="10"/>
  <c r="G8" i="10" s="1"/>
  <c r="I5" i="10"/>
  <c r="I6" i="10"/>
  <c r="G4" i="10"/>
  <c r="P17" i="7"/>
  <c r="J18" i="7" s="1"/>
  <c r="S15" i="6" a="1"/>
  <c r="P20" i="7"/>
  <c r="J21" i="7" s="1"/>
  <c r="P8" i="7"/>
  <c r="L27" i="7" s="1"/>
  <c r="H8" i="7"/>
  <c r="L7" i="7"/>
  <c r="J8" i="7"/>
  <c r="N25" i="7"/>
  <c r="J26" i="7"/>
  <c r="H26" i="7"/>
  <c r="H21" i="7"/>
  <c r="H18" i="7"/>
  <c r="N17" i="7"/>
  <c r="P3" i="7"/>
  <c r="H4" i="7"/>
  <c r="L3" i="7"/>
  <c r="W15" i="6"/>
  <c r="S23" i="6"/>
  <c r="T23" i="6" s="1"/>
  <c r="S17" i="6" a="1"/>
  <c r="S17" i="6" s="1"/>
  <c r="S16" i="6" a="1"/>
  <c r="S16" i="6" s="1"/>
  <c r="W23" i="6"/>
  <c r="W24" i="6"/>
  <c r="S27" i="6"/>
  <c r="L22" i="6"/>
  <c r="I23" i="6"/>
  <c r="S28" i="6" a="1"/>
  <c r="S28" i="6" s="1"/>
  <c r="S26" i="6" a="1"/>
  <c r="S26" i="6" s="1"/>
  <c r="S24" i="6" a="1"/>
  <c r="S24" i="6" s="1"/>
  <c r="S25" i="6" a="1"/>
  <c r="S25" i="6" s="1"/>
  <c r="I15" i="6"/>
  <c r="I17" i="6"/>
  <c r="L13" i="6"/>
  <c r="I14" i="6"/>
  <c r="I18" i="6"/>
  <c r="S15" i="6"/>
  <c r="S14" i="6"/>
  <c r="T14" i="6" s="1"/>
  <c r="S18" i="6"/>
  <c r="S19" i="6"/>
  <c r="H12" i="4"/>
  <c r="G12" i="4"/>
  <c r="F12" i="4"/>
  <c r="E12" i="4"/>
  <c r="D12" i="4"/>
  <c r="H11" i="4"/>
  <c r="G11" i="4"/>
  <c r="F11" i="4"/>
  <c r="E11" i="4"/>
  <c r="D11" i="4"/>
  <c r="H10" i="4"/>
  <c r="G10" i="4"/>
  <c r="F10" i="4"/>
  <c r="E10" i="4"/>
  <c r="D10" i="4"/>
  <c r="H9" i="4"/>
  <c r="G9" i="4"/>
  <c r="F9" i="4"/>
  <c r="E9" i="4"/>
  <c r="D9" i="4"/>
  <c r="H8" i="4"/>
  <c r="G8" i="4"/>
  <c r="F8" i="4"/>
  <c r="E8" i="4"/>
  <c r="D8" i="4"/>
  <c r="S5" i="9" l="1"/>
  <c r="P18" i="7"/>
  <c r="G13" i="4" a="1"/>
  <c r="G13" i="4" s="1"/>
  <c r="G14" i="4" s="1"/>
  <c r="F13" i="4" a="1"/>
  <c r="F13" i="4" s="1"/>
  <c r="F14" i="4" s="1"/>
  <c r="Q6" i="10"/>
  <c r="I35" i="10" s="1"/>
  <c r="G33" i="10"/>
  <c r="Q4" i="10"/>
  <c r="I20" i="10"/>
  <c r="G20" i="10" s="1"/>
  <c r="G24" i="10"/>
  <c r="G18" i="10"/>
  <c r="I18" i="10" s="1"/>
  <c r="G11" i="10"/>
  <c r="G17" i="10"/>
  <c r="I17" i="10" s="1"/>
  <c r="G10" i="10"/>
  <c r="I4" i="10"/>
  <c r="G15" i="10"/>
  <c r="I15" i="10" s="1"/>
  <c r="H13" i="4" a="1"/>
  <c r="H13" i="4" s="1"/>
  <c r="H14" i="4" s="1"/>
  <c r="D13" i="4" a="1"/>
  <c r="D13" i="4" s="1"/>
  <c r="D14" i="4" s="1"/>
  <c r="E13" i="4" a="1"/>
  <c r="E13" i="4" s="1"/>
  <c r="E14" i="4" s="1"/>
  <c r="I19" i="6"/>
  <c r="P26" i="7"/>
  <c r="P27" i="7" s="1"/>
  <c r="P4" i="7"/>
  <c r="P9" i="7" s="1"/>
  <c r="L11" i="7"/>
  <c r="J4" i="7"/>
  <c r="P11" i="7"/>
  <c r="P12" i="7" s="1"/>
  <c r="P21" i="7"/>
  <c r="H22" i="7" s="1"/>
  <c r="J13" i="7"/>
  <c r="J9" i="7"/>
  <c r="X23" i="6"/>
  <c r="T24" i="6"/>
  <c r="X24" i="6"/>
  <c r="AA24" i="6" s="1"/>
  <c r="L23" i="6" s="1"/>
  <c r="T15" i="6"/>
  <c r="L14" i="6"/>
  <c r="J24" i="3"/>
  <c r="J23" i="3"/>
  <c r="J22" i="3"/>
  <c r="J21" i="3"/>
  <c r="J20" i="3"/>
  <c r="J19" i="3"/>
  <c r="J15" i="3"/>
  <c r="J14" i="3"/>
  <c r="J13" i="3"/>
  <c r="J12" i="3"/>
  <c r="L12" i="3" s="1"/>
  <c r="M12" i="3" s="1"/>
  <c r="J11" i="3"/>
  <c r="J10" i="3"/>
  <c r="J7" i="3"/>
  <c r="J6" i="3"/>
  <c r="L6" i="3" s="1"/>
  <c r="M6" i="3" s="1"/>
  <c r="J5" i="3"/>
  <c r="J4" i="3"/>
  <c r="J3" i="3"/>
  <c r="J2" i="3"/>
  <c r="L2" i="3" s="1"/>
  <c r="M2" i="3" s="1"/>
  <c r="T5" i="9" l="1"/>
  <c r="T7" i="9"/>
  <c r="L21" i="3"/>
  <c r="M21" i="3" s="1"/>
  <c r="L14" i="3"/>
  <c r="M14" i="3" s="1"/>
  <c r="L23" i="3"/>
  <c r="M23" i="3" s="1"/>
  <c r="G34" i="10"/>
  <c r="Q5" i="10"/>
  <c r="G35" i="10" s="1"/>
  <c r="I33" i="10"/>
  <c r="G16" i="10"/>
  <c r="I16" i="10" s="1"/>
  <c r="G9" i="10"/>
  <c r="L10" i="3"/>
  <c r="M10" i="3" s="1"/>
  <c r="L19" i="3"/>
  <c r="M19" i="3" s="1"/>
  <c r="L4" i="3"/>
  <c r="M4" i="3" s="1"/>
  <c r="P22" i="7"/>
  <c r="H12" i="7"/>
  <c r="H9" i="7"/>
  <c r="L14" i="7"/>
  <c r="H27" i="7"/>
  <c r="N13" i="7"/>
  <c r="P13" i="7"/>
  <c r="N14" i="7" s="1"/>
  <c r="J12" i="7"/>
  <c r="L22" i="7"/>
  <c r="X25" i="6"/>
  <c r="AA25" i="6" s="1"/>
  <c r="L24" i="6" s="1"/>
  <c r="T25" i="6"/>
  <c r="W25" i="6" s="1"/>
  <c r="T16" i="6"/>
  <c r="I18" i="2"/>
  <c r="D18" i="2"/>
  <c r="J17" i="2"/>
  <c r="C17" i="2"/>
  <c r="I16" i="2"/>
  <c r="D16" i="2"/>
  <c r="J15" i="2"/>
  <c r="C15" i="2"/>
  <c r="I14" i="2"/>
  <c r="D14" i="2"/>
  <c r="J13" i="2"/>
  <c r="C13" i="2"/>
  <c r="I12" i="2"/>
  <c r="D12" i="2"/>
  <c r="J11" i="2"/>
  <c r="C11" i="2"/>
  <c r="I10" i="2"/>
  <c r="D10" i="2"/>
  <c r="J9" i="2"/>
  <c r="C9" i="2"/>
  <c r="I8" i="2"/>
  <c r="D8" i="2"/>
  <c r="J7" i="2"/>
  <c r="C7" i="2"/>
  <c r="I6" i="2"/>
  <c r="D6" i="2"/>
  <c r="K5" i="2"/>
  <c r="J6" i="2" s="1"/>
  <c r="J5" i="2"/>
  <c r="I5" i="2"/>
  <c r="D5" i="2"/>
  <c r="C5" i="2"/>
  <c r="B5" i="2"/>
  <c r="C6" i="2" s="1"/>
  <c r="K4" i="2"/>
  <c r="J4" i="2"/>
  <c r="I4" i="2"/>
  <c r="K3" i="2"/>
  <c r="J3" i="2"/>
  <c r="I3" i="2"/>
  <c r="K2" i="2"/>
  <c r="J2" i="2"/>
  <c r="I2" i="2"/>
  <c r="U5" i="9" l="1"/>
  <c r="U7" i="9"/>
  <c r="K6" i="2"/>
  <c r="L6" i="2" s="1"/>
  <c r="G27" i="10"/>
  <c r="I23" i="10"/>
  <c r="I34" i="10"/>
  <c r="G26" i="10"/>
  <c r="I22" i="10"/>
  <c r="B6" i="2"/>
  <c r="D7" i="2" s="1"/>
  <c r="T26" i="6"/>
  <c r="W26" i="6" s="1"/>
  <c r="T27" i="6" s="1"/>
  <c r="W27" i="6" s="1"/>
  <c r="X26" i="6"/>
  <c r="AA26" i="6" s="1"/>
  <c r="L25" i="6" s="1"/>
  <c r="W16" i="6"/>
  <c r="L15" i="6" s="1"/>
  <c r="E5" i="2"/>
  <c r="L5" i="2"/>
  <c r="V5" i="9" l="1"/>
  <c r="V7" i="9"/>
  <c r="I7" i="2"/>
  <c r="B7" i="2"/>
  <c r="E6" i="2"/>
  <c r="K7" i="2"/>
  <c r="J8" i="2" s="1"/>
  <c r="G37" i="10"/>
  <c r="G28" i="10" s="1"/>
  <c r="I21" i="10"/>
  <c r="G21" i="10" s="1"/>
  <c r="G22" i="10" s="1"/>
  <c r="G23" i="10" s="1"/>
  <c r="G25" i="10"/>
  <c r="X27" i="6"/>
  <c r="AA27" i="6" s="1"/>
  <c r="X28" i="6" s="1"/>
  <c r="AA28" i="6" s="1"/>
  <c r="L27" i="6" s="1"/>
  <c r="T17" i="6"/>
  <c r="W17" i="6" s="1"/>
  <c r="T28" i="6"/>
  <c r="C8" i="2"/>
  <c r="E7" i="2"/>
  <c r="B8" i="2"/>
  <c r="W5" i="9" l="1"/>
  <c r="W7" i="9"/>
  <c r="L7" i="2"/>
  <c r="K8" i="2"/>
  <c r="L8" i="2" s="1"/>
  <c r="E8" i="2"/>
  <c r="L26" i="6"/>
  <c r="W28" i="6"/>
  <c r="L16" i="6"/>
  <c r="T18" i="6"/>
  <c r="W18" i="6" s="1"/>
  <c r="I9" i="2"/>
  <c r="B9" i="2"/>
  <c r="D9" i="2"/>
  <c r="K9" i="2"/>
  <c r="J10" i="2" s="1"/>
  <c r="X5" i="9" l="1"/>
  <c r="X7" i="9"/>
  <c r="T19" i="6"/>
  <c r="W19" i="6" s="1"/>
  <c r="L17" i="6"/>
  <c r="E9" i="2"/>
  <c r="C10" i="2"/>
  <c r="B10" i="2"/>
  <c r="K10" i="2"/>
  <c r="L10" i="2" s="1"/>
  <c r="L9" i="2"/>
  <c r="Y5" i="9" l="1"/>
  <c r="Y7" i="9"/>
  <c r="E10" i="2"/>
  <c r="L18" i="6"/>
  <c r="L19" i="6" s="1"/>
  <c r="D11" i="2"/>
  <c r="K11" i="2"/>
  <c r="J12" i="2" s="1"/>
  <c r="B11" i="2"/>
  <c r="I11" i="2"/>
  <c r="Z5" i="9" l="1"/>
  <c r="Z7" i="9"/>
  <c r="K12" i="2"/>
  <c r="L12" i="2" s="1"/>
  <c r="L11" i="2"/>
  <c r="C12" i="2"/>
  <c r="E11" i="2"/>
  <c r="B12" i="2"/>
  <c r="AA5" i="9" l="1"/>
  <c r="AA7" i="9"/>
  <c r="E12" i="2"/>
  <c r="D13" i="2"/>
  <c r="K13" i="2"/>
  <c r="J14" i="2" s="1"/>
  <c r="I13" i="2"/>
  <c r="B13" i="2"/>
  <c r="AB5" i="9" l="1"/>
  <c r="AB7" i="9"/>
  <c r="K14" i="2"/>
  <c r="L13" i="2"/>
  <c r="C14" i="2"/>
  <c r="E13" i="2"/>
  <c r="L14" i="2"/>
  <c r="B14" i="2"/>
  <c r="E14" i="2" s="1"/>
  <c r="AC5" i="9" l="1"/>
  <c r="AC7" i="9"/>
  <c r="D15" i="2"/>
  <c r="K15" i="2"/>
  <c r="J16" i="2" s="1"/>
  <c r="B15" i="2"/>
  <c r="I15" i="2"/>
  <c r="AD5" i="9" l="1"/>
  <c r="AD7" i="9"/>
  <c r="K16" i="2"/>
  <c r="L16" i="2" s="1"/>
  <c r="L15" i="2"/>
  <c r="E15" i="2"/>
  <c r="C16" i="2"/>
  <c r="B16" i="2"/>
  <c r="AE7" i="9" l="1"/>
  <c r="AE5" i="9"/>
  <c r="E16" i="2"/>
  <c r="B17" i="2"/>
  <c r="I17" i="2"/>
  <c r="K17" i="2"/>
  <c r="J18" i="2" s="1"/>
  <c r="D17" i="2"/>
  <c r="AF7" i="9" l="1"/>
  <c r="AF5" i="9"/>
  <c r="B18" i="2"/>
  <c r="L17" i="2"/>
  <c r="K18" i="2"/>
  <c r="L18" i="2" s="1"/>
  <c r="C18" i="2"/>
  <c r="E18" i="2" s="1"/>
  <c r="E17" i="2"/>
  <c r="AG7" i="9" l="1"/>
  <c r="AG5" i="9"/>
  <c r="G3" i="1"/>
  <c r="G5" i="1" s="1"/>
  <c r="F3" i="1"/>
  <c r="F5" i="1" s="1"/>
  <c r="E3" i="1"/>
  <c r="E5" i="1" s="1"/>
  <c r="D3" i="1"/>
  <c r="D5" i="1" s="1"/>
  <c r="C3" i="1"/>
  <c r="C5" i="1" s="1"/>
  <c r="B3" i="1"/>
  <c r="B5" i="1" s="1"/>
  <c r="AH7" i="9" l="1"/>
  <c r="AH5" i="9"/>
  <c r="L28" i="6"/>
  <c r="I28" i="6"/>
  <c r="AI7" i="9" l="1"/>
  <c r="AI5" i="9"/>
  <c r="AJ7" i="9" l="1"/>
  <c r="AJ5" i="9"/>
  <c r="AK7" i="9" l="1"/>
  <c r="AK5" i="9"/>
  <c r="AL7" i="9" l="1"/>
  <c r="AL5" i="9"/>
  <c r="AM7" i="9" l="1"/>
  <c r="AM5" i="9"/>
  <c r="AN7" i="9" l="1"/>
  <c r="AN5" i="9"/>
  <c r="AO5" i="9" l="1"/>
  <c r="AO7" i="9"/>
  <c r="AP5" i="9" l="1"/>
  <c r="AP7" i="9"/>
  <c r="AQ7" i="9" l="1"/>
  <c r="AQ5" i="9"/>
  <c r="AR5" i="9" l="1"/>
  <c r="AR7" i="9"/>
  <c r="AS7" i="9" l="1"/>
  <c r="AS5" i="9"/>
  <c r="AT5" i="9" l="1"/>
  <c r="AT7" i="9"/>
  <c r="AU7" i="9" l="1"/>
  <c r="AU5" i="9"/>
  <c r="AV5" i="9" l="1"/>
  <c r="AV7" i="9"/>
  <c r="AW5" i="9" l="1"/>
  <c r="AW7" i="9"/>
  <c r="AX7" i="9" l="1"/>
  <c r="AX5" i="9"/>
  <c r="AY7" i="9" l="1"/>
  <c r="AY5" i="9"/>
  <c r="AZ7" i="9" l="1"/>
  <c r="AZ5" i="9"/>
  <c r="BA5" i="9" l="1"/>
  <c r="BA7" i="9"/>
  <c r="BB5" i="9" l="1"/>
  <c r="BB7" i="9"/>
  <c r="BC5" i="9" l="1"/>
  <c r="BC7" i="9"/>
  <c r="BD5" i="9" l="1"/>
  <c r="BD7" i="9"/>
  <c r="BE7" i="9" l="1"/>
  <c r="BE5" i="9"/>
  <c r="BF5" i="9" l="1"/>
  <c r="BF7" i="9"/>
  <c r="BG7" i="9" l="1"/>
  <c r="BG5" i="9"/>
  <c r="BH5" i="9" l="1"/>
  <c r="BH7" i="9"/>
  <c r="BI7" i="9" l="1"/>
  <c r="BI5" i="9"/>
  <c r="BJ7" i="9" l="1"/>
  <c r="BJ5" i="9"/>
  <c r="BK7" i="9" l="1"/>
  <c r="BK5" i="9"/>
  <c r="BL7" i="9" l="1"/>
  <c r="BL5" i="9"/>
  <c r="BM7" i="9" l="1"/>
  <c r="BM5" i="9"/>
</calcChain>
</file>

<file path=xl/sharedStrings.xml><?xml version="1.0" encoding="utf-8"?>
<sst xmlns="http://schemas.openxmlformats.org/spreadsheetml/2006/main" count="719" uniqueCount="190">
  <si>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</si>
  <si>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</si>
  <si>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</si>
  <si>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</si>
  <si>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</si>
  <si>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</si>
  <si>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original</t>
    <phoneticPr fontId="1" type="noConversion"/>
  </si>
  <si>
    <t>min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</si>
  <si>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</si>
  <si>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</si>
  <si>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</si>
  <si>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new xy</t>
    <phoneticPr fontId="1" type="noConversion"/>
  </si>
  <si>
    <t>new xz</t>
    <phoneticPr fontId="1" type="noConversion"/>
  </si>
  <si>
    <t>new yz</t>
    <phoneticPr fontId="1" type="noConversion"/>
  </si>
  <si>
    <t>input: edge value</t>
    <phoneticPr fontId="1" type="noConversion"/>
  </si>
  <si>
    <t>AD</t>
    <phoneticPr fontId="1" type="noConversion"/>
  </si>
  <si>
    <t>AB</t>
    <phoneticPr fontId="1" type="noConversion"/>
  </si>
  <si>
    <t>CL</t>
    <phoneticPr fontId="1" type="noConversion"/>
  </si>
  <si>
    <t>DA</t>
    <phoneticPr fontId="1" type="noConversion"/>
  </si>
  <si>
    <t>BA</t>
    <phoneticPr fontId="1" type="noConversion"/>
  </si>
  <si>
    <t>ACL</t>
    <phoneticPr fontId="1" type="noConversion"/>
  </si>
  <si>
    <t>CD</t>
    <phoneticPr fontId="1" type="noConversion"/>
  </si>
  <si>
    <t>BC</t>
    <phoneticPr fontId="1" type="noConversion"/>
  </si>
  <si>
    <t>DC</t>
    <phoneticPr fontId="1" type="noConversion"/>
  </si>
  <si>
    <t>CB</t>
    <phoneticPr fontId="1" type="noConversion"/>
  </si>
  <si>
    <t>Routing table (delay = 0 for source or missing)</t>
    <phoneticPr fontId="1" type="noConversion"/>
  </si>
  <si>
    <t>node</t>
    <phoneticPr fontId="1" type="noConversion"/>
  </si>
  <si>
    <t>delays</t>
    <phoneticPr fontId="1" type="noConversion"/>
  </si>
  <si>
    <t>after</t>
    <phoneticPr fontId="1" type="noConversion"/>
  </si>
  <si>
    <t># vai A</t>
    <phoneticPr fontId="1" type="noConversion"/>
  </si>
  <si>
    <t># vai B</t>
    <phoneticPr fontId="1" type="noConversion"/>
  </si>
  <si>
    <t># vai C</t>
    <phoneticPr fontId="1" type="noConversion"/>
  </si>
  <si>
    <t># vai D</t>
    <phoneticPr fontId="1" type="noConversion"/>
  </si>
  <si>
    <t># vai E</t>
    <phoneticPr fontId="1" type="noConversion"/>
  </si>
  <si>
    <t>next route</t>
    <phoneticPr fontId="1" type="noConversion"/>
  </si>
  <si>
    <t>table</t>
    <phoneticPr fontId="1" type="noConversion"/>
  </si>
  <si>
    <t>K</t>
    <phoneticPr fontId="1" type="noConversion"/>
  </si>
  <si>
    <t>J</t>
    <phoneticPr fontId="1" type="noConversion"/>
  </si>
  <si>
    <t>dist %</t>
    <phoneticPr fontId="1" type="noConversion"/>
  </si>
  <si>
    <t>dest</t>
    <phoneticPr fontId="1" type="noConversion"/>
  </si>
  <si>
    <t>distance</t>
    <phoneticPr fontId="1" type="noConversion"/>
  </si>
  <si>
    <t>route</t>
    <phoneticPr fontId="1" type="noConversion"/>
  </si>
  <si>
    <t>new dist</t>
    <phoneticPr fontId="1" type="noConversion"/>
  </si>
  <si>
    <t>new route</t>
    <phoneticPr fontId="1" type="noConversion"/>
  </si>
  <si>
    <t>L</t>
    <phoneticPr fontId="1" type="noConversion"/>
  </si>
  <si>
    <t>M</t>
    <phoneticPr fontId="1" type="noConversion"/>
  </si>
  <si>
    <t>Q</t>
    <phoneticPr fontId="1" type="noConversion"/>
  </si>
  <si>
    <t>Host file size</t>
    <phoneticPr fontId="1" type="noConversion"/>
  </si>
  <si>
    <t>Round trop time</t>
    <phoneticPr fontId="1" type="noConversion"/>
  </si>
  <si>
    <t>RTT</t>
    <phoneticPr fontId="1" type="noConversion"/>
  </si>
  <si>
    <t>Page ref # obj</t>
    <phoneticPr fontId="1" type="noConversion"/>
  </si>
  <si>
    <t>Obj size</t>
    <phoneticPr fontId="1" type="noConversion"/>
  </si>
  <si>
    <t>Transmission rate</t>
  </si>
  <si>
    <t>R</t>
    <phoneticPr fontId="1" type="noConversion"/>
  </si>
  <si>
    <t xml:space="preserve">Obj queueing time </t>
    <phoneticPr fontId="1" type="noConversion"/>
  </si>
  <si>
    <t>+</t>
    <phoneticPr fontId="1" type="noConversion"/>
  </si>
  <si>
    <t>=</t>
    <phoneticPr fontId="1" type="noConversion"/>
  </si>
  <si>
    <t>/</t>
    <phoneticPr fontId="1" type="noConversion"/>
  </si>
  <si>
    <t xml:space="preserve">Persistent HTTP </t>
    <phoneticPr fontId="1" type="noConversion"/>
  </si>
  <si>
    <t>non-persistent HTTP</t>
    <phoneticPr fontId="1" type="noConversion"/>
  </si>
  <si>
    <t>pipelining</t>
    <phoneticPr fontId="1" type="noConversion"/>
  </si>
  <si>
    <t>no pipelining</t>
    <phoneticPr fontId="1" type="noConversion"/>
  </si>
  <si>
    <t>no parallel</t>
    <phoneticPr fontId="1" type="noConversion"/>
  </si>
  <si>
    <t>parallel TCP max=?</t>
    <phoneticPr fontId="1" type="noConversion"/>
  </si>
  <si>
    <t>Unit</t>
    <phoneticPr fontId="1" type="noConversion"/>
  </si>
  <si>
    <t>#</t>
    <phoneticPr fontId="1" type="noConversion"/>
  </si>
  <si>
    <t>Link Rate</t>
    <phoneticPr fontId="1" type="noConversion"/>
  </si>
  <si>
    <t>Object size</t>
    <phoneticPr fontId="1" type="noConversion"/>
  </si>
  <si>
    <t>S</t>
    <phoneticPr fontId="1" type="noConversion"/>
  </si>
  <si>
    <t>&gt;</t>
    <phoneticPr fontId="1" type="noConversion"/>
  </si>
  <si>
    <t>total delay</t>
    <phoneticPr fontId="1" type="noConversion"/>
  </si>
  <si>
    <t>Size / Rate</t>
    <phoneticPr fontId="1" type="noConversion"/>
  </si>
  <si>
    <t>ws</t>
    <phoneticPr fontId="1" type="noConversion"/>
  </si>
  <si>
    <t>including?</t>
    <phoneticPr fontId="1" type="noConversion"/>
  </si>
  <si>
    <t>time</t>
    <phoneticPr fontId="1" type="noConversion"/>
  </si>
  <si>
    <t>miss</t>
    <phoneticPr fontId="1" type="noConversion"/>
  </si>
  <si>
    <t>hit</t>
    <phoneticPr fontId="1" type="noConversion"/>
  </si>
  <si>
    <t>?</t>
    <phoneticPr fontId="1" type="noConversion"/>
  </si>
  <si>
    <t>avg obj size</t>
    <phoneticPr fontId="1" type="noConversion"/>
  </si>
  <si>
    <t>avg req rate</t>
    <phoneticPr fontId="1" type="noConversion"/>
  </si>
  <si>
    <t>req/min</t>
    <phoneticPr fontId="1" type="noConversion"/>
  </si>
  <si>
    <t>sec</t>
    <phoneticPr fontId="1" type="noConversion"/>
  </si>
  <si>
    <t>access link speed</t>
    <phoneticPr fontId="1" type="noConversion"/>
  </si>
  <si>
    <t>LAN speed</t>
    <phoneticPr fontId="1" type="noConversion"/>
  </si>
  <si>
    <t>Mbps</t>
    <phoneticPr fontId="1" type="noConversion"/>
  </si>
  <si>
    <t>access link T</t>
    <phoneticPr fontId="1" type="noConversion"/>
  </si>
  <si>
    <t>access link TB</t>
    <phoneticPr fontId="1" type="noConversion"/>
  </si>
  <si>
    <t>*</t>
    <phoneticPr fontId="1" type="noConversion"/>
  </si>
  <si>
    <t>avg access delay</t>
    <phoneticPr fontId="1" type="noConversion"/>
  </si>
  <si>
    <t>LAN T</t>
    <phoneticPr fontId="1" type="noConversion"/>
  </si>
  <si>
    <t>LAN TB</t>
    <phoneticPr fontId="1" type="noConversion"/>
  </si>
  <si>
    <t>Total avg res t</t>
    <phoneticPr fontId="1" type="noConversion"/>
  </si>
  <si>
    <t>Hit rate</t>
    <phoneticPr fontId="1" type="noConversion"/>
  </si>
  <si>
    <t>The average response time is reduced from</t>
    <phoneticPr fontId="1" type="noConversion"/>
  </si>
  <si>
    <t>to</t>
    <phoneticPr fontId="1" type="noConversion"/>
  </si>
  <si>
    <t>new link 1</t>
    <phoneticPr fontId="1" type="noConversion"/>
  </si>
  <si>
    <t>new link 2</t>
    <phoneticPr fontId="1" type="noConversion"/>
  </si>
  <si>
    <t>acc lnk</t>
    <phoneticPr fontId="1" type="noConversion"/>
  </si>
  <si>
    <t>Lan</t>
    <phoneticPr fontId="1" type="noConversion"/>
  </si>
  <si>
    <t>lnk 1</t>
    <phoneticPr fontId="1" type="noConversion"/>
  </si>
  <si>
    <t>lnk 2</t>
  </si>
  <si>
    <t>bits</t>
    <phoneticPr fontId="1" type="noConversion"/>
  </si>
  <si>
    <t>parallel lnk</t>
    <phoneticPr fontId="1" type="noConversion"/>
  </si>
  <si>
    <t>number of lnk</t>
    <phoneticPr fontId="1" type="noConversion"/>
  </si>
  <si>
    <t>unit</t>
    <phoneticPr fontId="1" type="noConversion"/>
  </si>
  <si>
    <t>t</t>
    <phoneticPr fontId="1" type="noConversion"/>
  </si>
  <si>
    <t>max ws</t>
    <phoneticPr fontId="1" type="noConversion"/>
  </si>
  <si>
    <t>threshold</t>
    <phoneticPr fontId="1" type="noConversion"/>
  </si>
  <si>
    <t>initial ws</t>
    <phoneticPr fontId="1" type="noConversion"/>
  </si>
  <si>
    <t>Lan used?</t>
    <phoneticPr fontId="1" type="noConversion"/>
  </si>
  <si>
    <t>ignore if Lan not used</t>
    <phoneticPr fontId="1" type="noConversion"/>
  </si>
  <si>
    <t>if cache misses with prob.</t>
    <phoneticPr fontId="1" type="noConversion"/>
  </si>
  <si>
    <t>int -&gt; origin time</t>
    <phoneticPr fontId="1" type="noConversion"/>
  </si>
  <si>
    <t>int &lt;- origin time</t>
    <phoneticPr fontId="1" type="noConversion"/>
  </si>
  <si>
    <t>new link 1 usage</t>
    <phoneticPr fontId="1" type="noConversion"/>
  </si>
  <si>
    <t>new link 2 usage</t>
    <phoneticPr fontId="1" type="noConversion"/>
  </si>
  <si>
    <t>Advertise window</t>
    <phoneticPr fontId="1" type="noConversion"/>
  </si>
  <si>
    <t>Old</t>
    <phoneticPr fontId="1" type="noConversion"/>
  </si>
  <si>
    <t>New</t>
    <phoneticPr fontId="1" type="noConversion"/>
  </si>
  <si>
    <t>Sender</t>
    <phoneticPr fontId="1" type="noConversion"/>
  </si>
  <si>
    <t>Receiver</t>
  </si>
  <si>
    <t>Receiver</t>
    <phoneticPr fontId="1" type="noConversion"/>
  </si>
  <si>
    <t>Octets</t>
    <phoneticPr fontId="1" type="noConversion"/>
  </si>
  <si>
    <t>Send data octets</t>
    <phoneticPr fontId="1" type="noConversion"/>
  </si>
  <si>
    <t>-</t>
    <phoneticPr fontId="1" type="noConversion"/>
  </si>
  <si>
    <t>Receiver ACK for</t>
    <phoneticPr fontId="1" type="noConversion"/>
  </si>
  <si>
    <t>ACK up to</t>
    <phoneticPr fontId="1" type="noConversion"/>
  </si>
  <si>
    <t>window =</t>
    <phoneticPr fontId="1" type="noConversion"/>
  </si>
  <si>
    <t>Remarks</t>
    <phoneticPr fontId="1" type="noConversion"/>
  </si>
  <si>
    <t>Ignore if 0, 0</t>
    <phoneticPr fontId="1" type="noConversion"/>
  </si>
  <si>
    <t>Ignore if 0</t>
    <phoneticPr fontId="1" type="noConversion"/>
  </si>
  <si>
    <t>Application reads</t>
    <phoneticPr fontId="1" type="noConversion"/>
  </si>
  <si>
    <t>octets</t>
    <phoneticPr fontId="1" type="noConversion"/>
  </si>
  <si>
    <t>2nd App. Reads Octets from Graph</t>
    <phoneticPr fontId="1" type="noConversion"/>
  </si>
  <si>
    <t>1st Send Data Octets from Graph</t>
    <phoneticPr fontId="1" type="noConversion"/>
  </si>
  <si>
    <t>ignore if all 0</t>
    <phoneticPr fontId="1" type="noConversion"/>
  </si>
  <si>
    <t xml:space="preserve"># ignore source, </t>
    <phoneticPr fontId="1" type="noConversion"/>
  </si>
  <si>
    <t>source = --</t>
    <phoneticPr fontId="1" type="noConversion"/>
  </si>
  <si>
    <t>source = 0</t>
    <phoneticPr fontId="1" type="noConversion"/>
  </si>
  <si>
    <t>Result</t>
    <phoneticPr fontId="1" type="noConversion"/>
  </si>
  <si>
    <t>Min. Dist</t>
    <phoneticPr fontId="1" type="noConversion"/>
  </si>
  <si>
    <t>Ini. Vec.</t>
    <phoneticPr fontId="1" type="noConversion"/>
  </si>
  <si>
    <t>Receives</t>
    <phoneticPr fontId="1" type="noConversion"/>
  </si>
  <si>
    <t>Dist. %</t>
    <phoneticPr fontId="1" type="noConversion"/>
  </si>
  <si>
    <t>inf = 1e+99</t>
    <phoneticPr fontId="1" type="noConversion"/>
  </si>
  <si>
    <t>Test 1</t>
    <phoneticPr fontId="1" type="noConversion"/>
  </si>
  <si>
    <t>16-17B</t>
    <phoneticPr fontId="1" type="noConversion"/>
  </si>
  <si>
    <t>17-18B</t>
    <phoneticPr fontId="1" type="noConversion"/>
  </si>
  <si>
    <t>18-19B</t>
    <phoneticPr fontId="1" type="noConversion"/>
  </si>
  <si>
    <t>19-20B</t>
    <phoneticPr fontId="1" type="noConversion"/>
  </si>
  <si>
    <t>20-21B</t>
    <phoneticPr fontId="1" type="noConversion"/>
  </si>
  <si>
    <t>21-22B</t>
    <phoneticPr fontId="1" type="noConversion"/>
  </si>
  <si>
    <t>Test 2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</si>
  <si>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</si>
  <si>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</si>
  <si>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</si>
  <si>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</si>
  <si>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</si>
  <si>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routeTableGate</t>
  </si>
  <si>
    <t>linkStateRouting</t>
  </si>
  <si>
    <t>Q6</t>
  </si>
  <si>
    <t>Q7</t>
  </si>
  <si>
    <t>calTriDistVec</t>
  </si>
  <si>
    <t>routeTableUpdate</t>
  </si>
  <si>
    <t>Road trip times</t>
  </si>
  <si>
    <t>Avg access delay</t>
  </si>
  <si>
    <t>HTTP obj and RTT delay time</t>
  </si>
  <si>
    <t>Sender &amp; Receiver</t>
  </si>
  <si>
    <t>Tutorial</t>
    <phoneticPr fontId="1" type="noConversion"/>
  </si>
  <si>
    <t>IP routing 1</t>
    <phoneticPr fontId="1" type="noConversion"/>
  </si>
  <si>
    <t>IP routing 2</t>
    <phoneticPr fontId="1" type="noConversion"/>
  </si>
  <si>
    <t>TCP</t>
    <phoneticPr fontId="1" type="noConversion"/>
  </si>
  <si>
    <t>App. Layer</t>
    <phoneticPr fontId="1" type="noConversion"/>
  </si>
  <si>
    <t>Multimedia Net.</t>
    <phoneticPr fontId="1" type="noConversion"/>
  </si>
  <si>
    <t>calDistVec</t>
  </si>
  <si>
    <t>Exam</t>
    <phoneticPr fontId="1" type="noConversion"/>
  </si>
  <si>
    <t>Q8</t>
  </si>
  <si>
    <t>Q9</t>
  </si>
  <si>
    <t>Q10</t>
  </si>
  <si>
    <t>Q11</t>
  </si>
  <si>
    <t>Q12</t>
  </si>
  <si>
    <t>13-14</t>
    <phoneticPr fontId="1" type="noConversion"/>
  </si>
  <si>
    <t>14-15</t>
    <phoneticPr fontId="1" type="noConversion"/>
  </si>
  <si>
    <t>15-16</t>
    <phoneticPr fontId="1" type="noConversion"/>
  </si>
  <si>
    <t>ignore if all 0</t>
  </si>
  <si>
    <t xml:space="preserve">If lost </t>
    <phoneticPr fontId="1" type="noConversion"/>
  </si>
  <si>
    <t>wt</t>
    <phoneticPr fontId="1" type="noConversion"/>
  </si>
  <si>
    <t>Timeout</t>
    <phoneticPr fontId="1" type="noConversion"/>
  </si>
  <si>
    <t>3 ACK</t>
    <phoneticPr fontId="1" type="noConversion"/>
  </si>
  <si>
    <t>cws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</si>
</sst>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4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1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1DE1-4AA0-49A9-BFDA-C498821B303A}">
  <dimension ref="A1:N25"/>
  <sheetViews>
    <sheetView workbookViewId="0">
      <selection activeCell="K6" sqref="K6"/>
    </sheetView>
  </sheetViews>
  <sheetFormatPr defaultRowHeight="16.5" x14ac:dyDescent="0.25"/>
  <cols>
    <col min="1" max="1" width="9" style="3"/>
    <col min="2" max="2" width="16.625" style="24" customWidth="1"/>
    <col min="3" max="9" width="24.625" style="68" customWidth="1"/>
    <col min="10" max="14" width="24.625" customWidth="1"/>
  </cols>
  <sheetData>
    <row r="1" spans="1:14" s="2" customFormat="1" x14ac:dyDescent="0.25">
      <c r="A1" s="1"/>
      <c r="B1" s="26"/>
      <c r="C1" s="69" t="s">
        <v>153</v>
      </c>
      <c r="D1" s="69" t="s">
        <v>154</v>
      </c>
      <c r="E1" s="69" t="s">
        <v>155</v>
      </c>
      <c r="F1" s="69" t="s">
        <v>156</v>
      </c>
      <c r="G1" s="69" t="s">
        <v>157</v>
      </c>
      <c r="H1" s="69" t="s">
        <v>160</v>
      </c>
      <c r="I1" s="69" t="s">
        <v>161</v>
      </c>
      <c r="J1" s="69" t="s">
        <v>176</v>
      </c>
      <c r="K1" s="69" t="s">
        <v>177</v>
      </c>
      <c r="L1" s="69" t="s">
        <v>178</v>
      </c>
      <c r="M1" s="69" t="s">
        <v>179</v>
      </c>
      <c r="N1" s="69" t="s">
        <v>180</v>
      </c>
    </row>
    <row r="2" spans="1:14" s="54" customFormat="1" x14ac:dyDescent="0.25">
      <c r="A2" s="3" t="s">
        <v>145</v>
      </c>
      <c r="B2" s="24" t="s">
        <v>181</v>
      </c>
      <c r="C2" s="68" t="s">
        <v>57</v>
      </c>
      <c r="D2" s="68" t="s">
        <v>163</v>
      </c>
      <c r="E2" s="68" t="s">
        <v>57</v>
      </c>
      <c r="F2" s="68" t="s">
        <v>57</v>
      </c>
      <c r="G2" s="68" t="s">
        <v>57</v>
      </c>
      <c r="H2" s="68" t="s">
        <v>57</v>
      </c>
      <c r="I2" s="68" t="s">
        <v>57</v>
      </c>
      <c r="J2" s="73"/>
      <c r="K2" s="73"/>
      <c r="L2" s="73"/>
      <c r="M2" s="73"/>
      <c r="N2" s="73"/>
    </row>
    <row r="3" spans="1:14" s="54" customFormat="1" x14ac:dyDescent="0.25">
      <c r="A3" s="3"/>
      <c r="B3" s="24" t="s">
        <v>182</v>
      </c>
      <c r="C3" s="68" t="s">
        <v>57</v>
      </c>
      <c r="D3" s="68" t="s">
        <v>163</v>
      </c>
      <c r="E3" s="68" t="s">
        <v>57</v>
      </c>
      <c r="F3" s="68" t="s">
        <v>57</v>
      </c>
      <c r="G3" s="68" t="s">
        <v>57</v>
      </c>
      <c r="H3" s="68" t="s">
        <v>162</v>
      </c>
      <c r="I3" s="68" t="s">
        <v>159</v>
      </c>
      <c r="J3" s="73"/>
      <c r="K3" s="73"/>
      <c r="L3" s="73"/>
      <c r="M3" s="73"/>
      <c r="N3" s="73"/>
    </row>
    <row r="4" spans="1:14" s="54" customFormat="1" x14ac:dyDescent="0.25">
      <c r="A4" s="3"/>
      <c r="B4" s="24" t="s">
        <v>183</v>
      </c>
      <c r="C4" s="68" t="s">
        <v>163</v>
      </c>
      <c r="D4" s="68" t="s">
        <v>159</v>
      </c>
      <c r="E4" s="68" t="s">
        <v>57</v>
      </c>
      <c r="F4" s="68" t="s">
        <v>57</v>
      </c>
      <c r="G4" s="68" t="s">
        <v>57</v>
      </c>
      <c r="H4" s="68" t="s">
        <v>162</v>
      </c>
      <c r="I4" s="68" t="s">
        <v>57</v>
      </c>
      <c r="J4" s="73"/>
      <c r="K4" s="73"/>
      <c r="L4" s="73"/>
      <c r="M4" s="73"/>
      <c r="N4" s="73"/>
    </row>
    <row r="5" spans="1:14" x14ac:dyDescent="0.25">
      <c r="B5" s="24" t="s">
        <v>146</v>
      </c>
      <c r="C5" s="68" t="s">
        <v>158</v>
      </c>
      <c r="D5" s="68" t="s">
        <v>57</v>
      </c>
      <c r="E5" s="68" t="s">
        <v>159</v>
      </c>
      <c r="F5" s="68" t="s">
        <v>57</v>
      </c>
      <c r="G5" s="68" t="s">
        <v>57</v>
      </c>
      <c r="H5" s="68" t="s">
        <v>57</v>
      </c>
      <c r="I5" s="68" t="s">
        <v>162</v>
      </c>
      <c r="J5" s="86"/>
      <c r="K5" s="86"/>
      <c r="L5" s="86"/>
      <c r="M5" s="86"/>
      <c r="N5" s="86"/>
    </row>
    <row r="6" spans="1:14" x14ac:dyDescent="0.25">
      <c r="B6" s="24" t="s">
        <v>147</v>
      </c>
      <c r="C6" s="68" t="s">
        <v>57</v>
      </c>
      <c r="D6" s="68" t="s">
        <v>57</v>
      </c>
      <c r="E6" s="68" t="s">
        <v>57</v>
      </c>
      <c r="F6" s="68" t="s">
        <v>163</v>
      </c>
      <c r="G6" s="68" t="s">
        <v>158</v>
      </c>
      <c r="H6" s="68" t="s">
        <v>162</v>
      </c>
      <c r="I6" s="71"/>
      <c r="J6" s="86"/>
      <c r="K6" s="86"/>
      <c r="L6" s="86"/>
      <c r="M6" s="86"/>
      <c r="N6" s="86"/>
    </row>
    <row r="7" spans="1:14" x14ac:dyDescent="0.25">
      <c r="B7" s="24" t="s">
        <v>148</v>
      </c>
      <c r="C7" s="68" t="s">
        <v>57</v>
      </c>
      <c r="D7" s="68" t="s">
        <v>163</v>
      </c>
      <c r="E7" s="68" t="s">
        <v>57</v>
      </c>
      <c r="F7" s="68" t="s">
        <v>162</v>
      </c>
      <c r="G7" s="68" t="s">
        <v>57</v>
      </c>
      <c r="H7" s="68" t="s">
        <v>57</v>
      </c>
      <c r="I7" s="68" t="s">
        <v>57</v>
      </c>
      <c r="J7" s="86"/>
      <c r="K7" s="86"/>
      <c r="L7" s="86"/>
      <c r="M7" s="86"/>
      <c r="N7" s="86"/>
    </row>
    <row r="8" spans="1:14" x14ac:dyDescent="0.25">
      <c r="B8" s="24" t="s">
        <v>149</v>
      </c>
      <c r="C8" s="68" t="s">
        <v>57</v>
      </c>
      <c r="D8" s="68" t="s">
        <v>163</v>
      </c>
      <c r="E8" s="68" t="s">
        <v>57</v>
      </c>
      <c r="F8" s="68" t="s">
        <v>162</v>
      </c>
      <c r="G8" s="68" t="s">
        <v>57</v>
      </c>
      <c r="H8" s="68" t="s">
        <v>57</v>
      </c>
      <c r="I8" s="68" t="s">
        <v>159</v>
      </c>
      <c r="J8" s="86"/>
      <c r="K8" s="86"/>
      <c r="L8" s="86"/>
      <c r="M8" s="86"/>
      <c r="N8" s="86"/>
    </row>
    <row r="9" spans="1:14" x14ac:dyDescent="0.25">
      <c r="B9" s="24" t="s">
        <v>150</v>
      </c>
      <c r="C9" s="68" t="s">
        <v>57</v>
      </c>
      <c r="D9" s="68" t="s">
        <v>163</v>
      </c>
      <c r="E9" s="68" t="s">
        <v>57</v>
      </c>
      <c r="F9" s="68" t="s">
        <v>162</v>
      </c>
      <c r="G9" s="68" t="s">
        <v>57</v>
      </c>
      <c r="H9" s="68" t="s">
        <v>57</v>
      </c>
      <c r="I9" s="68" t="s">
        <v>159</v>
      </c>
      <c r="J9" s="86"/>
      <c r="K9" s="86"/>
      <c r="L9" s="86"/>
      <c r="M9" s="86"/>
      <c r="N9" s="86"/>
    </row>
    <row r="10" spans="1:14" s="2" customFormat="1" x14ac:dyDescent="0.25">
      <c r="A10" s="1"/>
      <c r="B10" s="26" t="s">
        <v>151</v>
      </c>
      <c r="C10" s="69" t="s">
        <v>57</v>
      </c>
      <c r="D10" s="69" t="s">
        <v>163</v>
      </c>
      <c r="E10" s="69" t="s">
        <v>57</v>
      </c>
      <c r="F10" s="69" t="s">
        <v>162</v>
      </c>
      <c r="G10" s="69" t="s">
        <v>159</v>
      </c>
      <c r="H10" s="69" t="s">
        <v>57</v>
      </c>
      <c r="I10" s="72"/>
      <c r="J10" s="87"/>
      <c r="K10" s="87"/>
      <c r="L10" s="87"/>
      <c r="M10" s="87"/>
      <c r="N10" s="87"/>
    </row>
    <row r="11" spans="1:14" s="54" customFormat="1" x14ac:dyDescent="0.25">
      <c r="A11" s="3" t="s">
        <v>152</v>
      </c>
      <c r="B11" s="24" t="s">
        <v>181</v>
      </c>
      <c r="C11" s="68" t="s">
        <v>164</v>
      </c>
      <c r="D11" s="68" t="s">
        <v>57</v>
      </c>
      <c r="E11" s="68" t="s">
        <v>57</v>
      </c>
      <c r="F11" s="68" t="s">
        <v>165</v>
      </c>
      <c r="G11" s="68" t="s">
        <v>166</v>
      </c>
      <c r="H11" s="73"/>
      <c r="I11" s="73"/>
      <c r="J11" s="88"/>
      <c r="K11" s="88"/>
      <c r="L11" s="88"/>
      <c r="M11" s="88"/>
      <c r="N11" s="88"/>
    </row>
    <row r="12" spans="1:14" s="54" customFormat="1" x14ac:dyDescent="0.25">
      <c r="A12" s="3"/>
      <c r="B12" s="24" t="s">
        <v>182</v>
      </c>
      <c r="C12" s="68" t="s">
        <v>164</v>
      </c>
      <c r="D12" s="68" t="s">
        <v>57</v>
      </c>
      <c r="E12" s="68" t="s">
        <v>166</v>
      </c>
      <c r="F12" s="68" t="s">
        <v>57</v>
      </c>
      <c r="G12" s="68" t="s">
        <v>166</v>
      </c>
      <c r="H12" s="68" t="s">
        <v>165</v>
      </c>
      <c r="I12" s="73"/>
      <c r="J12" s="88"/>
      <c r="K12" s="88"/>
      <c r="L12" s="88"/>
      <c r="M12" s="88"/>
      <c r="N12" s="88"/>
    </row>
    <row r="13" spans="1:14" s="54" customFormat="1" x14ac:dyDescent="0.25">
      <c r="A13" s="3"/>
      <c r="B13" s="24" t="s">
        <v>183</v>
      </c>
      <c r="C13" s="68" t="s">
        <v>164</v>
      </c>
      <c r="D13" s="68" t="s">
        <v>57</v>
      </c>
      <c r="E13" s="68" t="s">
        <v>166</v>
      </c>
      <c r="F13" s="68" t="s">
        <v>165</v>
      </c>
      <c r="G13" s="68" t="s">
        <v>57</v>
      </c>
      <c r="H13" s="68" t="s">
        <v>166</v>
      </c>
      <c r="I13" s="73"/>
      <c r="J13" s="88"/>
      <c r="K13" s="88"/>
      <c r="L13" s="88"/>
      <c r="M13" s="88"/>
      <c r="N13" s="88"/>
    </row>
    <row r="14" spans="1:14" x14ac:dyDescent="0.25">
      <c r="B14" s="24" t="s">
        <v>146</v>
      </c>
      <c r="C14" s="68" t="s">
        <v>164</v>
      </c>
      <c r="D14" s="68" t="s">
        <v>57</v>
      </c>
      <c r="E14" s="68" t="s">
        <v>57</v>
      </c>
      <c r="F14" s="68" t="s">
        <v>165</v>
      </c>
      <c r="G14" s="68" t="s">
        <v>166</v>
      </c>
      <c r="H14" s="71"/>
      <c r="I14" s="71"/>
      <c r="J14" s="86"/>
      <c r="K14" s="86"/>
      <c r="L14" s="86"/>
      <c r="M14" s="86"/>
      <c r="N14" s="86"/>
    </row>
    <row r="15" spans="1:14" x14ac:dyDescent="0.25">
      <c r="B15" s="24" t="s">
        <v>147</v>
      </c>
      <c r="C15" s="68" t="s">
        <v>164</v>
      </c>
      <c r="D15" s="68" t="s">
        <v>57</v>
      </c>
      <c r="E15" s="68" t="s">
        <v>57</v>
      </c>
      <c r="F15" s="68" t="s">
        <v>165</v>
      </c>
      <c r="G15" s="68" t="s">
        <v>166</v>
      </c>
      <c r="H15" s="68" t="s">
        <v>166</v>
      </c>
      <c r="I15" s="71"/>
      <c r="J15" s="86"/>
      <c r="K15" s="86"/>
      <c r="L15" s="86"/>
      <c r="M15" s="86"/>
      <c r="N15" s="86"/>
    </row>
    <row r="16" spans="1:14" x14ac:dyDescent="0.25">
      <c r="B16" s="24" t="s">
        <v>148</v>
      </c>
      <c r="C16" s="68" t="s">
        <v>164</v>
      </c>
      <c r="D16" s="68" t="s">
        <v>57</v>
      </c>
      <c r="E16" s="68" t="s">
        <v>166</v>
      </c>
      <c r="F16" s="68" t="s">
        <v>57</v>
      </c>
      <c r="G16" s="68" t="s">
        <v>166</v>
      </c>
      <c r="H16" s="68" t="s">
        <v>165</v>
      </c>
      <c r="I16" s="71"/>
      <c r="J16" s="86"/>
      <c r="K16" s="86"/>
      <c r="L16" s="86"/>
      <c r="M16" s="86"/>
      <c r="N16" s="86"/>
    </row>
    <row r="17" spans="1:14" x14ac:dyDescent="0.25">
      <c r="B17" s="24" t="s">
        <v>149</v>
      </c>
      <c r="C17" s="68" t="s">
        <v>164</v>
      </c>
      <c r="D17" s="68" t="s">
        <v>57</v>
      </c>
      <c r="E17" s="68" t="s">
        <v>165</v>
      </c>
      <c r="F17" s="68" t="s">
        <v>166</v>
      </c>
      <c r="G17" s="68" t="s">
        <v>57</v>
      </c>
      <c r="H17" s="68" t="s">
        <v>166</v>
      </c>
      <c r="I17" s="71"/>
      <c r="J17" s="86"/>
      <c r="K17" s="86"/>
      <c r="L17" s="86"/>
      <c r="M17" s="86"/>
      <c r="N17" s="86"/>
    </row>
    <row r="18" spans="1:14" x14ac:dyDescent="0.25">
      <c r="B18" s="24" t="s">
        <v>150</v>
      </c>
      <c r="C18" s="68" t="s">
        <v>166</v>
      </c>
      <c r="D18" s="68" t="s">
        <v>165</v>
      </c>
      <c r="E18" s="68" t="s">
        <v>166</v>
      </c>
      <c r="F18" s="68" t="s">
        <v>167</v>
      </c>
      <c r="G18" s="68" t="s">
        <v>57</v>
      </c>
      <c r="H18" s="71"/>
      <c r="I18" s="71"/>
      <c r="J18" s="86"/>
      <c r="K18" s="86"/>
      <c r="L18" s="86"/>
      <c r="M18" s="86"/>
      <c r="N18" s="86"/>
    </row>
    <row r="19" spans="1:14" s="2" customFormat="1" x14ac:dyDescent="0.25">
      <c r="A19" s="1"/>
      <c r="B19" s="26" t="s">
        <v>151</v>
      </c>
      <c r="C19" s="69" t="s">
        <v>166</v>
      </c>
      <c r="D19" s="69" t="s">
        <v>165</v>
      </c>
      <c r="E19" s="69" t="s">
        <v>166</v>
      </c>
      <c r="F19" s="69" t="s">
        <v>167</v>
      </c>
      <c r="G19" s="69" t="s">
        <v>57</v>
      </c>
      <c r="H19" s="72"/>
      <c r="I19" s="72"/>
      <c r="J19" s="87"/>
      <c r="K19" s="87"/>
      <c r="L19" s="87"/>
      <c r="M19" s="87"/>
      <c r="N19" s="87"/>
    </row>
    <row r="20" spans="1:14" x14ac:dyDescent="0.25">
      <c r="A20" s="3" t="s">
        <v>168</v>
      </c>
      <c r="B20" s="24" t="s">
        <v>169</v>
      </c>
      <c r="C20" s="68" t="s">
        <v>163</v>
      </c>
      <c r="D20" s="68" t="s">
        <v>57</v>
      </c>
      <c r="E20" s="68" t="s">
        <v>163</v>
      </c>
      <c r="F20" s="68" t="s">
        <v>57</v>
      </c>
      <c r="G20" s="68" t="s">
        <v>159</v>
      </c>
      <c r="H20" s="71"/>
      <c r="I20" s="71"/>
      <c r="J20" s="86"/>
      <c r="K20" s="86"/>
      <c r="L20" s="86"/>
      <c r="M20" s="86"/>
      <c r="N20" s="86"/>
    </row>
    <row r="21" spans="1:14" x14ac:dyDescent="0.25">
      <c r="B21" s="24" t="s">
        <v>170</v>
      </c>
      <c r="C21" s="68" t="s">
        <v>174</v>
      </c>
      <c r="D21" s="68" t="s">
        <v>57</v>
      </c>
      <c r="E21" s="68" t="s">
        <v>162</v>
      </c>
      <c r="F21" s="68" t="s">
        <v>57</v>
      </c>
      <c r="G21" s="71"/>
      <c r="H21" s="71"/>
      <c r="I21" s="71"/>
      <c r="J21" s="86"/>
      <c r="K21" s="86"/>
      <c r="L21" s="86"/>
      <c r="M21" s="86"/>
      <c r="N21" s="86"/>
    </row>
    <row r="22" spans="1:14" x14ac:dyDescent="0.25">
      <c r="B22" s="24" t="s">
        <v>171</v>
      </c>
      <c r="C22" s="68" t="s">
        <v>57</v>
      </c>
      <c r="D22" s="68" t="s">
        <v>57</v>
      </c>
      <c r="E22" s="68" t="s">
        <v>57</v>
      </c>
      <c r="F22" s="68" t="s">
        <v>57</v>
      </c>
      <c r="G22" s="68" t="s">
        <v>57</v>
      </c>
      <c r="H22" s="68" t="s">
        <v>166</v>
      </c>
      <c r="I22" s="71"/>
      <c r="J22" s="86"/>
      <c r="K22" s="86"/>
      <c r="L22" s="86"/>
      <c r="M22" s="86"/>
      <c r="N22" s="86"/>
    </row>
    <row r="23" spans="1:14" x14ac:dyDescent="0.25">
      <c r="B23" s="24" t="s">
        <v>172</v>
      </c>
      <c r="C23" s="68" t="s">
        <v>166</v>
      </c>
      <c r="D23" s="68" t="s">
        <v>165</v>
      </c>
      <c r="E23" s="68" t="s">
        <v>57</v>
      </c>
      <c r="F23" s="68" t="s">
        <v>57</v>
      </c>
      <c r="G23" s="71"/>
      <c r="H23" s="71"/>
      <c r="I23" s="71"/>
      <c r="J23" s="86"/>
      <c r="K23" s="86"/>
      <c r="L23" s="86"/>
      <c r="M23" s="86"/>
      <c r="N23" s="86"/>
    </row>
    <row r="24" spans="1:14" s="2" customFormat="1" x14ac:dyDescent="0.25">
      <c r="A24" s="1"/>
      <c r="B24" s="26" t="s">
        <v>173</v>
      </c>
      <c r="C24" s="69" t="s">
        <v>57</v>
      </c>
      <c r="D24" s="69" t="s">
        <v>57</v>
      </c>
      <c r="E24" s="69" t="s">
        <v>57</v>
      </c>
      <c r="F24" s="69" t="s">
        <v>57</v>
      </c>
      <c r="G24" s="72"/>
      <c r="H24" s="72"/>
      <c r="I24" s="72"/>
      <c r="J24" s="87"/>
      <c r="K24" s="87"/>
      <c r="L24" s="87"/>
      <c r="M24" s="87"/>
      <c r="N24" s="87"/>
    </row>
    <row r="25" spans="1:14" x14ac:dyDescent="0.25">
      <c r="A25" s="3" t="s">
        <v>175</v>
      </c>
      <c r="B25" s="24" t="s">
        <v>149</v>
      </c>
      <c r="C25" s="68" t="s">
        <v>57</v>
      </c>
      <c r="D25" s="68" t="s">
        <v>163</v>
      </c>
      <c r="E25" s="68" t="s">
        <v>57</v>
      </c>
      <c r="F25" s="68" t="s">
        <v>162</v>
      </c>
      <c r="G25" s="68" t="s">
        <v>57</v>
      </c>
      <c r="H25" s="68" t="s">
        <v>57</v>
      </c>
      <c r="I25" s="68" t="s">
        <v>159</v>
      </c>
      <c r="J25" s="68" t="s">
        <v>164</v>
      </c>
      <c r="K25" s="68" t="s">
        <v>57</v>
      </c>
      <c r="L25" s="68" t="s">
        <v>165</v>
      </c>
      <c r="M25" s="68" t="s">
        <v>166</v>
      </c>
      <c r="N25" s="68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6916-3719-46B6-AE29-3BF891FF9F97}">
  <dimension ref="A1:J5"/>
  <sheetViews>
    <sheetView workbookViewId="0">
      <selection activeCell="B2" sqref="B2"/>
    </sheetView>
  </sheetViews>
  <sheetFormatPr defaultRowHeight="16.5" x14ac:dyDescent="0.25"/>
  <cols>
    <col min="9" max="9" width="16.625" style="67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143</v>
      </c>
      <c r="I1" s="67" t="s">
        <v>128</v>
      </c>
    </row>
    <row r="2" spans="1:10" x14ac:dyDescent="0.25">
      <c r="A2" t="s">
        <v>142</v>
      </c>
      <c r="B2" s="11">
        <v>9.9999999999999997E+98</v>
      </c>
      <c r="C2" s="11">
        <v>9.9999999999999997E+98</v>
      </c>
      <c r="D2" s="11">
        <v>4</v>
      </c>
      <c r="E2" s="11">
        <v>3</v>
      </c>
      <c r="F2" s="11">
        <v>0</v>
      </c>
      <c r="G2" s="11">
        <v>5</v>
      </c>
      <c r="H2" s="11">
        <v>4</v>
      </c>
      <c r="I2" s="67" t="s">
        <v>144</v>
      </c>
      <c r="J2" s="44"/>
    </row>
    <row r="3" spans="1:10" x14ac:dyDescent="0.25">
      <c r="A3" t="s">
        <v>139</v>
      </c>
      <c r="B3">
        <f t="shared" ref="B3:G3" si="0">$H$2+B2</f>
        <v>9.9999999999999997E+98</v>
      </c>
      <c r="C3">
        <f t="shared" si="0"/>
        <v>9.9999999999999997E+98</v>
      </c>
      <c r="D3">
        <f t="shared" si="0"/>
        <v>8</v>
      </c>
      <c r="E3">
        <f t="shared" si="0"/>
        <v>7</v>
      </c>
      <c r="F3">
        <f t="shared" si="0"/>
        <v>4</v>
      </c>
      <c r="G3">
        <f t="shared" si="0"/>
        <v>9</v>
      </c>
    </row>
    <row r="4" spans="1:10" x14ac:dyDescent="0.25">
      <c r="A4" t="s">
        <v>141</v>
      </c>
      <c r="B4" s="11">
        <v>2</v>
      </c>
      <c r="C4" s="11">
        <v>2</v>
      </c>
      <c r="D4" s="11">
        <v>0</v>
      </c>
      <c r="E4" s="11">
        <v>1</v>
      </c>
      <c r="F4" s="11">
        <v>4</v>
      </c>
      <c r="G4" s="11">
        <v>9.9999999999999997E+98</v>
      </c>
    </row>
    <row r="5" spans="1:10" x14ac:dyDescent="0.25">
      <c r="A5" t="s">
        <v>140</v>
      </c>
      <c r="B5">
        <f>MIN(B3:B4)</f>
        <v>2</v>
      </c>
      <c r="C5">
        <f t="shared" ref="C5:G5" si="1">MIN(C3:C4)</f>
        <v>2</v>
      </c>
      <c r="D5">
        <f t="shared" si="1"/>
        <v>0</v>
      </c>
      <c r="E5">
        <f t="shared" si="1"/>
        <v>1</v>
      </c>
      <c r="F5">
        <f t="shared" si="1"/>
        <v>4</v>
      </c>
      <c r="G5">
        <f t="shared" si="1"/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1137-5B4F-4E1B-BBA3-1CED124DB1A6}">
  <dimension ref="A1:N18"/>
  <sheetViews>
    <sheetView workbookViewId="0">
      <selection activeCell="B6" sqref="B6"/>
    </sheetView>
  </sheetViews>
  <sheetFormatPr defaultRowHeight="16.5" x14ac:dyDescent="0.25"/>
  <cols>
    <col min="1" max="1" width="9" style="3"/>
    <col min="4" max="4" width="9" style="3"/>
    <col min="7" max="7" width="9" style="3"/>
  </cols>
  <sheetData>
    <row r="1" spans="1:14" s="2" customFormat="1" x14ac:dyDescent="0.25">
      <c r="A1" s="1"/>
      <c r="B1" s="2" t="s">
        <v>8</v>
      </c>
      <c r="C1" s="2" t="s">
        <v>9</v>
      </c>
      <c r="D1" s="1" t="s">
        <v>10</v>
      </c>
      <c r="E1"/>
      <c r="F1"/>
      <c r="G1" s="3"/>
      <c r="I1" s="2" t="s">
        <v>8</v>
      </c>
      <c r="J1" s="2" t="s">
        <v>9</v>
      </c>
      <c r="K1" s="1" t="s">
        <v>10</v>
      </c>
    </row>
    <row r="2" spans="1:14" x14ac:dyDescent="0.25">
      <c r="A2" s="3" t="s">
        <v>8</v>
      </c>
      <c r="B2" s="4">
        <v>0</v>
      </c>
      <c r="C2" s="5">
        <v>2</v>
      </c>
      <c r="D2" s="6">
        <v>7</v>
      </c>
      <c r="E2" s="76" t="s">
        <v>11</v>
      </c>
      <c r="F2" s="78"/>
      <c r="G2" s="6">
        <v>2</v>
      </c>
      <c r="H2" s="3" t="s">
        <v>8</v>
      </c>
      <c r="I2" s="7">
        <f>B2</f>
        <v>0</v>
      </c>
      <c r="J2" s="8">
        <f t="shared" ref="J2:K4" si="0">C2</f>
        <v>2</v>
      </c>
      <c r="K2" s="9">
        <f t="shared" si="0"/>
        <v>7</v>
      </c>
    </row>
    <row r="3" spans="1:14" x14ac:dyDescent="0.25">
      <c r="A3" s="3" t="s">
        <v>9</v>
      </c>
      <c r="B3" s="10">
        <v>2</v>
      </c>
      <c r="C3" s="11">
        <v>0</v>
      </c>
      <c r="D3" s="12">
        <v>5</v>
      </c>
      <c r="E3" s="79" t="s">
        <v>12</v>
      </c>
      <c r="F3" s="80"/>
      <c r="G3" s="12">
        <v>34</v>
      </c>
      <c r="H3" s="3" t="s">
        <v>9</v>
      </c>
      <c r="I3" s="13">
        <f t="shared" ref="I3:I4" si="1">B3</f>
        <v>2</v>
      </c>
      <c r="J3">
        <f t="shared" si="0"/>
        <v>0</v>
      </c>
      <c r="K3" s="3">
        <f t="shared" si="0"/>
        <v>5</v>
      </c>
    </row>
    <row r="4" spans="1:14" s="2" customFormat="1" x14ac:dyDescent="0.25">
      <c r="A4" s="1" t="s">
        <v>10</v>
      </c>
      <c r="B4" s="14">
        <v>7</v>
      </c>
      <c r="C4" s="15">
        <v>5</v>
      </c>
      <c r="D4" s="16">
        <v>0</v>
      </c>
      <c r="E4" s="74" t="s">
        <v>13</v>
      </c>
      <c r="F4" s="81"/>
      <c r="G4" s="16">
        <v>28</v>
      </c>
      <c r="H4" s="1" t="s">
        <v>10</v>
      </c>
      <c r="I4" s="17">
        <f t="shared" si="1"/>
        <v>7</v>
      </c>
      <c r="J4" s="2">
        <f t="shared" si="0"/>
        <v>5</v>
      </c>
      <c r="K4" s="1">
        <f t="shared" si="0"/>
        <v>0</v>
      </c>
    </row>
    <row r="5" spans="1:14" x14ac:dyDescent="0.25">
      <c r="A5" s="18" t="s">
        <v>9</v>
      </c>
      <c r="B5">
        <f>MIN($G$2,C4+B4)</f>
        <v>2</v>
      </c>
      <c r="C5">
        <f>$C$3</f>
        <v>0</v>
      </c>
      <c r="D5" s="3">
        <f>MIN($G$4,B3+B4)</f>
        <v>9</v>
      </c>
      <c r="E5" s="76" t="str">
        <f t="shared" ref="E5:E18" si="2">IF(AND(B5=B3,C5=C3,D5=D3),"done","")</f>
        <v/>
      </c>
      <c r="F5" s="77"/>
      <c r="G5" s="9"/>
      <c r="H5" s="18" t="s">
        <v>9</v>
      </c>
      <c r="I5">
        <f>MIN($G$2,C4+B4)</f>
        <v>2</v>
      </c>
      <c r="J5">
        <f>$C$3</f>
        <v>0</v>
      </c>
      <c r="K5" s="3">
        <f>MIN($G$4,B3+B4)</f>
        <v>9</v>
      </c>
      <c r="L5" s="76" t="str">
        <f t="shared" ref="L5:L18" si="3">IF(AND(I5=I3,J5=J3,K5=K3),"done","")</f>
        <v/>
      </c>
      <c r="M5" s="77"/>
      <c r="N5" s="9"/>
    </row>
    <row r="6" spans="1:14" s="2" customFormat="1" x14ac:dyDescent="0.25">
      <c r="A6" s="19" t="s">
        <v>10</v>
      </c>
      <c r="B6" s="2">
        <f>MIN($G$3,D5+B5)</f>
        <v>11</v>
      </c>
      <c r="C6" s="2">
        <f>MIN($G$4,B5+$G$2)</f>
        <v>4</v>
      </c>
      <c r="D6" s="1">
        <f>$D$4</f>
        <v>0</v>
      </c>
      <c r="E6" s="74" t="str">
        <f t="shared" si="2"/>
        <v/>
      </c>
      <c r="F6" s="75"/>
      <c r="G6" s="1"/>
      <c r="H6" s="19" t="s">
        <v>8</v>
      </c>
      <c r="I6" s="2">
        <f>$B$2</f>
        <v>0</v>
      </c>
      <c r="J6" s="2">
        <f>MIN($G$2,$G$3+K5)</f>
        <v>2</v>
      </c>
      <c r="K6" s="1">
        <f>MIN($G$3,I5+K5)</f>
        <v>11</v>
      </c>
      <c r="L6" s="74" t="str">
        <f t="shared" si="3"/>
        <v/>
      </c>
      <c r="M6" s="75"/>
      <c r="N6" s="1"/>
    </row>
    <row r="7" spans="1:14" x14ac:dyDescent="0.25">
      <c r="A7" s="3" t="s">
        <v>9</v>
      </c>
      <c r="B7">
        <f t="shared" ref="B7" si="4">MIN($G$2,C6+B6)</f>
        <v>2</v>
      </c>
      <c r="C7">
        <f t="shared" ref="C7" si="5">$C$3</f>
        <v>0</v>
      </c>
      <c r="D7" s="3">
        <f t="shared" ref="D7" si="6">MIN($G$4,B5+B6)</f>
        <v>13</v>
      </c>
      <c r="E7" s="76" t="str">
        <f t="shared" si="2"/>
        <v/>
      </c>
      <c r="F7" s="77"/>
      <c r="G7" s="9"/>
      <c r="H7" s="3" t="s">
        <v>9</v>
      </c>
      <c r="I7">
        <f t="shared" ref="I7" si="7">MIN($G$2,C6+B6)</f>
        <v>2</v>
      </c>
      <c r="J7">
        <f t="shared" ref="J7" si="8">$C$3</f>
        <v>0</v>
      </c>
      <c r="K7" s="3">
        <f t="shared" ref="K7" si="9">MIN($G$4,B5+B6)</f>
        <v>13</v>
      </c>
      <c r="L7" s="76" t="str">
        <f t="shared" si="3"/>
        <v/>
      </c>
      <c r="M7" s="77"/>
      <c r="N7" s="9"/>
    </row>
    <row r="8" spans="1:14" s="2" customFormat="1" x14ac:dyDescent="0.25">
      <c r="A8" s="1" t="s">
        <v>10</v>
      </c>
      <c r="B8" s="2">
        <f t="shared" ref="B8" si="10">MIN($G$3,D7+B7)</f>
        <v>15</v>
      </c>
      <c r="C8" s="2">
        <f t="shared" ref="C8" si="11">MIN($G$4,B7+$G$2)</f>
        <v>4</v>
      </c>
      <c r="D8" s="1">
        <f t="shared" ref="D8" si="12">$D$4</f>
        <v>0</v>
      </c>
      <c r="E8" s="74" t="str">
        <f t="shared" si="2"/>
        <v/>
      </c>
      <c r="F8" s="75"/>
      <c r="G8" s="1"/>
      <c r="H8" s="1" t="s">
        <v>8</v>
      </c>
      <c r="I8" s="2">
        <f t="shared" ref="I8" si="13">$B$2</f>
        <v>0</v>
      </c>
      <c r="J8" s="2">
        <f t="shared" ref="J8" si="14">MIN($G$2,$G$3+K7)</f>
        <v>2</v>
      </c>
      <c r="K8" s="1">
        <f t="shared" ref="K8" si="15">MIN($G$3,I7+K7)</f>
        <v>15</v>
      </c>
      <c r="L8" s="74" t="str">
        <f t="shared" si="3"/>
        <v/>
      </c>
      <c r="M8" s="75"/>
      <c r="N8" s="1"/>
    </row>
    <row r="9" spans="1:14" x14ac:dyDescent="0.25">
      <c r="A9" s="3" t="s">
        <v>9</v>
      </c>
      <c r="B9">
        <f t="shared" ref="B9" si="16">MIN($G$2,C8+B8)</f>
        <v>2</v>
      </c>
      <c r="C9">
        <f t="shared" ref="C9" si="17">$C$3</f>
        <v>0</v>
      </c>
      <c r="D9" s="3">
        <f t="shared" ref="D9" si="18">MIN($G$4,B7+B8)</f>
        <v>17</v>
      </c>
      <c r="E9" s="76" t="str">
        <f t="shared" si="2"/>
        <v/>
      </c>
      <c r="F9" s="77"/>
      <c r="G9" s="9"/>
      <c r="H9" s="3" t="s">
        <v>9</v>
      </c>
      <c r="I9">
        <f t="shared" ref="I9" si="19">MIN($G$2,C8+B8)</f>
        <v>2</v>
      </c>
      <c r="J9">
        <f t="shared" ref="J9" si="20">$C$3</f>
        <v>0</v>
      </c>
      <c r="K9" s="3">
        <f t="shared" ref="K9" si="21">MIN($G$4,B7+B8)</f>
        <v>17</v>
      </c>
      <c r="L9" s="76" t="str">
        <f t="shared" si="3"/>
        <v/>
      </c>
      <c r="M9" s="77"/>
      <c r="N9" s="9"/>
    </row>
    <row r="10" spans="1:14" s="2" customFormat="1" x14ac:dyDescent="0.25">
      <c r="A10" s="1" t="s">
        <v>10</v>
      </c>
      <c r="B10" s="2">
        <f t="shared" ref="B10" si="22">MIN($G$3,D9+B9)</f>
        <v>19</v>
      </c>
      <c r="C10" s="2">
        <f t="shared" ref="C10" si="23">MIN($G$4,B9+$G$2)</f>
        <v>4</v>
      </c>
      <c r="D10" s="1">
        <f t="shared" ref="D10" si="24">$D$4</f>
        <v>0</v>
      </c>
      <c r="E10" s="74" t="str">
        <f t="shared" si="2"/>
        <v/>
      </c>
      <c r="F10" s="75"/>
      <c r="G10" s="1"/>
      <c r="H10" s="1" t="s">
        <v>8</v>
      </c>
      <c r="I10" s="2">
        <f t="shared" ref="I10" si="25">$B$2</f>
        <v>0</v>
      </c>
      <c r="J10" s="2">
        <f t="shared" ref="J10" si="26">MIN($G$2,$G$3+K9)</f>
        <v>2</v>
      </c>
      <c r="K10" s="1">
        <f t="shared" ref="K10" si="27">MIN($G$3,I9+K9)</f>
        <v>19</v>
      </c>
      <c r="L10" s="74" t="str">
        <f t="shared" si="3"/>
        <v/>
      </c>
      <c r="M10" s="75"/>
      <c r="N10" s="1"/>
    </row>
    <row r="11" spans="1:14" x14ac:dyDescent="0.25">
      <c r="A11" s="3" t="s">
        <v>9</v>
      </c>
      <c r="B11">
        <f t="shared" ref="B11" si="28">MIN($G$2,C10+B10)</f>
        <v>2</v>
      </c>
      <c r="C11">
        <f t="shared" ref="C11" si="29">$C$3</f>
        <v>0</v>
      </c>
      <c r="D11" s="3">
        <f t="shared" ref="D11" si="30">MIN($G$4,B9+B10)</f>
        <v>21</v>
      </c>
      <c r="E11" s="76" t="str">
        <f t="shared" si="2"/>
        <v/>
      </c>
      <c r="F11" s="77"/>
      <c r="G11" s="9"/>
      <c r="H11" s="3" t="s">
        <v>9</v>
      </c>
      <c r="I11">
        <f t="shared" ref="I11" si="31">MIN($G$2,C10+B10)</f>
        <v>2</v>
      </c>
      <c r="J11">
        <f t="shared" ref="J11" si="32">$C$3</f>
        <v>0</v>
      </c>
      <c r="K11" s="3">
        <f t="shared" ref="K11" si="33">MIN($G$4,B9+B10)</f>
        <v>21</v>
      </c>
      <c r="L11" s="76" t="str">
        <f t="shared" si="3"/>
        <v/>
      </c>
      <c r="M11" s="77"/>
      <c r="N11" s="9"/>
    </row>
    <row r="12" spans="1:14" s="2" customFormat="1" x14ac:dyDescent="0.25">
      <c r="A12" s="1" t="s">
        <v>10</v>
      </c>
      <c r="B12" s="2">
        <f t="shared" ref="B12" si="34">MIN($G$3,D11+B11)</f>
        <v>23</v>
      </c>
      <c r="C12" s="2">
        <f t="shared" ref="C12" si="35">MIN($G$4,B11+$G$2)</f>
        <v>4</v>
      </c>
      <c r="D12" s="1">
        <f t="shared" ref="D12" si="36">$D$4</f>
        <v>0</v>
      </c>
      <c r="E12" s="74" t="str">
        <f t="shared" si="2"/>
        <v/>
      </c>
      <c r="F12" s="75"/>
      <c r="G12" s="1"/>
      <c r="H12" s="1" t="s">
        <v>8</v>
      </c>
      <c r="I12" s="2">
        <f t="shared" ref="I12" si="37">$B$2</f>
        <v>0</v>
      </c>
      <c r="J12" s="2">
        <f t="shared" ref="J12" si="38">MIN($G$2,$G$3+K11)</f>
        <v>2</v>
      </c>
      <c r="K12" s="1">
        <f t="shared" ref="K12" si="39">MIN($G$3,I11+K11)</f>
        <v>23</v>
      </c>
      <c r="L12" s="74" t="str">
        <f t="shared" si="3"/>
        <v/>
      </c>
      <c r="M12" s="75"/>
      <c r="N12" s="1"/>
    </row>
    <row r="13" spans="1:14" x14ac:dyDescent="0.25">
      <c r="A13" s="3" t="s">
        <v>9</v>
      </c>
      <c r="B13">
        <f t="shared" ref="B13" si="40">MIN($G$2,C12+B12)</f>
        <v>2</v>
      </c>
      <c r="C13">
        <f t="shared" ref="C13" si="41">$C$3</f>
        <v>0</v>
      </c>
      <c r="D13" s="3">
        <f t="shared" ref="D13" si="42">MIN($G$4,B11+B12)</f>
        <v>25</v>
      </c>
      <c r="E13" s="76" t="str">
        <f t="shared" si="2"/>
        <v/>
      </c>
      <c r="F13" s="77"/>
      <c r="G13" s="9"/>
      <c r="H13" s="3" t="s">
        <v>9</v>
      </c>
      <c r="I13">
        <f t="shared" ref="I13" si="43">MIN($G$2,C12+B12)</f>
        <v>2</v>
      </c>
      <c r="J13">
        <f t="shared" ref="J13" si="44">$C$3</f>
        <v>0</v>
      </c>
      <c r="K13" s="3">
        <f t="shared" ref="K13" si="45">MIN($G$4,B11+B12)</f>
        <v>25</v>
      </c>
      <c r="L13" s="76" t="str">
        <f t="shared" si="3"/>
        <v/>
      </c>
      <c r="M13" s="77"/>
      <c r="N13" s="9"/>
    </row>
    <row r="14" spans="1:14" s="2" customFormat="1" x14ac:dyDescent="0.25">
      <c r="A14" s="1" t="s">
        <v>10</v>
      </c>
      <c r="B14" s="2">
        <f t="shared" ref="B14" si="46">MIN($G$3,D13+B13)</f>
        <v>27</v>
      </c>
      <c r="C14" s="2">
        <f t="shared" ref="C14" si="47">MIN($G$4,B13+$G$2)</f>
        <v>4</v>
      </c>
      <c r="D14" s="1">
        <f t="shared" ref="D14" si="48">$D$4</f>
        <v>0</v>
      </c>
      <c r="E14" s="74" t="str">
        <f t="shared" si="2"/>
        <v/>
      </c>
      <c r="F14" s="75"/>
      <c r="G14" s="1"/>
      <c r="H14" s="1" t="s">
        <v>8</v>
      </c>
      <c r="I14" s="2">
        <f t="shared" ref="I14" si="49">$B$2</f>
        <v>0</v>
      </c>
      <c r="J14" s="2">
        <f t="shared" ref="J14" si="50">MIN($G$2,$G$3+K13)</f>
        <v>2</v>
      </c>
      <c r="K14" s="1">
        <f t="shared" ref="K14" si="51">MIN($G$3,I13+K13)</f>
        <v>27</v>
      </c>
      <c r="L14" s="74" t="str">
        <f t="shared" si="3"/>
        <v/>
      </c>
      <c r="M14" s="75"/>
      <c r="N14" s="1"/>
    </row>
    <row r="15" spans="1:14" x14ac:dyDescent="0.25">
      <c r="A15" s="3" t="s">
        <v>9</v>
      </c>
      <c r="B15">
        <f t="shared" ref="B15" si="52">MIN($G$2,C14+B14)</f>
        <v>2</v>
      </c>
      <c r="C15">
        <f t="shared" ref="C15" si="53">$C$3</f>
        <v>0</v>
      </c>
      <c r="D15" s="3">
        <f t="shared" ref="D15" si="54">MIN($G$4,B13+B14)</f>
        <v>28</v>
      </c>
      <c r="E15" s="76" t="str">
        <f t="shared" si="2"/>
        <v/>
      </c>
      <c r="F15" s="77"/>
      <c r="G15" s="9"/>
      <c r="H15" s="3" t="s">
        <v>9</v>
      </c>
      <c r="I15">
        <f t="shared" ref="I15" si="55">MIN($G$2,C14+B14)</f>
        <v>2</v>
      </c>
      <c r="J15">
        <f t="shared" ref="J15" si="56">$C$3</f>
        <v>0</v>
      </c>
      <c r="K15" s="3">
        <f t="shared" ref="K15" si="57">MIN($G$4,B13+B14)</f>
        <v>28</v>
      </c>
      <c r="L15" s="76" t="str">
        <f t="shared" si="3"/>
        <v/>
      </c>
      <c r="M15" s="77"/>
      <c r="N15" s="9"/>
    </row>
    <row r="16" spans="1:14" s="2" customFormat="1" x14ac:dyDescent="0.25">
      <c r="A16" s="1" t="s">
        <v>10</v>
      </c>
      <c r="B16" s="2">
        <f t="shared" ref="B16" si="58">MIN($G$3,D15+B15)</f>
        <v>30</v>
      </c>
      <c r="C16" s="2">
        <f t="shared" ref="C16" si="59">MIN($G$4,B15+$G$2)</f>
        <v>4</v>
      </c>
      <c r="D16" s="1">
        <f t="shared" ref="D16" si="60">$D$4</f>
        <v>0</v>
      </c>
      <c r="E16" s="74" t="str">
        <f t="shared" si="2"/>
        <v/>
      </c>
      <c r="F16" s="75"/>
      <c r="G16" s="1"/>
      <c r="H16" s="1" t="s">
        <v>8</v>
      </c>
      <c r="I16" s="2">
        <f t="shared" ref="I16" si="61">$B$2</f>
        <v>0</v>
      </c>
      <c r="J16" s="2">
        <f t="shared" ref="J16" si="62">MIN($G$2,$G$3+K15)</f>
        <v>2</v>
      </c>
      <c r="K16" s="1">
        <f t="shared" ref="K16" si="63">MIN($G$3,I15+K15)</f>
        <v>30</v>
      </c>
      <c r="L16" s="74" t="str">
        <f t="shared" si="3"/>
        <v/>
      </c>
      <c r="M16" s="75"/>
      <c r="N16" s="1"/>
    </row>
    <row r="17" spans="1:14" x14ac:dyDescent="0.25">
      <c r="A17" s="3" t="s">
        <v>9</v>
      </c>
      <c r="B17">
        <f t="shared" ref="B17" si="64">MIN($G$2,C16+B16)</f>
        <v>2</v>
      </c>
      <c r="C17">
        <f t="shared" ref="C17" si="65">$C$3</f>
        <v>0</v>
      </c>
      <c r="D17" s="3">
        <f t="shared" ref="D17" si="66">MIN($G$4,B15+B16)</f>
        <v>28</v>
      </c>
      <c r="E17" s="76" t="str">
        <f t="shared" si="2"/>
        <v>done</v>
      </c>
      <c r="F17" s="77"/>
      <c r="G17" s="9"/>
      <c r="H17" s="3" t="s">
        <v>9</v>
      </c>
      <c r="I17">
        <f t="shared" ref="I17" si="67">MIN($G$2,C16+B16)</f>
        <v>2</v>
      </c>
      <c r="J17">
        <f t="shared" ref="J17" si="68">$C$3</f>
        <v>0</v>
      </c>
      <c r="K17" s="3">
        <f>MIN($G$4,B15+B16)</f>
        <v>28</v>
      </c>
      <c r="L17" s="76" t="str">
        <f t="shared" si="3"/>
        <v>done</v>
      </c>
      <c r="M17" s="77"/>
      <c r="N17" s="9"/>
    </row>
    <row r="18" spans="1:14" s="2" customFormat="1" x14ac:dyDescent="0.25">
      <c r="A18" s="1" t="s">
        <v>10</v>
      </c>
      <c r="B18" s="2">
        <f t="shared" ref="B18" si="69">MIN($G$3,D17+B17)</f>
        <v>30</v>
      </c>
      <c r="C18" s="2">
        <f t="shared" ref="C18" si="70">MIN($G$4,B17+$G$2)</f>
        <v>4</v>
      </c>
      <c r="D18" s="1">
        <f t="shared" ref="D18" si="71">$D$4</f>
        <v>0</v>
      </c>
      <c r="E18" s="74" t="str">
        <f t="shared" si="2"/>
        <v>done</v>
      </c>
      <c r="F18" s="75"/>
      <c r="G18" s="1"/>
      <c r="H18" s="1" t="s">
        <v>8</v>
      </c>
      <c r="I18" s="2">
        <f t="shared" ref="I18" si="72">$B$2</f>
        <v>0</v>
      </c>
      <c r="J18" s="2">
        <f t="shared" ref="J18" si="73">MIN($G$2,$G$3+K17)</f>
        <v>2</v>
      </c>
      <c r="K18" s="1">
        <f t="shared" ref="K18" si="74">MIN($G$3,I17+K17)</f>
        <v>30</v>
      </c>
      <c r="L18" s="74" t="str">
        <f t="shared" si="3"/>
        <v>done</v>
      </c>
      <c r="M18" s="75"/>
      <c r="N18" s="1"/>
    </row>
  </sheetData>
  <mergeCells count="31">
    <mergeCell ref="E6:F6"/>
    <mergeCell ref="L6:M6"/>
    <mergeCell ref="E2:F2"/>
    <mergeCell ref="E3:F3"/>
    <mergeCell ref="E4:F4"/>
    <mergeCell ref="E5:F5"/>
    <mergeCell ref="L5:M5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  <mergeCell ref="E18:F18"/>
    <mergeCell ref="L18:M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40BD-1F07-4108-B3E5-11C0A7933521}">
  <dimension ref="A1:M24"/>
  <sheetViews>
    <sheetView workbookViewId="0">
      <selection activeCell="F21" sqref="F21"/>
    </sheetView>
  </sheetViews>
  <sheetFormatPr defaultRowHeight="16.5" x14ac:dyDescent="0.25"/>
  <cols>
    <col min="13" max="13" width="9" style="35"/>
  </cols>
  <sheetData>
    <row r="1" spans="1:13" x14ac:dyDescent="0.25">
      <c r="B1" s="58" t="s">
        <v>14</v>
      </c>
      <c r="C1" s="58"/>
      <c r="D1" s="58"/>
      <c r="E1" s="58"/>
      <c r="F1" s="58"/>
      <c r="G1" s="58"/>
    </row>
    <row r="2" spans="1:13" x14ac:dyDescent="0.25">
      <c r="A2" s="82">
        <v>1</v>
      </c>
      <c r="B2" s="13" t="s">
        <v>15</v>
      </c>
      <c r="C2" s="11"/>
      <c r="E2" t="s">
        <v>16</v>
      </c>
      <c r="F2" s="11"/>
      <c r="G2" s="3"/>
      <c r="H2" s="8" t="s">
        <v>1</v>
      </c>
      <c r="I2" s="8" t="s">
        <v>17</v>
      </c>
      <c r="J2" s="8">
        <f>F5+C5+C3</f>
        <v>3.3</v>
      </c>
      <c r="K2" s="8" t="s">
        <v>7</v>
      </c>
      <c r="L2" s="8">
        <f>MIN(J2:J3)</f>
        <v>3.1</v>
      </c>
      <c r="M2" s="6" t="str">
        <f>IF(L2=J2,I2,I3)</f>
        <v>ACL</v>
      </c>
    </row>
    <row r="3" spans="1:13" x14ac:dyDescent="0.25">
      <c r="A3" s="82"/>
      <c r="B3" s="13" t="s">
        <v>18</v>
      </c>
      <c r="C3" s="11">
        <v>3.3</v>
      </c>
      <c r="E3" t="s">
        <v>19</v>
      </c>
      <c r="F3" s="11">
        <v>3.1</v>
      </c>
      <c r="G3" s="3"/>
      <c r="I3" t="s">
        <v>20</v>
      </c>
      <c r="J3">
        <f>F3</f>
        <v>3.1</v>
      </c>
      <c r="M3" s="12"/>
    </row>
    <row r="4" spans="1:13" x14ac:dyDescent="0.25">
      <c r="A4" s="82"/>
      <c r="B4" s="13"/>
      <c r="G4" s="3"/>
      <c r="H4" t="s">
        <v>2</v>
      </c>
      <c r="I4" t="s">
        <v>17</v>
      </c>
      <c r="J4">
        <f>C5+C3</f>
        <v>3.3</v>
      </c>
      <c r="K4" t="s">
        <v>7</v>
      </c>
      <c r="L4">
        <f>MIN(J4:J5)</f>
        <v>3.3</v>
      </c>
      <c r="M4" s="12" t="str">
        <f>IF(L4=J4,I4,I5)</f>
        <v>CL</v>
      </c>
    </row>
    <row r="5" spans="1:13" x14ac:dyDescent="0.25">
      <c r="A5" s="82"/>
      <c r="B5" s="13" t="s">
        <v>21</v>
      </c>
      <c r="C5" s="11"/>
      <c r="E5" t="s">
        <v>22</v>
      </c>
      <c r="F5" s="11"/>
      <c r="G5" s="3"/>
      <c r="I5" t="s">
        <v>20</v>
      </c>
      <c r="J5">
        <f>F6+F3</f>
        <v>4.2</v>
      </c>
      <c r="M5" s="12"/>
    </row>
    <row r="6" spans="1:13" x14ac:dyDescent="0.25">
      <c r="A6" s="82"/>
      <c r="B6" s="13" t="s">
        <v>23</v>
      </c>
      <c r="C6" s="11"/>
      <c r="E6" t="s">
        <v>24</v>
      </c>
      <c r="F6" s="11">
        <v>1.1000000000000001</v>
      </c>
      <c r="G6" s="3"/>
      <c r="H6" t="s">
        <v>3</v>
      </c>
      <c r="I6" t="s">
        <v>17</v>
      </c>
      <c r="J6">
        <f>C3</f>
        <v>3.3</v>
      </c>
      <c r="K6" t="s">
        <v>7</v>
      </c>
      <c r="L6">
        <f>MIN(J6:J7)</f>
        <v>3.3</v>
      </c>
      <c r="M6" s="12" t="str">
        <f>IF(L6=J6,I6,I7)</f>
        <v>CL</v>
      </c>
    </row>
    <row r="7" spans="1:13" x14ac:dyDescent="0.25">
      <c r="B7" s="17"/>
      <c r="C7" s="2"/>
      <c r="D7" s="2"/>
      <c r="E7" s="2"/>
      <c r="F7" s="2"/>
      <c r="G7" s="1"/>
      <c r="H7" s="2"/>
      <c r="I7" s="2" t="s">
        <v>20</v>
      </c>
      <c r="J7" s="2">
        <f>C6+F6+F3</f>
        <v>4.2</v>
      </c>
      <c r="K7" s="2"/>
      <c r="L7" s="2"/>
      <c r="M7" s="16"/>
    </row>
    <row r="9" spans="1:13" x14ac:dyDescent="0.25">
      <c r="B9" s="58" t="s">
        <v>14</v>
      </c>
      <c r="C9" s="58"/>
      <c r="D9" s="58"/>
      <c r="E9" s="58"/>
      <c r="F9" s="58"/>
      <c r="G9" s="58"/>
    </row>
    <row r="10" spans="1:13" x14ac:dyDescent="0.25">
      <c r="A10" s="82">
        <v>2</v>
      </c>
      <c r="B10" s="7" t="s">
        <v>15</v>
      </c>
      <c r="C10" s="5"/>
      <c r="D10" s="8"/>
      <c r="E10" s="8" t="s">
        <v>16</v>
      </c>
      <c r="F10" s="5"/>
      <c r="G10" s="9"/>
      <c r="H10" s="8" t="s">
        <v>1</v>
      </c>
      <c r="I10" s="8" t="s">
        <v>17</v>
      </c>
      <c r="J10" s="8">
        <f>F13+C13+C11</f>
        <v>5.5</v>
      </c>
      <c r="K10" s="8" t="s">
        <v>7</v>
      </c>
      <c r="L10" s="8">
        <f>MIN(J10:J11)</f>
        <v>2</v>
      </c>
      <c r="M10" s="6" t="str">
        <f>IF(L10=J10,I10,I11)</f>
        <v>ACL</v>
      </c>
    </row>
    <row r="11" spans="1:13" x14ac:dyDescent="0.25">
      <c r="A11" s="82"/>
      <c r="B11" s="13" t="s">
        <v>18</v>
      </c>
      <c r="C11" s="11">
        <v>4.4000000000000004</v>
      </c>
      <c r="E11" t="s">
        <v>19</v>
      </c>
      <c r="F11" s="11">
        <v>2</v>
      </c>
      <c r="G11" s="3"/>
      <c r="I11" t="s">
        <v>20</v>
      </c>
      <c r="J11">
        <f>F11</f>
        <v>2</v>
      </c>
      <c r="M11" s="12"/>
    </row>
    <row r="12" spans="1:13" x14ac:dyDescent="0.25">
      <c r="A12" s="82"/>
      <c r="B12" s="13"/>
      <c r="G12" s="3"/>
      <c r="H12" t="s">
        <v>2</v>
      </c>
      <c r="I12" t="s">
        <v>17</v>
      </c>
      <c r="J12">
        <f>C13+C11</f>
        <v>5.5</v>
      </c>
      <c r="K12" t="s">
        <v>7</v>
      </c>
      <c r="L12">
        <f>MIN(J12:J13)</f>
        <v>2</v>
      </c>
      <c r="M12" s="12" t="str">
        <f>IF(L12=J12,I12,I13)</f>
        <v>ACL</v>
      </c>
    </row>
    <row r="13" spans="1:13" x14ac:dyDescent="0.25">
      <c r="A13" s="82"/>
      <c r="B13" s="13" t="s">
        <v>21</v>
      </c>
      <c r="C13" s="11">
        <v>1.1000000000000001</v>
      </c>
      <c r="E13" t="s">
        <v>22</v>
      </c>
      <c r="F13" s="11"/>
      <c r="G13" s="3"/>
      <c r="I13" t="s">
        <v>20</v>
      </c>
      <c r="J13">
        <f>F14+F11</f>
        <v>2</v>
      </c>
      <c r="M13" s="12"/>
    </row>
    <row r="14" spans="1:13" x14ac:dyDescent="0.25">
      <c r="A14" s="82"/>
      <c r="B14" s="13" t="s">
        <v>23</v>
      </c>
      <c r="C14" s="11"/>
      <c r="E14" t="s">
        <v>24</v>
      </c>
      <c r="F14" s="11"/>
      <c r="G14" s="3"/>
      <c r="H14" t="s">
        <v>3</v>
      </c>
      <c r="I14" t="s">
        <v>17</v>
      </c>
      <c r="J14">
        <f>C11</f>
        <v>4.4000000000000004</v>
      </c>
      <c r="K14" t="s">
        <v>7</v>
      </c>
      <c r="L14">
        <f>MIN(J14:J15)</f>
        <v>2</v>
      </c>
      <c r="M14" s="12" t="str">
        <f>IF(L14=J14,I14,I15)</f>
        <v>ACL</v>
      </c>
    </row>
    <row r="15" spans="1:13" x14ac:dyDescent="0.25">
      <c r="B15" s="17"/>
      <c r="C15" s="2"/>
      <c r="D15" s="2"/>
      <c r="E15" s="2"/>
      <c r="F15" s="2"/>
      <c r="G15" s="1"/>
      <c r="H15" s="2"/>
      <c r="I15" s="2" t="s">
        <v>20</v>
      </c>
      <c r="J15" s="2">
        <f>C14+F14+F11</f>
        <v>2</v>
      </c>
      <c r="K15" s="2"/>
      <c r="L15" s="2"/>
      <c r="M15" s="16"/>
    </row>
    <row r="18" spans="1:13" x14ac:dyDescent="0.25">
      <c r="B18" s="58" t="s">
        <v>14</v>
      </c>
      <c r="C18" s="58"/>
      <c r="D18" s="58"/>
      <c r="E18" s="58"/>
      <c r="F18" s="58"/>
      <c r="G18" s="58"/>
    </row>
    <row r="19" spans="1:13" x14ac:dyDescent="0.25">
      <c r="A19" s="82">
        <v>3</v>
      </c>
      <c r="B19" s="7" t="s">
        <v>15</v>
      </c>
      <c r="C19" s="5"/>
      <c r="D19" s="8"/>
      <c r="E19" s="8" t="s">
        <v>16</v>
      </c>
      <c r="F19" s="5"/>
      <c r="G19" s="9"/>
      <c r="H19" s="8" t="s">
        <v>1</v>
      </c>
      <c r="I19" s="8" t="s">
        <v>17</v>
      </c>
      <c r="J19" s="8">
        <f>F22+C22+C20</f>
        <v>0</v>
      </c>
      <c r="K19" s="8" t="s">
        <v>7</v>
      </c>
      <c r="L19" s="8">
        <f>MIN(J19:J20)</f>
        <v>0</v>
      </c>
      <c r="M19" s="6" t="str">
        <f>IF(L19=J19,I19,I20)</f>
        <v>CL</v>
      </c>
    </row>
    <row r="20" spans="1:13" x14ac:dyDescent="0.25">
      <c r="A20" s="82"/>
      <c r="B20" s="13" t="s">
        <v>18</v>
      </c>
      <c r="C20" s="11"/>
      <c r="E20" t="s">
        <v>19</v>
      </c>
      <c r="F20" s="11">
        <v>6.4</v>
      </c>
      <c r="G20" s="3"/>
      <c r="I20" t="s">
        <v>20</v>
      </c>
      <c r="J20">
        <f>F20</f>
        <v>6.4</v>
      </c>
      <c r="M20" s="12"/>
    </row>
    <row r="21" spans="1:13" x14ac:dyDescent="0.25">
      <c r="A21" s="82"/>
      <c r="B21" s="13"/>
      <c r="G21" s="3"/>
      <c r="H21" t="s">
        <v>2</v>
      </c>
      <c r="I21" t="s">
        <v>17</v>
      </c>
      <c r="J21">
        <f>C22+C20</f>
        <v>0</v>
      </c>
      <c r="K21" t="s">
        <v>7</v>
      </c>
      <c r="L21">
        <f>MIN(J21:J22)</f>
        <v>0</v>
      </c>
      <c r="M21" s="12" t="str">
        <f>IF(L21=J21,I21,I22)</f>
        <v>CL</v>
      </c>
    </row>
    <row r="22" spans="1:13" x14ac:dyDescent="0.25">
      <c r="A22" s="82"/>
      <c r="B22" s="13" t="s">
        <v>21</v>
      </c>
      <c r="C22" s="11"/>
      <c r="E22" t="s">
        <v>22</v>
      </c>
      <c r="F22" s="11"/>
      <c r="G22" s="3"/>
      <c r="I22" t="s">
        <v>20</v>
      </c>
      <c r="J22">
        <f>F23+F20</f>
        <v>10.8</v>
      </c>
      <c r="M22" s="12"/>
    </row>
    <row r="23" spans="1:13" x14ac:dyDescent="0.25">
      <c r="A23" s="82"/>
      <c r="B23" s="13" t="s">
        <v>23</v>
      </c>
      <c r="C23" s="11">
        <v>3.3</v>
      </c>
      <c r="E23" t="s">
        <v>24</v>
      </c>
      <c r="F23" s="11">
        <v>4.4000000000000004</v>
      </c>
      <c r="G23" s="3"/>
      <c r="H23" t="s">
        <v>3</v>
      </c>
      <c r="I23" t="s">
        <v>17</v>
      </c>
      <c r="J23">
        <f>C20</f>
        <v>0</v>
      </c>
      <c r="K23" t="s">
        <v>7</v>
      </c>
      <c r="L23">
        <f>MIN(J23:J24)</f>
        <v>0</v>
      </c>
      <c r="M23" s="12" t="str">
        <f>IF(L23=J23,I23,I24)</f>
        <v>CL</v>
      </c>
    </row>
    <row r="24" spans="1:13" x14ac:dyDescent="0.25">
      <c r="B24" s="17"/>
      <c r="C24" s="2"/>
      <c r="D24" s="2"/>
      <c r="E24" s="2"/>
      <c r="F24" s="2"/>
      <c r="G24" s="1"/>
      <c r="H24" s="2"/>
      <c r="I24" s="2" t="s">
        <v>20</v>
      </c>
      <c r="J24" s="2">
        <f>C23+F23+F20</f>
        <v>14.100000000000001</v>
      </c>
      <c r="K24" s="2"/>
      <c r="L24" s="2"/>
      <c r="M24" s="16"/>
    </row>
  </sheetData>
  <mergeCells count="3">
    <mergeCell ref="A19:A23"/>
    <mergeCell ref="A2:A6"/>
    <mergeCell ref="A10:A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389-7FE9-46DB-A2C3-6DFCA73156A8}">
  <dimension ref="A1:N14"/>
  <sheetViews>
    <sheetView workbookViewId="0">
      <selection activeCell="B15" sqref="B15"/>
    </sheetView>
  </sheetViews>
  <sheetFormatPr defaultRowHeight="16.5" x14ac:dyDescent="0.25"/>
  <cols>
    <col min="4" max="4" width="9.5" customWidth="1"/>
    <col min="9" max="9" width="18" style="20" customWidth="1"/>
    <col min="10" max="10" width="16.625" style="67" customWidth="1"/>
  </cols>
  <sheetData>
    <row r="1" spans="1:14" x14ac:dyDescent="0.25">
      <c r="A1" s="82" t="s">
        <v>25</v>
      </c>
      <c r="B1" s="82"/>
      <c r="C1" s="82"/>
      <c r="D1" s="82"/>
      <c r="E1" s="82"/>
      <c r="F1" s="82"/>
      <c r="G1" s="82"/>
      <c r="H1" s="82"/>
    </row>
    <row r="2" spans="1:14" x14ac:dyDescent="0.25">
      <c r="A2" s="21" t="s">
        <v>26</v>
      </c>
      <c r="B2" s="22" t="s">
        <v>27</v>
      </c>
      <c r="C2" s="22"/>
      <c r="D2" s="23" t="s">
        <v>0</v>
      </c>
      <c r="E2" s="23" t="s">
        <v>1</v>
      </c>
      <c r="F2" s="23" t="s">
        <v>2</v>
      </c>
      <c r="G2" s="23" t="s">
        <v>3</v>
      </c>
      <c r="H2" s="21" t="s">
        <v>4</v>
      </c>
      <c r="K2" s="20"/>
      <c r="L2" s="20"/>
      <c r="M2" s="20"/>
      <c r="N2" s="20"/>
    </row>
    <row r="3" spans="1:14" x14ac:dyDescent="0.25">
      <c r="A3" s="3" t="s">
        <v>0</v>
      </c>
      <c r="B3" s="24">
        <v>3</v>
      </c>
      <c r="C3" s="25" t="s">
        <v>6</v>
      </c>
      <c r="D3" s="11">
        <v>0</v>
      </c>
      <c r="E3" s="11">
        <v>6</v>
      </c>
      <c r="F3" s="11">
        <v>3</v>
      </c>
      <c r="G3" s="11">
        <v>2</v>
      </c>
      <c r="H3" s="12">
        <v>4</v>
      </c>
      <c r="I3" s="13"/>
    </row>
    <row r="4" spans="1:14" x14ac:dyDescent="0.25">
      <c r="A4" s="3" t="s">
        <v>1</v>
      </c>
      <c r="B4" s="24">
        <v>2</v>
      </c>
      <c r="C4" s="25" t="s">
        <v>6</v>
      </c>
      <c r="D4" s="11">
        <v>6</v>
      </c>
      <c r="E4" s="11">
        <v>0</v>
      </c>
      <c r="F4" s="11">
        <v>8</v>
      </c>
      <c r="G4" s="11">
        <v>11</v>
      </c>
      <c r="H4" s="12">
        <v>6</v>
      </c>
      <c r="I4" s="13"/>
    </row>
    <row r="5" spans="1:14" x14ac:dyDescent="0.25">
      <c r="A5" s="3" t="s">
        <v>2</v>
      </c>
      <c r="B5" s="24">
        <v>0</v>
      </c>
      <c r="C5" s="25" t="s">
        <v>6</v>
      </c>
      <c r="D5" s="11">
        <v>1</v>
      </c>
      <c r="E5" s="11">
        <v>7</v>
      </c>
      <c r="F5" s="11">
        <v>0</v>
      </c>
      <c r="G5" s="11">
        <v>4</v>
      </c>
      <c r="H5" s="12">
        <v>4</v>
      </c>
      <c r="I5" s="13"/>
    </row>
    <row r="6" spans="1:14" x14ac:dyDescent="0.25">
      <c r="A6" s="3" t="s">
        <v>3</v>
      </c>
      <c r="B6" s="24">
        <v>3</v>
      </c>
      <c r="C6" s="25" t="s">
        <v>6</v>
      </c>
      <c r="D6" s="11">
        <v>16</v>
      </c>
      <c r="E6" s="11">
        <v>2</v>
      </c>
      <c r="F6" s="11">
        <v>6</v>
      </c>
      <c r="G6" s="11">
        <v>0</v>
      </c>
      <c r="H6" s="12">
        <v>7</v>
      </c>
      <c r="I6" s="13"/>
    </row>
    <row r="7" spans="1:14" x14ac:dyDescent="0.25">
      <c r="A7" s="1" t="s">
        <v>4</v>
      </c>
      <c r="B7" s="26">
        <v>5</v>
      </c>
      <c r="C7" s="22" t="s">
        <v>6</v>
      </c>
      <c r="D7" s="15">
        <v>8</v>
      </c>
      <c r="E7" s="15">
        <v>6</v>
      </c>
      <c r="F7" s="15">
        <v>3</v>
      </c>
      <c r="G7" s="15">
        <v>4</v>
      </c>
      <c r="H7" s="16">
        <v>0</v>
      </c>
      <c r="I7" s="13"/>
    </row>
    <row r="8" spans="1:14" x14ac:dyDescent="0.25">
      <c r="A8" s="3" t="s">
        <v>0</v>
      </c>
      <c r="B8" s="24"/>
      <c r="C8" s="25" t="s">
        <v>28</v>
      </c>
      <c r="D8" s="11">
        <f>IF($B3=0,0,$B3+D3)</f>
        <v>3</v>
      </c>
      <c r="E8" s="11">
        <f t="shared" ref="E8:H8" si="0">IF($B3=0,0,$B3+E3)</f>
        <v>9</v>
      </c>
      <c r="F8" s="11">
        <f t="shared" si="0"/>
        <v>6</v>
      </c>
      <c r="G8" s="11">
        <f t="shared" si="0"/>
        <v>5</v>
      </c>
      <c r="H8" s="6">
        <f t="shared" si="0"/>
        <v>7</v>
      </c>
      <c r="I8" s="20" t="s">
        <v>29</v>
      </c>
      <c r="J8" s="67" t="s">
        <v>135</v>
      </c>
    </row>
    <row r="9" spans="1:14" x14ac:dyDescent="0.25">
      <c r="A9" s="3" t="s">
        <v>1</v>
      </c>
      <c r="B9" s="24"/>
      <c r="C9" s="25" t="s">
        <v>28</v>
      </c>
      <c r="D9" s="11">
        <f t="shared" ref="D9:H12" si="1">IF($B4=0,0,$B4+D4)</f>
        <v>8</v>
      </c>
      <c r="E9" s="11">
        <f t="shared" si="1"/>
        <v>2</v>
      </c>
      <c r="F9" s="11">
        <f t="shared" si="1"/>
        <v>10</v>
      </c>
      <c r="G9" s="11">
        <f t="shared" si="1"/>
        <v>13</v>
      </c>
      <c r="H9" s="12">
        <f t="shared" si="1"/>
        <v>8</v>
      </c>
      <c r="I9" s="20" t="s">
        <v>30</v>
      </c>
      <c r="J9" s="70" t="s">
        <v>135</v>
      </c>
    </row>
    <row r="10" spans="1:14" x14ac:dyDescent="0.25">
      <c r="A10" s="3" t="s">
        <v>2</v>
      </c>
      <c r="B10" s="24"/>
      <c r="C10" s="25" t="s">
        <v>28</v>
      </c>
      <c r="D10" s="11">
        <f t="shared" si="1"/>
        <v>0</v>
      </c>
      <c r="E10" s="11">
        <f t="shared" si="1"/>
        <v>0</v>
      </c>
      <c r="F10" s="11">
        <f t="shared" si="1"/>
        <v>0</v>
      </c>
      <c r="G10" s="11">
        <f t="shared" si="1"/>
        <v>0</v>
      </c>
      <c r="H10" s="12">
        <f t="shared" si="1"/>
        <v>0</v>
      </c>
      <c r="I10" s="20" t="s">
        <v>31</v>
      </c>
      <c r="J10" s="70" t="s">
        <v>184</v>
      </c>
    </row>
    <row r="11" spans="1:14" x14ac:dyDescent="0.25">
      <c r="A11" s="3" t="s">
        <v>3</v>
      </c>
      <c r="B11" s="24"/>
      <c r="C11" s="25" t="s">
        <v>28</v>
      </c>
      <c r="D11" s="11">
        <f t="shared" si="1"/>
        <v>19</v>
      </c>
      <c r="E11" s="11">
        <f t="shared" si="1"/>
        <v>5</v>
      </c>
      <c r="F11" s="11">
        <f t="shared" si="1"/>
        <v>9</v>
      </c>
      <c r="G11" s="11">
        <f t="shared" si="1"/>
        <v>3</v>
      </c>
      <c r="H11" s="12">
        <f t="shared" si="1"/>
        <v>10</v>
      </c>
      <c r="I11" s="20" t="s">
        <v>32</v>
      </c>
      <c r="J11" s="70" t="s">
        <v>184</v>
      </c>
    </row>
    <row r="12" spans="1:14" x14ac:dyDescent="0.25">
      <c r="A12" s="1" t="s">
        <v>4</v>
      </c>
      <c r="B12" s="26"/>
      <c r="C12" s="22" t="s">
        <v>28</v>
      </c>
      <c r="D12" s="11">
        <f t="shared" si="1"/>
        <v>13</v>
      </c>
      <c r="E12" s="11">
        <f t="shared" si="1"/>
        <v>11</v>
      </c>
      <c r="F12" s="11">
        <f t="shared" si="1"/>
        <v>8</v>
      </c>
      <c r="G12" s="11">
        <f t="shared" si="1"/>
        <v>9</v>
      </c>
      <c r="H12" s="12">
        <f t="shared" si="1"/>
        <v>5</v>
      </c>
      <c r="I12" s="20" t="s">
        <v>33</v>
      </c>
      <c r="J12" s="70" t="s">
        <v>184</v>
      </c>
    </row>
    <row r="13" spans="1:14" x14ac:dyDescent="0.25">
      <c r="A13" s="3"/>
      <c r="B13" s="24"/>
      <c r="C13" s="36" t="s">
        <v>7</v>
      </c>
      <c r="D13" s="37">
        <f t="array" ref="D13">MIN(IF(D8:D12&gt;0,D8:D12))</f>
        <v>3</v>
      </c>
      <c r="E13" s="37">
        <f t="array" ref="E13">MIN(IF(E8:E12&gt;0,E8:E12))</f>
        <v>2</v>
      </c>
      <c r="F13" s="37">
        <f t="array" ref="F13">MIN(IF(F8:F12&gt;0,F8:F12))</f>
        <v>6</v>
      </c>
      <c r="G13" s="37">
        <f t="array" ref="G13">MIN(IF(G8:G12&gt;0,G8:G12))</f>
        <v>3</v>
      </c>
      <c r="H13" s="18">
        <f t="array" ref="H13">MIN(IF(H8:H12&gt;0,H8:H12))</f>
        <v>5</v>
      </c>
      <c r="I13" s="20" t="s">
        <v>136</v>
      </c>
      <c r="J13" s="67" t="s">
        <v>138</v>
      </c>
    </row>
    <row r="14" spans="1:14" x14ac:dyDescent="0.25">
      <c r="A14" s="3"/>
      <c r="B14" s="24"/>
      <c r="C14" s="36" t="s">
        <v>34</v>
      </c>
      <c r="D14" s="37" t="str">
        <f>_xlfn.SWITCH(D13,D8,$A$8,D9,$A$9,D10,$A$10,D11,$A$11,D12,$A$12)</f>
        <v>A</v>
      </c>
      <c r="E14" s="37" t="str">
        <f t="shared" ref="E14:H14" si="2">_xlfn.SWITCH(E13,E8,$A$8,E9,$A$9,E10,$A$10,E11,$A$11,E12,$A$12)</f>
        <v>B</v>
      </c>
      <c r="F14" s="37" t="str">
        <f t="shared" si="2"/>
        <v>A</v>
      </c>
      <c r="G14" s="37" t="str">
        <f t="shared" si="2"/>
        <v>D</v>
      </c>
      <c r="H14" s="18" t="str">
        <f t="shared" si="2"/>
        <v>E</v>
      </c>
      <c r="I14" s="20" t="s">
        <v>136</v>
      </c>
      <c r="J14" s="67" t="s">
        <v>137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A5C-2370-46CF-B301-36B437518354}">
  <dimension ref="A1:J11"/>
  <sheetViews>
    <sheetView workbookViewId="0">
      <selection activeCell="E19" sqref="E19"/>
    </sheetView>
  </sheetViews>
  <sheetFormatPr defaultRowHeight="16.5" x14ac:dyDescent="0.25"/>
  <cols>
    <col min="8" max="8" width="9" style="35"/>
    <col min="10" max="10" width="9" style="35"/>
  </cols>
  <sheetData>
    <row r="1" spans="1:10" x14ac:dyDescent="0.25">
      <c r="C1" s="83" t="s">
        <v>35</v>
      </c>
      <c r="D1" s="84"/>
      <c r="E1" s="89" t="s">
        <v>36</v>
      </c>
      <c r="F1" s="27" t="s">
        <v>35</v>
      </c>
      <c r="G1" s="89" t="s">
        <v>37</v>
      </c>
    </row>
    <row r="2" spans="1:10" x14ac:dyDescent="0.25">
      <c r="A2" t="s">
        <v>38</v>
      </c>
      <c r="C2" s="7" t="s">
        <v>39</v>
      </c>
      <c r="D2" s="8" t="s">
        <v>40</v>
      </c>
      <c r="E2" s="9" t="s">
        <v>41</v>
      </c>
      <c r="F2" s="7" t="s">
        <v>39</v>
      </c>
      <c r="G2" s="9" t="s">
        <v>40</v>
      </c>
      <c r="H2" s="38" t="s">
        <v>42</v>
      </c>
      <c r="J2" s="37" t="s">
        <v>43</v>
      </c>
    </row>
    <row r="3" spans="1:10" x14ac:dyDescent="0.25">
      <c r="A3" s="11">
        <v>2</v>
      </c>
      <c r="C3" s="10">
        <v>1</v>
      </c>
      <c r="D3" s="11">
        <v>0</v>
      </c>
      <c r="E3" s="12" t="s">
        <v>3</v>
      </c>
      <c r="F3" s="10">
        <v>1</v>
      </c>
      <c r="G3" s="12">
        <v>2</v>
      </c>
      <c r="H3" s="90">
        <f>G3+$A$3</f>
        <v>4</v>
      </c>
      <c r="I3" t="str">
        <f t="shared" ref="I3:I11" si="0">IF(AND(F3&lt;&gt;0,OR(E3=$G$1,OR(C3&lt;&gt;F3,H3&lt;D3))),"new","old")</f>
        <v>old</v>
      </c>
      <c r="J3" s="37" t="str">
        <f>IF(I3="new",$G$1,"")</f>
        <v/>
      </c>
    </row>
    <row r="4" spans="1:10" x14ac:dyDescent="0.25">
      <c r="C4" s="10">
        <v>2</v>
      </c>
      <c r="D4" s="11">
        <v>0</v>
      </c>
      <c r="E4" s="12" t="s">
        <v>3</v>
      </c>
      <c r="F4" s="10"/>
      <c r="G4" s="12"/>
      <c r="H4" s="90">
        <f>G4+$A$3</f>
        <v>2</v>
      </c>
      <c r="I4" t="str">
        <f t="shared" si="0"/>
        <v>old</v>
      </c>
      <c r="J4" s="37" t="str">
        <f t="shared" ref="J4:J11" si="1">IF(I4="new",$G$1,"")</f>
        <v/>
      </c>
    </row>
    <row r="5" spans="1:10" x14ac:dyDescent="0.25">
      <c r="C5" s="10">
        <v>4</v>
      </c>
      <c r="D5" s="11">
        <v>8</v>
      </c>
      <c r="E5" s="12" t="s">
        <v>44</v>
      </c>
      <c r="F5" s="10">
        <v>4</v>
      </c>
      <c r="G5" s="12">
        <v>2</v>
      </c>
      <c r="H5" s="90">
        <f t="shared" ref="H5:H11" si="2">G5+$A$3</f>
        <v>4</v>
      </c>
      <c r="I5" t="str">
        <f t="shared" si="0"/>
        <v>new</v>
      </c>
      <c r="J5" s="37" t="str">
        <f t="shared" si="1"/>
        <v>J</v>
      </c>
    </row>
    <row r="6" spans="1:10" x14ac:dyDescent="0.25">
      <c r="C6" s="10">
        <v>17</v>
      </c>
      <c r="D6" s="11">
        <v>4</v>
      </c>
      <c r="E6" s="12" t="s">
        <v>45</v>
      </c>
      <c r="F6" s="10">
        <v>17</v>
      </c>
      <c r="G6" s="12">
        <v>1</v>
      </c>
      <c r="H6" s="90">
        <f t="shared" si="2"/>
        <v>3</v>
      </c>
      <c r="I6" t="str">
        <f t="shared" si="0"/>
        <v>new</v>
      </c>
      <c r="J6" s="37" t="str">
        <f t="shared" si="1"/>
        <v>J</v>
      </c>
    </row>
    <row r="7" spans="1:10" x14ac:dyDescent="0.25">
      <c r="C7" s="10"/>
      <c r="D7" s="11"/>
      <c r="E7" s="12"/>
      <c r="F7" s="10"/>
      <c r="G7" s="12"/>
      <c r="H7" s="90">
        <f t="shared" si="2"/>
        <v>2</v>
      </c>
      <c r="I7" t="str">
        <f t="shared" si="0"/>
        <v>old</v>
      </c>
      <c r="J7" s="37" t="str">
        <f t="shared" si="1"/>
        <v/>
      </c>
    </row>
    <row r="8" spans="1:10" x14ac:dyDescent="0.25">
      <c r="C8" s="10">
        <v>24</v>
      </c>
      <c r="D8" s="11">
        <v>5</v>
      </c>
      <c r="E8" s="12" t="s">
        <v>37</v>
      </c>
      <c r="F8" s="10">
        <v>24</v>
      </c>
      <c r="G8" s="12">
        <v>4</v>
      </c>
      <c r="H8" s="90">
        <f t="shared" si="2"/>
        <v>6</v>
      </c>
      <c r="I8" t="str">
        <f t="shared" si="0"/>
        <v>new</v>
      </c>
      <c r="J8" s="37" t="str">
        <f t="shared" si="1"/>
        <v>J</v>
      </c>
    </row>
    <row r="9" spans="1:10" x14ac:dyDescent="0.25">
      <c r="C9" s="10">
        <v>30</v>
      </c>
      <c r="D9" s="11">
        <v>10</v>
      </c>
      <c r="E9" s="12" t="s">
        <v>46</v>
      </c>
      <c r="F9" s="10">
        <v>30</v>
      </c>
      <c r="G9" s="12">
        <v>12</v>
      </c>
      <c r="H9" s="90">
        <f t="shared" si="2"/>
        <v>14</v>
      </c>
      <c r="I9" t="str">
        <f>IF(AND(F9&lt;&gt;0,OR(E9=$G$1,OR(C9&lt;&gt;F9,H9&lt;D9))),"new","old")</f>
        <v>old</v>
      </c>
      <c r="J9" s="37" t="str">
        <f t="shared" si="1"/>
        <v/>
      </c>
    </row>
    <row r="10" spans="1:10" x14ac:dyDescent="0.25">
      <c r="C10" s="10"/>
      <c r="D10" s="11"/>
      <c r="E10" s="12"/>
      <c r="F10" s="10">
        <v>40</v>
      </c>
      <c r="G10" s="12">
        <v>4</v>
      </c>
      <c r="H10" s="90">
        <f t="shared" si="2"/>
        <v>6</v>
      </c>
      <c r="I10" t="str">
        <f>IF(AND(F10&lt;&gt;0,OR(E10=$G$1,OR(C10&lt;&gt;F10,H10&lt;D10))),"new","old")</f>
        <v>new</v>
      </c>
      <c r="J10" s="37" t="str">
        <f t="shared" si="1"/>
        <v>J</v>
      </c>
    </row>
    <row r="11" spans="1:10" x14ac:dyDescent="0.25">
      <c r="C11" s="14">
        <v>42</v>
      </c>
      <c r="D11" s="15">
        <v>4</v>
      </c>
      <c r="E11" s="16" t="s">
        <v>37</v>
      </c>
      <c r="F11" s="14">
        <v>42</v>
      </c>
      <c r="G11" s="16">
        <v>2</v>
      </c>
      <c r="H11" s="91">
        <f t="shared" si="2"/>
        <v>4</v>
      </c>
      <c r="I11" t="str">
        <f t="shared" si="0"/>
        <v>new</v>
      </c>
      <c r="J11" s="37" t="str">
        <f t="shared" si="1"/>
        <v>J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F863-5AA7-4171-BAF8-1943E33179C3}">
  <dimension ref="A1:AD30"/>
  <sheetViews>
    <sheetView workbookViewId="0">
      <selection activeCell="N13" sqref="N13"/>
    </sheetView>
  </sheetViews>
  <sheetFormatPr defaultRowHeight="16.5" x14ac:dyDescent="0.25"/>
  <cols>
    <col min="1" max="1" width="16.625" style="48" customWidth="1"/>
    <col min="2" max="2" width="9" style="42"/>
    <col min="3" max="3" width="9" style="28"/>
    <col min="5" max="5" width="20.625" style="48" customWidth="1"/>
    <col min="6" max="6" width="16.625" style="48" customWidth="1"/>
    <col min="7" max="15" width="4.625" style="28" customWidth="1"/>
    <col min="16" max="16" width="4.625" style="49" customWidth="1"/>
    <col min="17" max="19" width="4.625" style="28" customWidth="1"/>
    <col min="20" max="53" width="4.625" customWidth="1"/>
  </cols>
  <sheetData>
    <row r="1" spans="1:30" x14ac:dyDescent="0.25">
      <c r="B1" s="42" t="s">
        <v>65</v>
      </c>
      <c r="C1" s="28" t="s">
        <v>64</v>
      </c>
    </row>
    <row r="2" spans="1:30" x14ac:dyDescent="0.25">
      <c r="A2" s="48" t="s">
        <v>47</v>
      </c>
      <c r="B2" s="45">
        <v>1</v>
      </c>
      <c r="C2" s="46" t="s">
        <v>44</v>
      </c>
      <c r="E2" s="48" t="s">
        <v>58</v>
      </c>
      <c r="F2" s="48" t="s">
        <v>60</v>
      </c>
      <c r="H2" s="34" t="s">
        <v>56</v>
      </c>
      <c r="I2" s="39">
        <f>2+1</f>
        <v>3</v>
      </c>
      <c r="J2" s="28" t="str">
        <f>$C$3</f>
        <v>RTT</v>
      </c>
      <c r="K2" s="28" t="s">
        <v>55</v>
      </c>
      <c r="L2" s="39">
        <f>(B2+B5*B6)/B8</f>
        <v>11</v>
      </c>
      <c r="M2" s="28" t="str">
        <f>_xlfn.TEXTJOIN(,TRUE,$C$2,"/",$C$8)</f>
        <v>L/R</v>
      </c>
      <c r="N2" s="28" t="s">
        <v>55</v>
      </c>
      <c r="O2" s="39">
        <f>B9*B5</f>
        <v>0</v>
      </c>
      <c r="P2" s="49" t="str">
        <f>$C$9</f>
        <v>Q</v>
      </c>
    </row>
    <row r="3" spans="1:30" x14ac:dyDescent="0.25">
      <c r="A3" s="48" t="s">
        <v>48</v>
      </c>
      <c r="B3" s="45">
        <v>1</v>
      </c>
      <c r="C3" s="46" t="s">
        <v>49</v>
      </c>
      <c r="E3" s="48" t="s">
        <v>58</v>
      </c>
      <c r="F3" s="48" t="s">
        <v>61</v>
      </c>
      <c r="H3" s="34" t="s">
        <v>56</v>
      </c>
      <c r="I3" s="39">
        <f>2+B5</f>
        <v>12</v>
      </c>
      <c r="J3" s="28" t="str">
        <f>$C$3</f>
        <v>RTT</v>
      </c>
      <c r="K3" s="28" t="s">
        <v>55</v>
      </c>
      <c r="L3" s="39">
        <f>(B2+B5*B6)/B8</f>
        <v>11</v>
      </c>
      <c r="M3" s="28" t="str">
        <f t="shared" ref="M3:M6" si="0">_xlfn.TEXTJOIN(,TRUE,$C$2,"/",$C$8)</f>
        <v>L/R</v>
      </c>
      <c r="N3" s="28" t="s">
        <v>55</v>
      </c>
      <c r="O3" s="39">
        <f>B9*B5</f>
        <v>0</v>
      </c>
      <c r="P3" s="49" t="str">
        <f>$C$9</f>
        <v>Q</v>
      </c>
    </row>
    <row r="4" spans="1:30" x14ac:dyDescent="0.25">
      <c r="E4" s="48" t="s">
        <v>59</v>
      </c>
      <c r="F4" s="48" t="s">
        <v>62</v>
      </c>
      <c r="H4" s="34" t="s">
        <v>56</v>
      </c>
      <c r="I4" s="39">
        <f>2+B5*2</f>
        <v>22</v>
      </c>
      <c r="J4" s="28" t="str">
        <f>$C$3</f>
        <v>RTT</v>
      </c>
      <c r="K4" s="28" t="s">
        <v>55</v>
      </c>
      <c r="L4" s="39">
        <f>(B2+B5*B6)/B8</f>
        <v>11</v>
      </c>
      <c r="M4" s="28" t="str">
        <f t="shared" si="0"/>
        <v>L/R</v>
      </c>
      <c r="N4" s="28" t="s">
        <v>55</v>
      </c>
      <c r="O4" s="39">
        <f>B9*B5</f>
        <v>0</v>
      </c>
      <c r="P4" s="49" t="str">
        <f>$C$9</f>
        <v>Q</v>
      </c>
    </row>
    <row r="5" spans="1:30" x14ac:dyDescent="0.25">
      <c r="A5" s="48" t="s">
        <v>50</v>
      </c>
      <c r="B5" s="45">
        <v>10</v>
      </c>
      <c r="E5" s="48" t="s">
        <v>59</v>
      </c>
      <c r="F5" s="48" t="s">
        <v>63</v>
      </c>
      <c r="G5" s="46">
        <v>2</v>
      </c>
      <c r="H5" s="34" t="s">
        <v>56</v>
      </c>
      <c r="I5" s="39">
        <f>2+ROUNDUP(B5/G5, 0)*2</f>
        <v>12</v>
      </c>
      <c r="J5" s="28" t="str">
        <f>$C$3</f>
        <v>RTT</v>
      </c>
      <c r="K5" s="28" t="s">
        <v>55</v>
      </c>
      <c r="L5" s="39">
        <f>(B2+ROUNDUP(B5/G5, 0)*B6)/B8</f>
        <v>6</v>
      </c>
      <c r="M5" s="28" t="str">
        <f t="shared" si="0"/>
        <v>L/R</v>
      </c>
      <c r="N5" s="28" t="s">
        <v>55</v>
      </c>
      <c r="O5" s="39">
        <f>_xlfn.CEILING.MATH(B9*B5/G5, B9)</f>
        <v>0</v>
      </c>
      <c r="P5" s="62" t="str">
        <f>$C$9</f>
        <v>Q</v>
      </c>
    </row>
    <row r="6" spans="1:30" x14ac:dyDescent="0.25">
      <c r="A6" s="48" t="s">
        <v>51</v>
      </c>
      <c r="B6" s="45">
        <v>1</v>
      </c>
      <c r="C6" s="47" t="str">
        <f>C2</f>
        <v>L</v>
      </c>
      <c r="E6" s="48" t="s">
        <v>59</v>
      </c>
      <c r="F6" s="48" t="s">
        <v>63</v>
      </c>
      <c r="G6" s="46">
        <v>4</v>
      </c>
      <c r="H6" s="34" t="s">
        <v>56</v>
      </c>
      <c r="I6" s="39">
        <f>2+ROUNDUP(B5/G6, 0)*2</f>
        <v>8</v>
      </c>
      <c r="J6" s="28" t="str">
        <f>$C$3</f>
        <v>RTT</v>
      </c>
      <c r="K6" s="28" t="s">
        <v>55</v>
      </c>
      <c r="L6" s="39">
        <f>(B2+ROUNDUP(B5/G6, 0)*B6)/B8</f>
        <v>4</v>
      </c>
      <c r="M6" s="28" t="str">
        <f t="shared" si="0"/>
        <v>L/R</v>
      </c>
      <c r="N6" s="28" t="s">
        <v>55</v>
      </c>
      <c r="O6" s="39">
        <f>_xlfn.CEILING.MATH(B9*B5/G6, B9)</f>
        <v>0</v>
      </c>
      <c r="P6" s="62" t="str">
        <f>$C$9</f>
        <v>Q</v>
      </c>
    </row>
    <row r="8" spans="1:30" x14ac:dyDescent="0.25">
      <c r="A8" s="48" t="s">
        <v>52</v>
      </c>
      <c r="B8" s="45">
        <v>1</v>
      </c>
      <c r="C8" s="46" t="s">
        <v>53</v>
      </c>
    </row>
    <row r="9" spans="1:30" x14ac:dyDescent="0.25">
      <c r="A9" s="48" t="s">
        <v>54</v>
      </c>
      <c r="B9" s="45">
        <v>0</v>
      </c>
      <c r="C9" s="46" t="s">
        <v>46</v>
      </c>
    </row>
    <row r="12" spans="1:30" x14ac:dyDescent="0.25">
      <c r="A12" s="48" t="s">
        <v>66</v>
      </c>
      <c r="B12" s="45">
        <v>1</v>
      </c>
      <c r="C12" s="46" t="s">
        <v>53</v>
      </c>
      <c r="D12" s="20"/>
      <c r="I12" s="47">
        <v>4</v>
      </c>
      <c r="J12" s="28" t="str">
        <f>_xlfn.TEXTJOIN(,TRUE,$C$13,"/",$C$12)</f>
        <v>S/R</v>
      </c>
      <c r="K12" s="28" t="s">
        <v>69</v>
      </c>
      <c r="L12" s="28" t="str">
        <f>$C$15</f>
        <v>RTT</v>
      </c>
      <c r="M12" s="28" t="s">
        <v>69</v>
      </c>
      <c r="N12" s="46">
        <v>2.5</v>
      </c>
      <c r="O12" s="28" t="str">
        <f>_xlfn.TEXTJOIN(,TRUE,$C$13,"/",$C$12)</f>
        <v>S/R</v>
      </c>
      <c r="Q12" s="42"/>
      <c r="R12" s="42"/>
      <c r="S12" s="42"/>
    </row>
    <row r="13" spans="1:30" x14ac:dyDescent="0.25">
      <c r="A13" s="48" t="s">
        <v>67</v>
      </c>
      <c r="B13" s="45">
        <v>8</v>
      </c>
      <c r="C13" s="46" t="s">
        <v>68</v>
      </c>
      <c r="D13" s="20"/>
      <c r="F13" s="48" t="s">
        <v>73</v>
      </c>
      <c r="G13" s="46">
        <v>0</v>
      </c>
      <c r="H13" s="49" t="s">
        <v>56</v>
      </c>
      <c r="I13" s="50">
        <f>V14+IF(G13=1,1,0)</f>
        <v>1</v>
      </c>
      <c r="J13" s="49" t="str">
        <f t="shared" ref="J13:J19" si="1">$C$15</f>
        <v>RTT</v>
      </c>
      <c r="K13" s="49" t="s">
        <v>55</v>
      </c>
      <c r="L13" s="50">
        <f t="shared" ref="L13:L18" si="2">W14</f>
        <v>1</v>
      </c>
      <c r="M13" s="49" t="str">
        <f t="shared" ref="M13:M19" si="3">_xlfn.TEXTJOIN(,TRUE,$C$13,"/",$C$12)</f>
        <v>S/R</v>
      </c>
      <c r="N13" s="49" t="s">
        <v>55</v>
      </c>
      <c r="Q13" s="28" t="s">
        <v>74</v>
      </c>
      <c r="T13" s="28" t="s">
        <v>76</v>
      </c>
      <c r="U13" s="28" t="s">
        <v>75</v>
      </c>
      <c r="V13" s="49" t="str">
        <f>$C$15</f>
        <v>RTT</v>
      </c>
      <c r="W13" s="49" t="str">
        <f>_xlfn.TEXTJOIN(,TRUE,$C$13,"/",$C$12)</f>
        <v>S/R</v>
      </c>
    </row>
    <row r="14" spans="1:30" x14ac:dyDescent="0.25">
      <c r="A14" s="48" t="s">
        <v>71</v>
      </c>
      <c r="B14" s="42">
        <f>B13/B12</f>
        <v>8</v>
      </c>
      <c r="C14" s="28" t="str">
        <f>_xlfn.TEXTJOIN(,TRUE,$C$13,"/",$C$12)</f>
        <v>S/R</v>
      </c>
      <c r="D14" s="20"/>
      <c r="I14" s="50">
        <f>V15</f>
        <v>1</v>
      </c>
      <c r="J14" s="49" t="str">
        <f t="shared" si="1"/>
        <v>RTT</v>
      </c>
      <c r="K14" s="49" t="s">
        <v>55</v>
      </c>
      <c r="L14" s="50">
        <f t="shared" si="2"/>
        <v>1</v>
      </c>
      <c r="M14" s="49" t="str">
        <f t="shared" si="3"/>
        <v>S/R</v>
      </c>
      <c r="N14" s="49" t="s">
        <v>55</v>
      </c>
      <c r="Q14" s="49">
        <v>0</v>
      </c>
      <c r="R14" s="49">
        <f>POWER(2,Q14)/$B$12</f>
        <v>1</v>
      </c>
      <c r="S14" s="49">
        <f>$B$14</f>
        <v>8</v>
      </c>
      <c r="T14">
        <f>S14</f>
        <v>8</v>
      </c>
      <c r="U14" s="49">
        <f>1/$B$12</f>
        <v>1</v>
      </c>
      <c r="V14">
        <v>1</v>
      </c>
      <c r="W14">
        <f>IF(V14=0,T14,IF(Q14&gt;$N$12*$B$12,R14,U14))</f>
        <v>1</v>
      </c>
      <c r="AD14" s="49"/>
    </row>
    <row r="15" spans="1:30" x14ac:dyDescent="0.25">
      <c r="A15" s="48" t="s">
        <v>48</v>
      </c>
      <c r="B15" s="45">
        <v>1</v>
      </c>
      <c r="C15" s="46" t="s">
        <v>49</v>
      </c>
      <c r="D15" s="20"/>
      <c r="I15" s="50">
        <f>V16</f>
        <v>1</v>
      </c>
      <c r="J15" s="49" t="str">
        <f t="shared" si="1"/>
        <v>RTT</v>
      </c>
      <c r="K15" s="49" t="s">
        <v>55</v>
      </c>
      <c r="L15" s="50">
        <f t="shared" si="2"/>
        <v>1</v>
      </c>
      <c r="M15" s="49" t="str">
        <f t="shared" si="3"/>
        <v>S/R</v>
      </c>
      <c r="N15" s="49" t="s">
        <v>55</v>
      </c>
      <c r="Q15" s="49">
        <v>1</v>
      </c>
      <c r="R15" s="49">
        <f t="shared" ref="R15:R19" si="4">POWER(2,Q15)/$B$12</f>
        <v>2</v>
      </c>
      <c r="S15" s="49">
        <f t="array" ref="S15">$B$14-SERIESSUM( 2,0,1,U14 )</f>
        <v>7</v>
      </c>
      <c r="T15">
        <f>IF(OR(W14=T14,S15&lt;0),0,S15)</f>
        <v>7</v>
      </c>
      <c r="U15" s="49">
        <f t="shared" ref="U15:U19" si="5">1/$B$12</f>
        <v>1</v>
      </c>
      <c r="V15">
        <f>IF(Q14&gt;$N$12*$B$12,0,1)</f>
        <v>1</v>
      </c>
      <c r="W15">
        <f t="shared" ref="W15:W19" si="6">IF(V15=0,T15,IF(Q15&gt;$N$12*$B$12,R15,U15))</f>
        <v>1</v>
      </c>
      <c r="AD15" s="49"/>
    </row>
    <row r="16" spans="1:30" x14ac:dyDescent="0.25">
      <c r="D16" s="20"/>
      <c r="I16" s="50">
        <f>V17</f>
        <v>1</v>
      </c>
      <c r="J16" s="49" t="str">
        <f t="shared" si="1"/>
        <v>RTT</v>
      </c>
      <c r="K16" s="49" t="s">
        <v>55</v>
      </c>
      <c r="L16" s="50">
        <f t="shared" si="2"/>
        <v>8</v>
      </c>
      <c r="M16" s="49" t="str">
        <f t="shared" si="3"/>
        <v>S/R</v>
      </c>
      <c r="N16" s="28" t="s">
        <v>55</v>
      </c>
      <c r="Q16" s="49">
        <v>2</v>
      </c>
      <c r="R16" s="49">
        <f t="shared" si="4"/>
        <v>4</v>
      </c>
      <c r="S16" s="49">
        <f t="array" ref="S16">$B$14-SERIESSUM( 2,0,1,U14:U15 )</f>
        <v>5</v>
      </c>
      <c r="T16">
        <f>IF(OR(W15=T15,S16&lt;0),0,S16)</f>
        <v>5</v>
      </c>
      <c r="U16" s="49">
        <f t="shared" si="5"/>
        <v>1</v>
      </c>
      <c r="V16">
        <f t="shared" ref="V16:V19" si="7">IF(Q15&gt;$N$12*$B$12,0,1)</f>
        <v>1</v>
      </c>
      <c r="W16">
        <f t="shared" si="6"/>
        <v>1</v>
      </c>
      <c r="AD16" s="49"/>
    </row>
    <row r="17" spans="4:30" x14ac:dyDescent="0.25">
      <c r="D17" s="20"/>
      <c r="I17" s="50">
        <f>V18</f>
        <v>0</v>
      </c>
      <c r="J17" s="49" t="str">
        <f t="shared" si="1"/>
        <v>RTT</v>
      </c>
      <c r="K17" s="49" t="s">
        <v>55</v>
      </c>
      <c r="L17" s="50">
        <f t="shared" si="2"/>
        <v>0</v>
      </c>
      <c r="M17" s="49" t="str">
        <f t="shared" si="3"/>
        <v>S/R</v>
      </c>
      <c r="N17" s="28" t="s">
        <v>55</v>
      </c>
      <c r="Q17" s="49">
        <v>3</v>
      </c>
      <c r="R17" s="49">
        <f t="shared" si="4"/>
        <v>8</v>
      </c>
      <c r="S17" s="49">
        <f t="array" ref="S17">$B$14-SERIESSUM( 2,0,1,U14:U16 )</f>
        <v>1</v>
      </c>
      <c r="T17">
        <f>IF(OR(W16=T16,S17&lt;0),0,S17)</f>
        <v>1</v>
      </c>
      <c r="U17" s="49">
        <f t="shared" si="5"/>
        <v>1</v>
      </c>
      <c r="V17">
        <f t="shared" si="7"/>
        <v>1</v>
      </c>
      <c r="W17">
        <f t="shared" si="6"/>
        <v>8</v>
      </c>
      <c r="AD17" s="49"/>
    </row>
    <row r="18" spans="4:30" x14ac:dyDescent="0.25">
      <c r="D18" s="28"/>
      <c r="I18" s="50">
        <f>V19</f>
        <v>0</v>
      </c>
      <c r="J18" s="49" t="str">
        <f t="shared" si="1"/>
        <v>RTT</v>
      </c>
      <c r="K18" s="49" t="s">
        <v>55</v>
      </c>
      <c r="L18" s="50">
        <f t="shared" si="2"/>
        <v>0</v>
      </c>
      <c r="M18" s="49" t="str">
        <f t="shared" si="3"/>
        <v>S/R</v>
      </c>
      <c r="N18" s="28" t="s">
        <v>55</v>
      </c>
      <c r="Q18" s="49">
        <v>4</v>
      </c>
      <c r="R18" s="49">
        <f t="shared" si="4"/>
        <v>16</v>
      </c>
      <c r="S18" s="49">
        <f t="array" ref="S18">$B$14-SERIESSUM( 2,0,1,U14:U17 )</f>
        <v>-7</v>
      </c>
      <c r="T18">
        <f>IF(OR(W17=T17,S18&lt;0),0,S18)</f>
        <v>0</v>
      </c>
      <c r="U18" s="49">
        <f t="shared" si="5"/>
        <v>1</v>
      </c>
      <c r="V18">
        <f t="shared" si="7"/>
        <v>0</v>
      </c>
      <c r="W18">
        <f t="shared" si="6"/>
        <v>0</v>
      </c>
      <c r="AD18" s="49"/>
    </row>
    <row r="19" spans="4:30" x14ac:dyDescent="0.25">
      <c r="D19" s="28"/>
      <c r="F19" s="48" t="s">
        <v>70</v>
      </c>
      <c r="H19" s="49" t="s">
        <v>56</v>
      </c>
      <c r="I19" s="50">
        <f>SUM(I13:I18)</f>
        <v>4</v>
      </c>
      <c r="J19" s="49" t="str">
        <f t="shared" si="1"/>
        <v>RTT</v>
      </c>
      <c r="K19" s="49" t="s">
        <v>55</v>
      </c>
      <c r="L19" s="50">
        <f>SUM(L13:L18)</f>
        <v>11</v>
      </c>
      <c r="M19" s="49" t="str">
        <f t="shared" si="3"/>
        <v>S/R</v>
      </c>
      <c r="Q19" s="49">
        <v>5</v>
      </c>
      <c r="R19" s="49">
        <f t="shared" si="4"/>
        <v>32</v>
      </c>
      <c r="S19" s="49">
        <f t="array" ref="S19">$B$14-SERIESSUM( 2,0,1,U14:U18 )</f>
        <v>-23</v>
      </c>
      <c r="T19">
        <f>IF(OR(W18=T18,S19&lt;0),0,S19)</f>
        <v>0</v>
      </c>
      <c r="U19" s="49">
        <f t="shared" si="5"/>
        <v>1</v>
      </c>
      <c r="V19">
        <f t="shared" si="7"/>
        <v>0</v>
      </c>
      <c r="W19">
        <f t="shared" si="6"/>
        <v>0</v>
      </c>
      <c r="AD19" s="49"/>
    </row>
    <row r="20" spans="4:30" x14ac:dyDescent="0.25">
      <c r="D20" s="20"/>
    </row>
    <row r="21" spans="4:30" x14ac:dyDescent="0.25">
      <c r="I21" s="47" t="s">
        <v>77</v>
      </c>
      <c r="J21" s="28" t="str">
        <f>_xlfn.TEXTJOIN(,TRUE,$C$13,"/",$C$12)</f>
        <v>S/R</v>
      </c>
      <c r="K21" s="28" t="s">
        <v>69</v>
      </c>
      <c r="L21" s="28" t="str">
        <f>$C$15</f>
        <v>RTT</v>
      </c>
      <c r="M21" s="28" t="s">
        <v>69</v>
      </c>
      <c r="N21" s="46">
        <v>3</v>
      </c>
      <c r="O21" s="28" t="str">
        <f>_xlfn.TEXTJOIN(,TRUE,$C$13,"/",$C$12)</f>
        <v>S/R</v>
      </c>
    </row>
    <row r="22" spans="4:30" x14ac:dyDescent="0.25">
      <c r="H22" s="49" t="s">
        <v>56</v>
      </c>
      <c r="I22" s="50">
        <f>V23+IF(G13=1,1,0)</f>
        <v>1</v>
      </c>
      <c r="J22" s="49" t="str">
        <f t="shared" ref="J22:J28" si="8">$C$15</f>
        <v>RTT</v>
      </c>
      <c r="K22" s="49" t="s">
        <v>55</v>
      </c>
      <c r="L22" s="50">
        <f t="shared" ref="L22:L27" si="9">AA23</f>
        <v>1</v>
      </c>
      <c r="M22" s="49" t="str">
        <f t="shared" ref="M22:M28" si="10">_xlfn.TEXTJOIN(,TRUE,$C$13,"/",$C$12)</f>
        <v>S/R</v>
      </c>
      <c r="N22" s="49" t="s">
        <v>55</v>
      </c>
      <c r="P22" s="28"/>
      <c r="Q22" s="28" t="s">
        <v>74</v>
      </c>
      <c r="T22" s="28" t="s">
        <v>76</v>
      </c>
      <c r="U22" s="28" t="s">
        <v>75</v>
      </c>
      <c r="V22" s="49" t="str">
        <f>$C$15</f>
        <v>RTT</v>
      </c>
      <c r="W22" s="49" t="str">
        <f>_xlfn.TEXTJOIN(,TRUE,$C$13,"/",$C$12)</f>
        <v>S/R</v>
      </c>
      <c r="X22" s="28" t="s">
        <v>76</v>
      </c>
      <c r="Y22" s="28" t="s">
        <v>75</v>
      </c>
      <c r="Z22" s="49" t="str">
        <f>$C$15</f>
        <v>RTT</v>
      </c>
      <c r="AA22" s="49" t="str">
        <f>_xlfn.TEXTJOIN(,TRUE,$C$13,"/",$C$12)</f>
        <v>S/R</v>
      </c>
    </row>
    <row r="23" spans="4:30" x14ac:dyDescent="0.25">
      <c r="I23" s="50">
        <f>V24</f>
        <v>1</v>
      </c>
      <c r="J23" s="49" t="str">
        <f t="shared" si="8"/>
        <v>RTT</v>
      </c>
      <c r="K23" s="49" t="s">
        <v>55</v>
      </c>
      <c r="L23" s="50">
        <f t="shared" si="9"/>
        <v>1</v>
      </c>
      <c r="M23" s="49" t="str">
        <f t="shared" si="10"/>
        <v>S/R</v>
      </c>
      <c r="N23" s="49" t="s">
        <v>55</v>
      </c>
      <c r="Q23" s="49">
        <v>0</v>
      </c>
      <c r="R23" s="49">
        <f>POWER(2,Q23)/$B$12</f>
        <v>1</v>
      </c>
      <c r="S23" s="49">
        <f>$B$14</f>
        <v>8</v>
      </c>
      <c r="T23">
        <f>S23</f>
        <v>8</v>
      </c>
      <c r="U23" s="49">
        <f>1/$B$12</f>
        <v>1</v>
      </c>
      <c r="V23">
        <v>1</v>
      </c>
      <c r="W23">
        <f t="shared" ref="W23:W28" si="11">IF(V23=0,T23,IF(Q23&gt;($N$21-1)*$B$12,R23,U23))</f>
        <v>1</v>
      </c>
      <c r="X23">
        <f>S23</f>
        <v>8</v>
      </c>
      <c r="Y23" s="49">
        <f>1/$B$12</f>
        <v>1</v>
      </c>
      <c r="Z23">
        <v>1</v>
      </c>
      <c r="AA23">
        <f t="shared" ref="AA23:AA28" si="12">IF(Z23=0,X23,IF(Q23&gt;($N$21-1)*$B$12,R23,Y23))</f>
        <v>1</v>
      </c>
    </row>
    <row r="24" spans="4:30" x14ac:dyDescent="0.25">
      <c r="I24" s="50">
        <f>V25</f>
        <v>1</v>
      </c>
      <c r="J24" s="49" t="str">
        <f t="shared" si="8"/>
        <v>RTT</v>
      </c>
      <c r="K24" s="49" t="s">
        <v>55</v>
      </c>
      <c r="L24" s="50">
        <f t="shared" si="9"/>
        <v>1</v>
      </c>
      <c r="M24" s="49" t="str">
        <f t="shared" si="10"/>
        <v>S/R</v>
      </c>
      <c r="N24" s="49" t="s">
        <v>55</v>
      </c>
      <c r="Q24" s="49">
        <v>1</v>
      </c>
      <c r="R24" s="49">
        <f t="shared" ref="R24:R28" si="13">POWER(2,Q24)/$B$12</f>
        <v>2</v>
      </c>
      <c r="S24" s="49">
        <f t="array" ref="S24">$B$14-SERIESSUM( 2,0,1,U23 )</f>
        <v>7</v>
      </c>
      <c r="T24">
        <f>IF(OR(W23=T23,S24&lt;0),0,S24)</f>
        <v>7</v>
      </c>
      <c r="U24" s="49">
        <f t="shared" ref="U24:U28" si="14">1/$B$12</f>
        <v>1</v>
      </c>
      <c r="V24">
        <f>IF(Q23&gt;($N$21-1)*$B$12,0,1)</f>
        <v>1</v>
      </c>
      <c r="W24">
        <f t="shared" si="11"/>
        <v>1</v>
      </c>
      <c r="X24">
        <f>IF(OR(AA23=T23,S24&lt;0),0,S24)</f>
        <v>7</v>
      </c>
      <c r="Y24" s="49">
        <f t="shared" ref="Y24:Y28" si="15">1/$B$12</f>
        <v>1</v>
      </c>
      <c r="Z24">
        <f>IF(Q23&gt;=$N$21*$B$12-1,0,1)</f>
        <v>1</v>
      </c>
      <c r="AA24">
        <f t="shared" si="12"/>
        <v>1</v>
      </c>
    </row>
    <row r="25" spans="4:30" x14ac:dyDescent="0.25">
      <c r="I25" s="50">
        <f>V26</f>
        <v>1</v>
      </c>
      <c r="J25" s="49" t="str">
        <f t="shared" si="8"/>
        <v>RTT</v>
      </c>
      <c r="K25" s="49" t="s">
        <v>55</v>
      </c>
      <c r="L25" s="50">
        <f t="shared" si="9"/>
        <v>1</v>
      </c>
      <c r="M25" s="49" t="str">
        <f t="shared" si="10"/>
        <v>S/R</v>
      </c>
      <c r="N25" s="28" t="s">
        <v>55</v>
      </c>
      <c r="Q25" s="49">
        <v>2</v>
      </c>
      <c r="R25" s="49">
        <f t="shared" si="13"/>
        <v>4</v>
      </c>
      <c r="S25" s="49">
        <f t="array" ref="S25">$B$14-SERIESSUM( 2,0,1,U23:U24 )</f>
        <v>5</v>
      </c>
      <c r="T25">
        <f>IF(OR(W24=T24,S25&lt;0),0,S25)</f>
        <v>5</v>
      </c>
      <c r="U25" s="49">
        <f t="shared" si="14"/>
        <v>1</v>
      </c>
      <c r="V25">
        <f>IF(Q24&gt;($N$21-1)*$B$12,0,1)</f>
        <v>1</v>
      </c>
      <c r="W25">
        <f t="shared" si="11"/>
        <v>1</v>
      </c>
      <c r="X25">
        <f>IF(OR(AA24=T24,S25&lt;0),0,S25)</f>
        <v>5</v>
      </c>
      <c r="Y25" s="49">
        <f t="shared" si="15"/>
        <v>1</v>
      </c>
      <c r="Z25">
        <f>IF(Q24&gt;=$N$21*$B$12-1,0,1)</f>
        <v>1</v>
      </c>
      <c r="AA25">
        <f t="shared" si="12"/>
        <v>1</v>
      </c>
    </row>
    <row r="26" spans="4:30" x14ac:dyDescent="0.25">
      <c r="I26" s="50">
        <f>V27</f>
        <v>0</v>
      </c>
      <c r="J26" s="49" t="str">
        <f t="shared" si="8"/>
        <v>RTT</v>
      </c>
      <c r="K26" s="49" t="s">
        <v>55</v>
      </c>
      <c r="L26" s="50">
        <f t="shared" si="9"/>
        <v>0</v>
      </c>
      <c r="M26" s="49" t="str">
        <f t="shared" si="10"/>
        <v>S/R</v>
      </c>
      <c r="N26" s="28" t="s">
        <v>55</v>
      </c>
      <c r="Q26" s="49">
        <v>3</v>
      </c>
      <c r="R26" s="49">
        <f t="shared" si="13"/>
        <v>8</v>
      </c>
      <c r="S26" s="49">
        <f t="array" ref="S26">$B$14-SERIESSUM( 2,0,1,U23:U25 )</f>
        <v>1</v>
      </c>
      <c r="T26">
        <f>IF(OR(W25=T25,S26&lt;0),0,S26)</f>
        <v>1</v>
      </c>
      <c r="U26" s="49">
        <f t="shared" si="14"/>
        <v>1</v>
      </c>
      <c r="V26">
        <f>IF(Q25&gt;($N$21-1)*$B$12,0,1)</f>
        <v>1</v>
      </c>
      <c r="W26">
        <f t="shared" si="11"/>
        <v>8</v>
      </c>
      <c r="X26">
        <f>IF(OR(AA25=T25,S26&lt;0),0,S26)</f>
        <v>1</v>
      </c>
      <c r="Y26" s="49">
        <f t="shared" si="15"/>
        <v>1</v>
      </c>
      <c r="Z26">
        <f>IF(Q25&gt;=$N$21*$B$12-1,0,1)</f>
        <v>0</v>
      </c>
      <c r="AA26">
        <f t="shared" si="12"/>
        <v>1</v>
      </c>
    </row>
    <row r="27" spans="4:30" x14ac:dyDescent="0.25">
      <c r="I27" s="50">
        <f>V28</f>
        <v>0</v>
      </c>
      <c r="J27" s="49" t="str">
        <f t="shared" si="8"/>
        <v>RTT</v>
      </c>
      <c r="K27" s="49" t="s">
        <v>55</v>
      </c>
      <c r="L27" s="50">
        <f t="shared" si="9"/>
        <v>0</v>
      </c>
      <c r="M27" s="49" t="str">
        <f t="shared" si="10"/>
        <v>S/R</v>
      </c>
      <c r="N27" s="28" t="s">
        <v>55</v>
      </c>
      <c r="Q27" s="49">
        <v>4</v>
      </c>
      <c r="R27" s="49">
        <f t="shared" si="13"/>
        <v>16</v>
      </c>
      <c r="S27" s="49">
        <f t="array" ref="S27">$B$14-SERIESSUM( 2,0,1,U23:U26 )</f>
        <v>-7</v>
      </c>
      <c r="T27">
        <f>IF(OR(W26=T26,S27&lt;0),0,S27)</f>
        <v>0</v>
      </c>
      <c r="U27" s="49">
        <f t="shared" si="14"/>
        <v>1</v>
      </c>
      <c r="V27">
        <f>IF(Q26&gt;($N$21-1)*$B$12,0,1)</f>
        <v>0</v>
      </c>
      <c r="W27">
        <f t="shared" si="11"/>
        <v>0</v>
      </c>
      <c r="X27">
        <f>IF(OR(AA26=T26,S27&lt;0),0,S27)</f>
        <v>0</v>
      </c>
      <c r="Y27" s="49">
        <f t="shared" si="15"/>
        <v>1</v>
      </c>
      <c r="Z27">
        <f>IF(Q26&gt;=$N$21*$B$12-1,0,1)</f>
        <v>0</v>
      </c>
      <c r="AA27">
        <f t="shared" si="12"/>
        <v>0</v>
      </c>
    </row>
    <row r="28" spans="4:30" x14ac:dyDescent="0.25">
      <c r="F28" s="48" t="s">
        <v>70</v>
      </c>
      <c r="H28" s="49" t="s">
        <v>56</v>
      </c>
      <c r="I28" s="50">
        <f>SUM(I22:I27)</f>
        <v>4</v>
      </c>
      <c r="J28" s="49" t="str">
        <f t="shared" si="8"/>
        <v>RTT</v>
      </c>
      <c r="K28" s="49" t="s">
        <v>55</v>
      </c>
      <c r="L28" s="50">
        <f>SUM(L22:L27)</f>
        <v>4</v>
      </c>
      <c r="M28" s="49" t="str">
        <f t="shared" si="10"/>
        <v>S/R</v>
      </c>
      <c r="Q28" s="49">
        <v>5</v>
      </c>
      <c r="R28" s="49">
        <f t="shared" si="13"/>
        <v>32</v>
      </c>
      <c r="S28" s="49">
        <f t="array" ref="S28">$B$14-SERIESSUM( 2,0,1,U23:U27 )</f>
        <v>-23</v>
      </c>
      <c r="T28">
        <f>IF(OR(W27=T27,S28&lt;0),0,S28)</f>
        <v>0</v>
      </c>
      <c r="U28" s="49">
        <f t="shared" si="14"/>
        <v>1</v>
      </c>
      <c r="V28">
        <f>IF(Q27&gt;($N$21-1)*$B$12,0,1)</f>
        <v>0</v>
      </c>
      <c r="W28">
        <f t="shared" si="11"/>
        <v>0</v>
      </c>
      <c r="X28">
        <f>IF(OR(AA27=T27,S28&lt;0),0,S28)</f>
        <v>0</v>
      </c>
      <c r="Y28" s="49">
        <f t="shared" si="15"/>
        <v>1</v>
      </c>
      <c r="Z28">
        <f>IF(Q27&gt;=$N$21*$B$12-1,0,1)</f>
        <v>0</v>
      </c>
      <c r="AA28">
        <f t="shared" si="12"/>
        <v>0</v>
      </c>
    </row>
    <row r="29" spans="4:30" x14ac:dyDescent="0.25">
      <c r="P29" s="28"/>
    </row>
    <row r="30" spans="4:30" x14ac:dyDescent="0.25">
      <c r="T30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7F57-761F-4966-8C97-36ED1FD03771}">
  <dimension ref="A1:S27"/>
  <sheetViews>
    <sheetView tabSelected="1" workbookViewId="0">
      <selection activeCell="B7" sqref="B7"/>
    </sheetView>
  </sheetViews>
  <sheetFormatPr defaultRowHeight="16.5" x14ac:dyDescent="0.25"/>
  <cols>
    <col min="1" max="1" width="16.625" customWidth="1"/>
    <col min="6" max="6" width="16.625" customWidth="1"/>
    <col min="7" max="7" width="3.625" style="28" customWidth="1"/>
    <col min="8" max="8" width="9" style="28"/>
    <col min="9" max="9" width="3.625" style="28" customWidth="1"/>
    <col min="10" max="10" width="9" style="28"/>
    <col min="11" max="11" width="3.625" style="28" customWidth="1"/>
    <col min="12" max="12" width="9.5" style="28" bestFit="1" customWidth="1"/>
    <col min="13" max="13" width="3.625" style="28" customWidth="1"/>
    <col min="14" max="14" width="9" style="28"/>
    <col min="15" max="15" width="3.625" style="28" customWidth="1"/>
    <col min="16" max="16" width="9" style="49" customWidth="1"/>
    <col min="18" max="18" width="24.625" customWidth="1"/>
  </cols>
  <sheetData>
    <row r="1" spans="1:19" x14ac:dyDescent="0.25">
      <c r="B1" s="28" t="s">
        <v>65</v>
      </c>
      <c r="C1" s="28" t="s">
        <v>104</v>
      </c>
      <c r="P1" s="28" t="s">
        <v>65</v>
      </c>
      <c r="Q1" s="28" t="s">
        <v>104</v>
      </c>
    </row>
    <row r="2" spans="1:19" x14ac:dyDescent="0.25">
      <c r="A2" t="s">
        <v>78</v>
      </c>
      <c r="B2" s="11">
        <v>800000</v>
      </c>
      <c r="C2" t="s">
        <v>101</v>
      </c>
      <c r="E2" s="82" t="s">
        <v>97</v>
      </c>
      <c r="F2" t="s">
        <v>85</v>
      </c>
      <c r="G2" s="28" t="s">
        <v>56</v>
      </c>
      <c r="H2" s="28">
        <f>B2</f>
        <v>800000</v>
      </c>
      <c r="I2" s="28" t="s">
        <v>57</v>
      </c>
      <c r="J2" s="28">
        <f>B6*10^6</f>
        <v>4000000</v>
      </c>
      <c r="O2" s="28" t="s">
        <v>56</v>
      </c>
      <c r="P2" s="50">
        <f>B2/B6/10^6</f>
        <v>0.2</v>
      </c>
      <c r="Q2" s="28" t="s">
        <v>81</v>
      </c>
      <c r="R2" s="28"/>
    </row>
    <row r="3" spans="1:19" x14ac:dyDescent="0.25">
      <c r="A3" t="s">
        <v>79</v>
      </c>
      <c r="B3" s="43">
        <v>90</v>
      </c>
      <c r="C3" t="s">
        <v>80</v>
      </c>
      <c r="E3" s="82"/>
      <c r="F3" t="s">
        <v>86</v>
      </c>
      <c r="G3" s="28" t="s">
        <v>56</v>
      </c>
      <c r="H3" s="28">
        <f>B3</f>
        <v>90</v>
      </c>
      <c r="I3" s="28" t="s">
        <v>57</v>
      </c>
      <c r="J3" s="28">
        <v>60</v>
      </c>
      <c r="K3" s="28" t="s">
        <v>87</v>
      </c>
      <c r="L3" s="28">
        <f>P2</f>
        <v>0.2</v>
      </c>
      <c r="O3" s="28" t="s">
        <v>56</v>
      </c>
      <c r="P3" s="50">
        <f>B3/60*P2</f>
        <v>0.30000000000000004</v>
      </c>
      <c r="Q3" s="28"/>
      <c r="R3" s="28"/>
    </row>
    <row r="4" spans="1:19" x14ac:dyDescent="0.25">
      <c r="A4" t="s">
        <v>112</v>
      </c>
      <c r="B4" s="11">
        <v>2</v>
      </c>
      <c r="C4" t="s">
        <v>81</v>
      </c>
      <c r="E4" s="82"/>
      <c r="F4" t="s">
        <v>88</v>
      </c>
      <c r="G4" s="28" t="s">
        <v>56</v>
      </c>
      <c r="H4" s="28">
        <f>P2</f>
        <v>0.2</v>
      </c>
      <c r="I4" s="28" t="s">
        <v>57</v>
      </c>
      <c r="J4" s="82" t="str">
        <f>_xlfn.TEXTJOIN(,TRUE,"(1 - ",ROUND(P3,5),")")</f>
        <v>(1 - 0.3)</v>
      </c>
      <c r="K4" s="82"/>
      <c r="O4" s="28" t="s">
        <v>56</v>
      </c>
      <c r="P4" s="50">
        <f>P2/(1-P3)</f>
        <v>0.28571428571428575</v>
      </c>
      <c r="Q4" s="28" t="s">
        <v>81</v>
      </c>
      <c r="R4" s="28"/>
    </row>
    <row r="5" spans="1:19" x14ac:dyDescent="0.25">
      <c r="A5" t="s">
        <v>113</v>
      </c>
      <c r="B5" s="11">
        <v>4</v>
      </c>
      <c r="C5" t="s">
        <v>81</v>
      </c>
      <c r="E5" s="40"/>
      <c r="G5" s="40"/>
      <c r="H5" s="40"/>
      <c r="I5" s="40"/>
      <c r="J5" s="40"/>
      <c r="K5" s="40"/>
      <c r="L5" s="40"/>
      <c r="M5" s="40"/>
      <c r="N5" s="40"/>
      <c r="O5" s="40"/>
      <c r="P5" s="62"/>
      <c r="Q5" s="40"/>
      <c r="R5" s="40"/>
    </row>
    <row r="6" spans="1:19" x14ac:dyDescent="0.25">
      <c r="A6" t="s">
        <v>82</v>
      </c>
      <c r="B6" s="11">
        <v>4</v>
      </c>
      <c r="C6" t="s">
        <v>84</v>
      </c>
      <c r="E6" s="82" t="s">
        <v>98</v>
      </c>
      <c r="F6" t="s">
        <v>89</v>
      </c>
      <c r="G6" s="28" t="s">
        <v>56</v>
      </c>
      <c r="H6" s="28">
        <f>B2</f>
        <v>800000</v>
      </c>
      <c r="I6" s="28" t="s">
        <v>57</v>
      </c>
      <c r="J6" s="28">
        <f>B7*10^6</f>
        <v>10000000</v>
      </c>
      <c r="O6" s="28" t="s">
        <v>56</v>
      </c>
      <c r="P6" s="51">
        <f>B2/B7/10^6</f>
        <v>0.08</v>
      </c>
      <c r="Q6" s="28" t="s">
        <v>81</v>
      </c>
      <c r="R6" s="40" t="s">
        <v>110</v>
      </c>
      <c r="S6" s="44"/>
    </row>
    <row r="7" spans="1:19" x14ac:dyDescent="0.25">
      <c r="A7" t="s">
        <v>83</v>
      </c>
      <c r="B7" s="11">
        <v>10</v>
      </c>
      <c r="C7" t="s">
        <v>84</v>
      </c>
      <c r="E7" s="82"/>
      <c r="F7" t="s">
        <v>90</v>
      </c>
      <c r="G7" s="28" t="s">
        <v>56</v>
      </c>
      <c r="H7" s="28">
        <f>B3</f>
        <v>90</v>
      </c>
      <c r="I7" s="28" t="s">
        <v>57</v>
      </c>
      <c r="J7" s="28">
        <v>60</v>
      </c>
      <c r="K7" s="28" t="s">
        <v>87</v>
      </c>
      <c r="L7" s="28">
        <f>P6</f>
        <v>0.08</v>
      </c>
      <c r="O7" s="28" t="s">
        <v>56</v>
      </c>
      <c r="P7" s="51">
        <f>B3/60*P6</f>
        <v>0.12</v>
      </c>
      <c r="Q7" s="28"/>
      <c r="R7" s="40" t="s">
        <v>110</v>
      </c>
      <c r="S7" s="44"/>
    </row>
    <row r="8" spans="1:19" x14ac:dyDescent="0.25">
      <c r="A8" t="s">
        <v>109</v>
      </c>
      <c r="B8" s="11">
        <v>1</v>
      </c>
      <c r="E8" s="82"/>
      <c r="F8" t="s">
        <v>88</v>
      </c>
      <c r="G8" s="28" t="s">
        <v>56</v>
      </c>
      <c r="H8" s="28">
        <f>P6</f>
        <v>0.08</v>
      </c>
      <c r="I8" s="28" t="s">
        <v>57</v>
      </c>
      <c r="J8" s="82" t="str">
        <f>_xlfn.TEXTJOIN(,TRUE,"(1 - ",ROUND(P7,5),")")</f>
        <v>(1 - 0.12)</v>
      </c>
      <c r="K8" s="82"/>
      <c r="O8" s="28" t="s">
        <v>56</v>
      </c>
      <c r="P8" s="51">
        <f>IF(B8=1,P6/(1-P7),0)</f>
        <v>9.0909090909090912E-2</v>
      </c>
      <c r="Q8" s="28" t="s">
        <v>81</v>
      </c>
      <c r="R8" s="40" t="s">
        <v>110</v>
      </c>
      <c r="S8" s="44"/>
    </row>
    <row r="9" spans="1:19" x14ac:dyDescent="0.25">
      <c r="F9" t="s">
        <v>91</v>
      </c>
      <c r="G9" s="28" t="s">
        <v>56</v>
      </c>
      <c r="H9" s="28">
        <f>P4</f>
        <v>0.28571428571428575</v>
      </c>
      <c r="I9" s="28" t="s">
        <v>55</v>
      </c>
      <c r="J9" s="28">
        <f>P8</f>
        <v>9.0909090909090912E-2</v>
      </c>
      <c r="K9" s="28" t="s">
        <v>55</v>
      </c>
      <c r="L9" s="28">
        <f>$B$4+$B$5</f>
        <v>6</v>
      </c>
      <c r="O9" s="28" t="s">
        <v>56</v>
      </c>
      <c r="P9" s="50">
        <f>P4+P8+$B$4+$B$5</f>
        <v>6.3766233766233764</v>
      </c>
      <c r="Q9" s="28" t="s">
        <v>81</v>
      </c>
      <c r="R9" s="28"/>
    </row>
    <row r="10" spans="1:19" x14ac:dyDescent="0.25">
      <c r="Q10" s="28"/>
      <c r="R10" s="28"/>
    </row>
    <row r="11" spans="1:19" x14ac:dyDescent="0.25">
      <c r="A11" t="s">
        <v>92</v>
      </c>
      <c r="B11" s="11">
        <v>0.6</v>
      </c>
      <c r="F11" t="s">
        <v>88</v>
      </c>
      <c r="G11" s="28" t="s">
        <v>56</v>
      </c>
      <c r="H11" s="28">
        <f>P2</f>
        <v>0.2</v>
      </c>
      <c r="I11" s="28" t="s">
        <v>57</v>
      </c>
      <c r="J11" s="28" t="str">
        <f>_xlfn.TEXTJOIN(,TRUE,"(1 - ",1-B11)</f>
        <v>(1 - 0.4</v>
      </c>
      <c r="K11" s="28" t="s">
        <v>87</v>
      </c>
      <c r="L11" s="28" t="str">
        <f>_xlfn.TEXTJOIN(,TRUE,ROUND(P3,5),")")</f>
        <v>0.3)</v>
      </c>
      <c r="O11" s="28" t="s">
        <v>56</v>
      </c>
      <c r="P11" s="50">
        <f>P2/(1-(1-B11)*P3)</f>
        <v>0.22727272727272729</v>
      </c>
      <c r="Q11" s="28"/>
      <c r="R11" s="28"/>
    </row>
    <row r="12" spans="1:19" x14ac:dyDescent="0.25">
      <c r="F12" t="s">
        <v>91</v>
      </c>
      <c r="G12" s="28" t="s">
        <v>56</v>
      </c>
      <c r="H12" s="28">
        <f>P11</f>
        <v>0.22727272727272729</v>
      </c>
      <c r="I12" s="28" t="s">
        <v>55</v>
      </c>
      <c r="J12" s="28">
        <f>P8</f>
        <v>9.0909090909090912E-2</v>
      </c>
      <c r="K12" s="28" t="s">
        <v>55</v>
      </c>
      <c r="L12" s="40">
        <f>$B$4+$B$5</f>
        <v>6</v>
      </c>
      <c r="O12" s="28" t="s">
        <v>56</v>
      </c>
      <c r="P12" s="50">
        <f>P11+P8+$B$4+$B$5</f>
        <v>6.3181818181818183</v>
      </c>
      <c r="Q12" s="28" t="s">
        <v>81</v>
      </c>
      <c r="R12" s="28" t="s">
        <v>111</v>
      </c>
      <c r="S12">
        <f>B11</f>
        <v>0.6</v>
      </c>
    </row>
    <row r="13" spans="1:19" x14ac:dyDescent="0.25">
      <c r="F13" t="s">
        <v>91</v>
      </c>
      <c r="G13" s="28" t="s">
        <v>56</v>
      </c>
      <c r="H13" s="28">
        <f>B11</f>
        <v>0.6</v>
      </c>
      <c r="I13" s="28" t="s">
        <v>87</v>
      </c>
      <c r="J13" s="28">
        <f>P8</f>
        <v>9.0909090909090912E-2</v>
      </c>
      <c r="K13" s="28" t="s">
        <v>55</v>
      </c>
      <c r="L13" s="28">
        <f>1-B11</f>
        <v>0.4</v>
      </c>
      <c r="M13" s="28" t="s">
        <v>87</v>
      </c>
      <c r="N13" s="28">
        <f>P12</f>
        <v>6.3181818181818183</v>
      </c>
      <c r="O13" s="28" t="s">
        <v>56</v>
      </c>
      <c r="P13" s="50">
        <f>B11*P8+(1-B11)*P12</f>
        <v>2.581818181818182</v>
      </c>
      <c r="Q13" s="28" t="s">
        <v>81</v>
      </c>
    </row>
    <row r="14" spans="1:19" x14ac:dyDescent="0.25">
      <c r="F14" s="82" t="s">
        <v>93</v>
      </c>
      <c r="G14" s="82"/>
      <c r="H14" s="82"/>
      <c r="I14" s="82"/>
      <c r="J14" s="82"/>
      <c r="K14" s="82"/>
      <c r="L14" s="28">
        <f>P9</f>
        <v>6.3766233766233764</v>
      </c>
      <c r="M14" s="28" t="s">
        <v>94</v>
      </c>
      <c r="N14" s="28">
        <f>P13</f>
        <v>2.581818181818182</v>
      </c>
    </row>
    <row r="16" spans="1:19" x14ac:dyDescent="0.25">
      <c r="A16" t="s">
        <v>95</v>
      </c>
      <c r="B16" s="11">
        <v>5</v>
      </c>
      <c r="C16" t="s">
        <v>84</v>
      </c>
      <c r="E16" s="82" t="s">
        <v>99</v>
      </c>
      <c r="F16" t="s">
        <v>85</v>
      </c>
      <c r="G16" s="28" t="s">
        <v>56</v>
      </c>
      <c r="H16" s="28">
        <f>B2</f>
        <v>800000</v>
      </c>
      <c r="I16" s="28" t="s">
        <v>57</v>
      </c>
      <c r="J16" s="28">
        <f>B16*10^6</f>
        <v>5000000</v>
      </c>
      <c r="O16" s="28" t="s">
        <v>56</v>
      </c>
      <c r="P16" s="50">
        <f>B2/B16/10^6</f>
        <v>0.16</v>
      </c>
      <c r="Q16" s="28" t="s">
        <v>81</v>
      </c>
    </row>
    <row r="17" spans="1:17" x14ac:dyDescent="0.25">
      <c r="A17" t="s">
        <v>96</v>
      </c>
      <c r="B17" s="11">
        <v>10</v>
      </c>
      <c r="C17" t="s">
        <v>84</v>
      </c>
      <c r="E17" s="82"/>
      <c r="F17" t="s">
        <v>86</v>
      </c>
      <c r="G17" s="28" t="s">
        <v>56</v>
      </c>
      <c r="H17" s="28">
        <f>B3</f>
        <v>90</v>
      </c>
      <c r="I17" s="28" t="s">
        <v>57</v>
      </c>
      <c r="J17" s="28">
        <v>60</v>
      </c>
      <c r="K17" s="60" t="s">
        <v>87</v>
      </c>
      <c r="L17" s="64">
        <f>B18</f>
        <v>0.5</v>
      </c>
      <c r="M17" s="61" t="s">
        <v>87</v>
      </c>
      <c r="N17" s="28">
        <f>P16</f>
        <v>0.16</v>
      </c>
      <c r="O17" s="28" t="s">
        <v>56</v>
      </c>
      <c r="P17" s="50">
        <f>B3/60*B18*P16</f>
        <v>0.12</v>
      </c>
      <c r="Q17" s="28"/>
    </row>
    <row r="18" spans="1:17" x14ac:dyDescent="0.25">
      <c r="A18" t="s">
        <v>114</v>
      </c>
      <c r="B18" s="63">
        <v>0.5</v>
      </c>
      <c r="E18" s="82"/>
      <c r="F18" t="s">
        <v>88</v>
      </c>
      <c r="G18" s="28" t="s">
        <v>56</v>
      </c>
      <c r="H18" s="28">
        <f>P16</f>
        <v>0.16</v>
      </c>
      <c r="I18" s="28" t="s">
        <v>57</v>
      </c>
      <c r="J18" s="82" t="str">
        <f>_xlfn.TEXTJOIN(,TRUE,"(1 - ",ROUND(P17,5),")")</f>
        <v>(1 - 0.12)</v>
      </c>
      <c r="K18" s="82"/>
      <c r="O18" s="28" t="s">
        <v>56</v>
      </c>
      <c r="P18" s="50">
        <f>P16/(1-P17)</f>
        <v>0.18181818181818182</v>
      </c>
      <c r="Q18" s="28" t="s">
        <v>81</v>
      </c>
    </row>
    <row r="19" spans="1:17" x14ac:dyDescent="0.25">
      <c r="A19" t="s">
        <v>115</v>
      </c>
      <c r="B19" s="63">
        <v>0.5</v>
      </c>
      <c r="E19" s="82" t="s">
        <v>100</v>
      </c>
      <c r="F19" t="s">
        <v>85</v>
      </c>
      <c r="G19" s="28" t="s">
        <v>56</v>
      </c>
      <c r="H19" s="28">
        <f>B2</f>
        <v>800000</v>
      </c>
      <c r="I19" s="28" t="s">
        <v>57</v>
      </c>
      <c r="J19" s="28">
        <f>B17*10^6</f>
        <v>10000000</v>
      </c>
      <c r="O19" s="28" t="s">
        <v>56</v>
      </c>
      <c r="P19" s="50">
        <f>B2/B17/10^6</f>
        <v>0.08</v>
      </c>
      <c r="Q19" s="28" t="s">
        <v>81</v>
      </c>
    </row>
    <row r="20" spans="1:17" x14ac:dyDescent="0.25">
      <c r="E20" s="82"/>
      <c r="F20" t="s">
        <v>86</v>
      </c>
      <c r="G20" s="28" t="s">
        <v>56</v>
      </c>
      <c r="H20" s="28">
        <f>B3</f>
        <v>90</v>
      </c>
      <c r="I20" s="28" t="s">
        <v>57</v>
      </c>
      <c r="J20" s="28">
        <v>60</v>
      </c>
      <c r="K20" s="60" t="s">
        <v>87</v>
      </c>
      <c r="L20" s="64">
        <f>B19</f>
        <v>0.5</v>
      </c>
      <c r="M20" s="61" t="s">
        <v>87</v>
      </c>
      <c r="N20" s="28">
        <f>P19</f>
        <v>0.08</v>
      </c>
      <c r="O20" s="28" t="s">
        <v>56</v>
      </c>
      <c r="P20" s="50">
        <f>B3/60*B19*P19</f>
        <v>0.06</v>
      </c>
      <c r="Q20" s="28"/>
    </row>
    <row r="21" spans="1:17" x14ac:dyDescent="0.25">
      <c r="E21" s="82"/>
      <c r="F21" t="s">
        <v>88</v>
      </c>
      <c r="G21" s="28" t="s">
        <v>56</v>
      </c>
      <c r="H21" s="28">
        <f>P19</f>
        <v>0.08</v>
      </c>
      <c r="I21" s="28" t="s">
        <v>57</v>
      </c>
      <c r="J21" s="82" t="str">
        <f>_xlfn.TEXTJOIN(,TRUE,"(1 - ",ROUND(P20,5),")")</f>
        <v>(1 - 0.06)</v>
      </c>
      <c r="K21" s="82"/>
      <c r="O21" s="28" t="s">
        <v>56</v>
      </c>
      <c r="P21" s="50">
        <f>P19/(1-P20)</f>
        <v>8.5106382978723416E-2</v>
      </c>
      <c r="Q21" s="28" t="s">
        <v>81</v>
      </c>
    </row>
    <row r="22" spans="1:17" x14ac:dyDescent="0.25">
      <c r="F22" t="s">
        <v>91</v>
      </c>
      <c r="G22" s="28" t="s">
        <v>56</v>
      </c>
      <c r="H22" s="82" t="str">
        <f>_xlfn.TEXTJOIN(,TRUE,B18,"*",ROUND(P18,3)," + ",B19,"*",ROUND(P21,3))</f>
        <v>0.5*0.182 + 0.5*0.085</v>
      </c>
      <c r="I22" s="82"/>
      <c r="J22" s="82"/>
      <c r="K22" s="44" t="s">
        <v>55</v>
      </c>
      <c r="L22" s="44">
        <f>P8</f>
        <v>9.0909090909090912E-2</v>
      </c>
      <c r="M22" s="28" t="s">
        <v>55</v>
      </c>
      <c r="N22" s="40">
        <f>$B$4+$B$5</f>
        <v>6</v>
      </c>
      <c r="O22" s="28" t="s">
        <v>56</v>
      </c>
      <c r="P22" s="50">
        <f>P18*B18+P21*B19+P8+$B$4+$B$5</f>
        <v>6.2243713733075436</v>
      </c>
      <c r="Q22" s="28" t="s">
        <v>81</v>
      </c>
    </row>
    <row r="24" spans="1:17" x14ac:dyDescent="0.25">
      <c r="A24" s="7" t="s">
        <v>102</v>
      </c>
      <c r="B24" s="5">
        <v>10</v>
      </c>
      <c r="C24" s="8" t="s">
        <v>84</v>
      </c>
      <c r="D24" s="8"/>
      <c r="E24" s="8"/>
      <c r="F24" s="8" t="s">
        <v>85</v>
      </c>
      <c r="G24" s="30" t="s">
        <v>56</v>
      </c>
      <c r="H24" s="30">
        <f>B2</f>
        <v>800000</v>
      </c>
      <c r="I24" s="30" t="s">
        <v>57</v>
      </c>
      <c r="J24" s="30">
        <f>B24*10^6</f>
        <v>10000000</v>
      </c>
      <c r="K24" s="30"/>
      <c r="L24" s="30"/>
      <c r="M24" s="30"/>
      <c r="N24" s="30"/>
      <c r="O24" s="30" t="s">
        <v>56</v>
      </c>
      <c r="P24" s="52">
        <f>B2/B24/10^6</f>
        <v>0.08</v>
      </c>
      <c r="Q24" s="31" t="s">
        <v>81</v>
      </c>
    </row>
    <row r="25" spans="1:17" x14ac:dyDescent="0.25">
      <c r="A25" s="13" t="s">
        <v>103</v>
      </c>
      <c r="B25" s="53">
        <v>5</v>
      </c>
      <c r="C25" s="54"/>
      <c r="D25" s="54"/>
      <c r="E25" s="54"/>
      <c r="F25" s="54" t="s">
        <v>86</v>
      </c>
      <c r="G25" s="55" t="s">
        <v>56</v>
      </c>
      <c r="H25" s="56">
        <f>B3</f>
        <v>90</v>
      </c>
      <c r="I25" s="55" t="s">
        <v>57</v>
      </c>
      <c r="J25" s="55">
        <f>B25</f>
        <v>5</v>
      </c>
      <c r="K25" s="55" t="s">
        <v>57</v>
      </c>
      <c r="L25" s="55">
        <v>60</v>
      </c>
      <c r="M25" s="55" t="s">
        <v>87</v>
      </c>
      <c r="N25" s="55">
        <f>P24</f>
        <v>0.08</v>
      </c>
      <c r="O25" s="55" t="s">
        <v>56</v>
      </c>
      <c r="P25" s="57">
        <f>B3/B25/60*P24</f>
        <v>2.4E-2</v>
      </c>
      <c r="Q25" s="32"/>
    </row>
    <row r="26" spans="1:17" x14ac:dyDescent="0.25">
      <c r="A26" s="13"/>
      <c r="B26" s="54"/>
      <c r="C26" s="54"/>
      <c r="D26" s="54"/>
      <c r="E26" s="54"/>
      <c r="F26" s="54" t="s">
        <v>88</v>
      </c>
      <c r="G26" s="55" t="s">
        <v>56</v>
      </c>
      <c r="H26" s="55">
        <f>P24</f>
        <v>0.08</v>
      </c>
      <c r="I26" s="55" t="s">
        <v>57</v>
      </c>
      <c r="J26" s="85" t="str">
        <f>_xlfn.TEXTJOIN(,TRUE,"(1 - ",ROUND(P25,5),")")</f>
        <v>(1 - 0.024)</v>
      </c>
      <c r="K26" s="85"/>
      <c r="L26" s="55"/>
      <c r="M26" s="55"/>
      <c r="N26" s="55"/>
      <c r="O26" s="55" t="s">
        <v>56</v>
      </c>
      <c r="P26" s="57">
        <f>P24/(1-P25)</f>
        <v>8.1967213114754106E-2</v>
      </c>
      <c r="Q26" s="32" t="s">
        <v>81</v>
      </c>
    </row>
    <row r="27" spans="1:17" x14ac:dyDescent="0.25">
      <c r="A27" s="17"/>
      <c r="B27" s="2"/>
      <c r="C27" s="2"/>
      <c r="D27" s="2"/>
      <c r="E27" s="2"/>
      <c r="F27" s="2" t="s">
        <v>91</v>
      </c>
      <c r="G27" s="29" t="s">
        <v>56</v>
      </c>
      <c r="H27" s="75">
        <f>P26</f>
        <v>8.1967213114754106E-2</v>
      </c>
      <c r="I27" s="75"/>
      <c r="J27" s="75"/>
      <c r="K27" s="58" t="s">
        <v>55</v>
      </c>
      <c r="L27" s="58">
        <f>P8</f>
        <v>9.0909090909090912E-2</v>
      </c>
      <c r="M27" s="29" t="s">
        <v>55</v>
      </c>
      <c r="N27" s="41">
        <f>$B$4+$B$5</f>
        <v>6</v>
      </c>
      <c r="O27" s="29" t="s">
        <v>56</v>
      </c>
      <c r="P27" s="59">
        <f>P26+P8+$B$4+$B$5</f>
        <v>6.1728763040238448</v>
      </c>
      <c r="Q27" s="33" t="s">
        <v>81</v>
      </c>
    </row>
  </sheetData>
  <mergeCells count="12">
    <mergeCell ref="E2:E4"/>
    <mergeCell ref="E6:E8"/>
    <mergeCell ref="E16:E18"/>
    <mergeCell ref="E19:E21"/>
    <mergeCell ref="J21:K21"/>
    <mergeCell ref="J18:K18"/>
    <mergeCell ref="J26:K26"/>
    <mergeCell ref="H27:J27"/>
    <mergeCell ref="H22:J22"/>
    <mergeCell ref="J4:K4"/>
    <mergeCell ref="J8:K8"/>
    <mergeCell ref="F14:K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5C65-B589-4272-97C7-A5835639EE47}">
  <dimension ref="A1:BM7"/>
  <sheetViews>
    <sheetView topLeftCell="P1" workbookViewId="0">
      <selection activeCell="AB9" sqref="AB9"/>
    </sheetView>
  </sheetViews>
  <sheetFormatPr defaultColWidth="4.625" defaultRowHeight="16.5" x14ac:dyDescent="0.25"/>
  <cols>
    <col min="1" max="1" width="16.625" customWidth="1"/>
  </cols>
  <sheetData>
    <row r="1" spans="1:65" x14ac:dyDescent="0.25">
      <c r="A1" t="s">
        <v>108</v>
      </c>
      <c r="B1" s="11">
        <v>3</v>
      </c>
      <c r="D1" t="s">
        <v>105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</row>
    <row r="2" spans="1:65" x14ac:dyDescent="0.25">
      <c r="A2" t="s">
        <v>106</v>
      </c>
      <c r="B2" s="11">
        <v>50</v>
      </c>
      <c r="D2" t="s">
        <v>72</v>
      </c>
      <c r="E2" s="37">
        <f>B1</f>
        <v>3</v>
      </c>
      <c r="F2" s="37">
        <f>IF(IF(E2*2&gt;$B$3,E2+1,E2*2)&lt;=$B$2,IF(E2*2&gt;$B$3,E2+1,E2*2),$B$2)</f>
        <v>6</v>
      </c>
      <c r="G2" s="37">
        <f t="shared" ref="G2:BM2" si="0">IF(IF(F2*2&gt;$B$3,F2+1,F2*2)&lt;=$B$2,IF(F2*2&gt;$B$3,F2+1,F2*2),$B$2)</f>
        <v>12</v>
      </c>
      <c r="H2" s="37">
        <f t="shared" si="0"/>
        <v>13</v>
      </c>
      <c r="I2" s="37">
        <f t="shared" si="0"/>
        <v>14</v>
      </c>
      <c r="J2" s="37">
        <f t="shared" si="0"/>
        <v>15</v>
      </c>
      <c r="K2" s="37">
        <f t="shared" si="0"/>
        <v>16</v>
      </c>
      <c r="L2" s="37">
        <f t="shared" si="0"/>
        <v>17</v>
      </c>
      <c r="M2" s="37">
        <f t="shared" si="0"/>
        <v>18</v>
      </c>
      <c r="N2" s="37">
        <f t="shared" si="0"/>
        <v>19</v>
      </c>
      <c r="O2" s="37">
        <f t="shared" si="0"/>
        <v>20</v>
      </c>
      <c r="P2" s="37">
        <f t="shared" si="0"/>
        <v>21</v>
      </c>
      <c r="Q2" s="37">
        <f t="shared" si="0"/>
        <v>22</v>
      </c>
      <c r="R2" s="37">
        <f t="shared" si="0"/>
        <v>23</v>
      </c>
      <c r="S2" s="37">
        <f t="shared" si="0"/>
        <v>24</v>
      </c>
      <c r="T2" s="37">
        <f t="shared" si="0"/>
        <v>25</v>
      </c>
      <c r="U2" s="37">
        <f t="shared" si="0"/>
        <v>26</v>
      </c>
      <c r="V2" s="37">
        <f t="shared" si="0"/>
        <v>27</v>
      </c>
      <c r="W2" s="37">
        <f t="shared" si="0"/>
        <v>28</v>
      </c>
      <c r="X2" s="37">
        <f t="shared" si="0"/>
        <v>29</v>
      </c>
      <c r="Y2" s="37">
        <f t="shared" si="0"/>
        <v>30</v>
      </c>
      <c r="Z2" s="37">
        <f t="shared" si="0"/>
        <v>31</v>
      </c>
      <c r="AA2" s="37">
        <f t="shared" si="0"/>
        <v>32</v>
      </c>
      <c r="AB2" s="37">
        <f t="shared" si="0"/>
        <v>33</v>
      </c>
      <c r="AC2" s="37">
        <f t="shared" si="0"/>
        <v>34</v>
      </c>
      <c r="AD2" s="37">
        <f t="shared" si="0"/>
        <v>35</v>
      </c>
      <c r="AE2" s="37">
        <f t="shared" si="0"/>
        <v>36</v>
      </c>
      <c r="AF2" s="37">
        <f t="shared" si="0"/>
        <v>37</v>
      </c>
      <c r="AG2" s="37">
        <f t="shared" si="0"/>
        <v>38</v>
      </c>
      <c r="AH2" s="37">
        <f t="shared" si="0"/>
        <v>39</v>
      </c>
      <c r="AI2" s="37">
        <f t="shared" si="0"/>
        <v>40</v>
      </c>
      <c r="AJ2" s="37">
        <f t="shared" si="0"/>
        <v>41</v>
      </c>
      <c r="AK2" s="37">
        <f t="shared" si="0"/>
        <v>42</v>
      </c>
      <c r="AL2" s="37">
        <f t="shared" si="0"/>
        <v>43</v>
      </c>
      <c r="AM2" s="37">
        <f t="shared" si="0"/>
        <v>44</v>
      </c>
      <c r="AN2" s="37">
        <f t="shared" si="0"/>
        <v>45</v>
      </c>
      <c r="AO2" s="37">
        <f t="shared" si="0"/>
        <v>46</v>
      </c>
      <c r="AP2" s="37">
        <f t="shared" si="0"/>
        <v>47</v>
      </c>
      <c r="AQ2" s="37">
        <f t="shared" si="0"/>
        <v>48</v>
      </c>
      <c r="AR2" s="37">
        <f t="shared" si="0"/>
        <v>49</v>
      </c>
      <c r="AS2" s="37">
        <f t="shared" si="0"/>
        <v>50</v>
      </c>
      <c r="AT2" s="37">
        <f t="shared" si="0"/>
        <v>50</v>
      </c>
      <c r="AU2" s="37">
        <f t="shared" si="0"/>
        <v>50</v>
      </c>
      <c r="AV2" s="37">
        <f t="shared" si="0"/>
        <v>50</v>
      </c>
      <c r="AW2" s="37">
        <f t="shared" si="0"/>
        <v>50</v>
      </c>
      <c r="AX2" s="37">
        <f t="shared" si="0"/>
        <v>50</v>
      </c>
      <c r="AY2" s="37">
        <f t="shared" si="0"/>
        <v>50</v>
      </c>
      <c r="AZ2" s="37">
        <f t="shared" si="0"/>
        <v>50</v>
      </c>
      <c r="BA2" s="37">
        <f t="shared" si="0"/>
        <v>50</v>
      </c>
      <c r="BB2" s="37">
        <f t="shared" si="0"/>
        <v>50</v>
      </c>
      <c r="BC2" s="37">
        <f t="shared" si="0"/>
        <v>50</v>
      </c>
      <c r="BD2" s="37">
        <f t="shared" si="0"/>
        <v>50</v>
      </c>
      <c r="BE2" s="37">
        <f t="shared" si="0"/>
        <v>50</v>
      </c>
      <c r="BF2" s="37">
        <f t="shared" si="0"/>
        <v>50</v>
      </c>
      <c r="BG2" s="37">
        <f t="shared" si="0"/>
        <v>50</v>
      </c>
      <c r="BH2" s="37">
        <f t="shared" si="0"/>
        <v>50</v>
      </c>
      <c r="BI2" s="37">
        <f t="shared" si="0"/>
        <v>50</v>
      </c>
      <c r="BJ2" s="37">
        <f t="shared" si="0"/>
        <v>50</v>
      </c>
      <c r="BK2" s="37">
        <f t="shared" si="0"/>
        <v>50</v>
      </c>
      <c r="BL2" s="37">
        <f t="shared" si="0"/>
        <v>50</v>
      </c>
      <c r="BM2" s="37">
        <f t="shared" si="0"/>
        <v>50</v>
      </c>
    </row>
    <row r="3" spans="1:65" x14ac:dyDescent="0.25">
      <c r="A3" t="s">
        <v>107</v>
      </c>
      <c r="B3" s="11">
        <v>12</v>
      </c>
    </row>
    <row r="5" spans="1:65" x14ac:dyDescent="0.25">
      <c r="A5" s="82" t="s">
        <v>185</v>
      </c>
      <c r="D5" t="s">
        <v>186</v>
      </c>
      <c r="E5">
        <f>0.5*E2</f>
        <v>1.5</v>
      </c>
      <c r="F5">
        <f t="shared" ref="F5:BM5" si="1">0.5*F2</f>
        <v>3</v>
      </c>
      <c r="G5">
        <f t="shared" si="1"/>
        <v>6</v>
      </c>
      <c r="H5">
        <f t="shared" si="1"/>
        <v>6.5</v>
      </c>
      <c r="I5">
        <f t="shared" si="1"/>
        <v>7</v>
      </c>
      <c r="J5">
        <f t="shared" si="1"/>
        <v>7.5</v>
      </c>
      <c r="K5">
        <f t="shared" si="1"/>
        <v>8</v>
      </c>
      <c r="L5">
        <f t="shared" si="1"/>
        <v>8.5</v>
      </c>
      <c r="M5">
        <f t="shared" si="1"/>
        <v>9</v>
      </c>
      <c r="N5">
        <f t="shared" si="1"/>
        <v>9.5</v>
      </c>
      <c r="O5">
        <f t="shared" si="1"/>
        <v>10</v>
      </c>
      <c r="P5">
        <f t="shared" si="1"/>
        <v>10.5</v>
      </c>
      <c r="Q5">
        <f t="shared" si="1"/>
        <v>11</v>
      </c>
      <c r="R5">
        <f t="shared" si="1"/>
        <v>11.5</v>
      </c>
      <c r="S5">
        <f t="shared" si="1"/>
        <v>12</v>
      </c>
      <c r="T5">
        <f t="shared" si="1"/>
        <v>12.5</v>
      </c>
      <c r="U5">
        <f t="shared" si="1"/>
        <v>13</v>
      </c>
      <c r="V5">
        <f t="shared" si="1"/>
        <v>13.5</v>
      </c>
      <c r="W5">
        <f t="shared" si="1"/>
        <v>14</v>
      </c>
      <c r="X5">
        <f t="shared" si="1"/>
        <v>14.5</v>
      </c>
      <c r="Y5">
        <f t="shared" si="1"/>
        <v>15</v>
      </c>
      <c r="Z5">
        <f t="shared" si="1"/>
        <v>15.5</v>
      </c>
      <c r="AA5">
        <f t="shared" si="1"/>
        <v>16</v>
      </c>
      <c r="AB5">
        <f t="shared" si="1"/>
        <v>16.5</v>
      </c>
      <c r="AC5">
        <f t="shared" si="1"/>
        <v>17</v>
      </c>
      <c r="AD5">
        <f t="shared" si="1"/>
        <v>17.5</v>
      </c>
      <c r="AE5">
        <f t="shared" si="1"/>
        <v>18</v>
      </c>
      <c r="AF5">
        <f t="shared" si="1"/>
        <v>18.5</v>
      </c>
      <c r="AG5">
        <f t="shared" si="1"/>
        <v>19</v>
      </c>
      <c r="AH5">
        <f t="shared" si="1"/>
        <v>19.5</v>
      </c>
      <c r="AI5">
        <f t="shared" si="1"/>
        <v>20</v>
      </c>
      <c r="AJ5">
        <f t="shared" si="1"/>
        <v>20.5</v>
      </c>
      <c r="AK5">
        <f t="shared" si="1"/>
        <v>21</v>
      </c>
      <c r="AL5">
        <f t="shared" si="1"/>
        <v>21.5</v>
      </c>
      <c r="AM5">
        <f t="shared" si="1"/>
        <v>22</v>
      </c>
      <c r="AN5">
        <f t="shared" si="1"/>
        <v>22.5</v>
      </c>
      <c r="AO5">
        <f t="shared" si="1"/>
        <v>23</v>
      </c>
      <c r="AP5">
        <f t="shared" si="1"/>
        <v>23.5</v>
      </c>
      <c r="AQ5">
        <f t="shared" si="1"/>
        <v>24</v>
      </c>
      <c r="AR5">
        <f t="shared" si="1"/>
        <v>24.5</v>
      </c>
      <c r="AS5">
        <f t="shared" si="1"/>
        <v>25</v>
      </c>
      <c r="AT5">
        <f t="shared" si="1"/>
        <v>25</v>
      </c>
      <c r="AU5">
        <f t="shared" si="1"/>
        <v>25</v>
      </c>
      <c r="AV5">
        <f t="shared" si="1"/>
        <v>25</v>
      </c>
      <c r="AW5">
        <f t="shared" si="1"/>
        <v>25</v>
      </c>
      <c r="AX5">
        <f t="shared" si="1"/>
        <v>25</v>
      </c>
      <c r="AY5">
        <f t="shared" si="1"/>
        <v>25</v>
      </c>
      <c r="AZ5">
        <f t="shared" si="1"/>
        <v>25</v>
      </c>
      <c r="BA5">
        <f t="shared" si="1"/>
        <v>25</v>
      </c>
      <c r="BB5">
        <f t="shared" si="1"/>
        <v>25</v>
      </c>
      <c r="BC5">
        <f t="shared" si="1"/>
        <v>25</v>
      </c>
      <c r="BD5">
        <f t="shared" si="1"/>
        <v>25</v>
      </c>
      <c r="BE5">
        <f t="shared" si="1"/>
        <v>25</v>
      </c>
      <c r="BF5">
        <f t="shared" si="1"/>
        <v>25</v>
      </c>
      <c r="BG5">
        <f t="shared" si="1"/>
        <v>25</v>
      </c>
      <c r="BH5">
        <f t="shared" si="1"/>
        <v>25</v>
      </c>
      <c r="BI5">
        <f t="shared" si="1"/>
        <v>25</v>
      </c>
      <c r="BJ5">
        <f t="shared" si="1"/>
        <v>25</v>
      </c>
      <c r="BK5">
        <f t="shared" si="1"/>
        <v>25</v>
      </c>
      <c r="BL5">
        <f t="shared" si="1"/>
        <v>25</v>
      </c>
      <c r="BM5">
        <f t="shared" si="1"/>
        <v>25</v>
      </c>
    </row>
    <row r="6" spans="1:65" x14ac:dyDescent="0.25">
      <c r="A6" s="82"/>
      <c r="B6" s="82" t="s">
        <v>187</v>
      </c>
      <c r="C6" s="82"/>
      <c r="D6" t="s">
        <v>189</v>
      </c>
      <c r="E6">
        <f>1</f>
        <v>1</v>
      </c>
      <c r="F6">
        <f>1</f>
        <v>1</v>
      </c>
      <c r="G6">
        <f>1</f>
        <v>1</v>
      </c>
      <c r="H6">
        <f>1</f>
        <v>1</v>
      </c>
      <c r="I6">
        <f>1</f>
        <v>1</v>
      </c>
      <c r="J6">
        <f>1</f>
        <v>1</v>
      </c>
      <c r="K6">
        <f>1</f>
        <v>1</v>
      </c>
      <c r="L6">
        <f>1</f>
        <v>1</v>
      </c>
      <c r="M6">
        <f>1</f>
        <v>1</v>
      </c>
      <c r="N6">
        <f>1</f>
        <v>1</v>
      </c>
      <c r="O6">
        <f>1</f>
        <v>1</v>
      </c>
      <c r="P6">
        <f>1</f>
        <v>1</v>
      </c>
      <c r="Q6">
        <f>1</f>
        <v>1</v>
      </c>
      <c r="R6">
        <f>1</f>
        <v>1</v>
      </c>
      <c r="S6">
        <f>1</f>
        <v>1</v>
      </c>
      <c r="T6">
        <f>1</f>
        <v>1</v>
      </c>
      <c r="U6">
        <f>1</f>
        <v>1</v>
      </c>
      <c r="V6">
        <f>1</f>
        <v>1</v>
      </c>
      <c r="W6">
        <f>1</f>
        <v>1</v>
      </c>
      <c r="X6">
        <f>1</f>
        <v>1</v>
      </c>
      <c r="Y6">
        <f>1</f>
        <v>1</v>
      </c>
      <c r="Z6">
        <f>1</f>
        <v>1</v>
      </c>
      <c r="AA6">
        <f>1</f>
        <v>1</v>
      </c>
      <c r="AB6">
        <f>1</f>
        <v>1</v>
      </c>
      <c r="AC6">
        <f>1</f>
        <v>1</v>
      </c>
      <c r="AD6">
        <f>1</f>
        <v>1</v>
      </c>
      <c r="AE6">
        <f>1</f>
        <v>1</v>
      </c>
      <c r="AF6">
        <f>1</f>
        <v>1</v>
      </c>
      <c r="AG6">
        <f>1</f>
        <v>1</v>
      </c>
      <c r="AH6">
        <f>1</f>
        <v>1</v>
      </c>
      <c r="AI6">
        <f>1</f>
        <v>1</v>
      </c>
      <c r="AJ6">
        <f>1</f>
        <v>1</v>
      </c>
      <c r="AK6">
        <f>1</f>
        <v>1</v>
      </c>
      <c r="AL6">
        <f>1</f>
        <v>1</v>
      </c>
      <c r="AM6">
        <f>1</f>
        <v>1</v>
      </c>
      <c r="AN6">
        <f>1</f>
        <v>1</v>
      </c>
      <c r="AO6">
        <f>1</f>
        <v>1</v>
      </c>
      <c r="AP6">
        <f>1</f>
        <v>1</v>
      </c>
      <c r="AQ6">
        <f>1</f>
        <v>1</v>
      </c>
      <c r="AR6">
        <f>1</f>
        <v>1</v>
      </c>
      <c r="AS6">
        <f>1</f>
        <v>1</v>
      </c>
      <c r="AT6">
        <f>1</f>
        <v>1</v>
      </c>
      <c r="AU6">
        <f>1</f>
        <v>1</v>
      </c>
      <c r="AV6">
        <f>1</f>
        <v>1</v>
      </c>
      <c r="AW6">
        <f>1</f>
        <v>1</v>
      </c>
      <c r="AX6">
        <f>1</f>
        <v>1</v>
      </c>
      <c r="AY6">
        <f>1</f>
        <v>1</v>
      </c>
      <c r="AZ6">
        <f>1</f>
        <v>1</v>
      </c>
      <c r="BA6">
        <f>1</f>
        <v>1</v>
      </c>
      <c r="BB6">
        <f>1</f>
        <v>1</v>
      </c>
      <c r="BC6">
        <f>1</f>
        <v>1</v>
      </c>
      <c r="BD6">
        <f>1</f>
        <v>1</v>
      </c>
      <c r="BE6">
        <f>1</f>
        <v>1</v>
      </c>
      <c r="BF6">
        <f>1</f>
        <v>1</v>
      </c>
      <c r="BG6">
        <f>1</f>
        <v>1</v>
      </c>
      <c r="BH6">
        <f>1</f>
        <v>1</v>
      </c>
      <c r="BI6">
        <f>1</f>
        <v>1</v>
      </c>
      <c r="BJ6">
        <f>1</f>
        <v>1</v>
      </c>
      <c r="BK6">
        <f>1</f>
        <v>1</v>
      </c>
      <c r="BL6">
        <f>1</f>
        <v>1</v>
      </c>
      <c r="BM6">
        <f>1</f>
        <v>1</v>
      </c>
    </row>
    <row r="7" spans="1:65" x14ac:dyDescent="0.25">
      <c r="A7" s="82"/>
      <c r="B7" s="82" t="s">
        <v>188</v>
      </c>
      <c r="C7" s="82"/>
      <c r="D7" t="s">
        <v>189</v>
      </c>
      <c r="E7">
        <f>0.5*E2</f>
        <v>1.5</v>
      </c>
      <c r="F7">
        <f t="shared" ref="F7:BM7" si="2">0.5*F2</f>
        <v>3</v>
      </c>
      <c r="G7">
        <f t="shared" si="2"/>
        <v>6</v>
      </c>
      <c r="H7">
        <f t="shared" si="2"/>
        <v>6.5</v>
      </c>
      <c r="I7">
        <f t="shared" si="2"/>
        <v>7</v>
      </c>
      <c r="J7">
        <f t="shared" si="2"/>
        <v>7.5</v>
      </c>
      <c r="K7">
        <f t="shared" si="2"/>
        <v>8</v>
      </c>
      <c r="L7">
        <f t="shared" si="2"/>
        <v>8.5</v>
      </c>
      <c r="M7">
        <f t="shared" si="2"/>
        <v>9</v>
      </c>
      <c r="N7">
        <f t="shared" si="2"/>
        <v>9.5</v>
      </c>
      <c r="O7">
        <f t="shared" si="2"/>
        <v>10</v>
      </c>
      <c r="P7">
        <f t="shared" si="2"/>
        <v>10.5</v>
      </c>
      <c r="Q7">
        <f t="shared" si="2"/>
        <v>11</v>
      </c>
      <c r="R7">
        <f t="shared" si="2"/>
        <v>11.5</v>
      </c>
      <c r="S7">
        <f t="shared" si="2"/>
        <v>12</v>
      </c>
      <c r="T7">
        <f t="shared" si="2"/>
        <v>12.5</v>
      </c>
      <c r="U7">
        <f t="shared" si="2"/>
        <v>13</v>
      </c>
      <c r="V7">
        <f t="shared" si="2"/>
        <v>13.5</v>
      </c>
      <c r="W7">
        <f t="shared" si="2"/>
        <v>14</v>
      </c>
      <c r="X7">
        <f t="shared" si="2"/>
        <v>14.5</v>
      </c>
      <c r="Y7">
        <f t="shared" si="2"/>
        <v>15</v>
      </c>
      <c r="Z7">
        <f t="shared" si="2"/>
        <v>15.5</v>
      </c>
      <c r="AA7">
        <f t="shared" si="2"/>
        <v>16</v>
      </c>
      <c r="AB7">
        <f t="shared" si="2"/>
        <v>16.5</v>
      </c>
      <c r="AC7">
        <f t="shared" si="2"/>
        <v>17</v>
      </c>
      <c r="AD7">
        <f t="shared" si="2"/>
        <v>17.5</v>
      </c>
      <c r="AE7">
        <f t="shared" si="2"/>
        <v>18</v>
      </c>
      <c r="AF7">
        <f t="shared" si="2"/>
        <v>18.5</v>
      </c>
      <c r="AG7">
        <f t="shared" si="2"/>
        <v>19</v>
      </c>
      <c r="AH7">
        <f t="shared" si="2"/>
        <v>19.5</v>
      </c>
      <c r="AI7">
        <f t="shared" si="2"/>
        <v>20</v>
      </c>
      <c r="AJ7">
        <f t="shared" si="2"/>
        <v>20.5</v>
      </c>
      <c r="AK7">
        <f t="shared" si="2"/>
        <v>21</v>
      </c>
      <c r="AL7">
        <f t="shared" si="2"/>
        <v>21.5</v>
      </c>
      <c r="AM7">
        <f t="shared" si="2"/>
        <v>22</v>
      </c>
      <c r="AN7">
        <f t="shared" si="2"/>
        <v>22.5</v>
      </c>
      <c r="AO7">
        <f t="shared" si="2"/>
        <v>23</v>
      </c>
      <c r="AP7">
        <f t="shared" si="2"/>
        <v>23.5</v>
      </c>
      <c r="AQ7">
        <f t="shared" si="2"/>
        <v>24</v>
      </c>
      <c r="AR7">
        <f t="shared" si="2"/>
        <v>24.5</v>
      </c>
      <c r="AS7">
        <f t="shared" si="2"/>
        <v>25</v>
      </c>
      <c r="AT7">
        <f t="shared" si="2"/>
        <v>25</v>
      </c>
      <c r="AU7">
        <f t="shared" si="2"/>
        <v>25</v>
      </c>
      <c r="AV7">
        <f t="shared" si="2"/>
        <v>25</v>
      </c>
      <c r="AW7">
        <f t="shared" si="2"/>
        <v>25</v>
      </c>
      <c r="AX7">
        <f t="shared" si="2"/>
        <v>25</v>
      </c>
      <c r="AY7">
        <f t="shared" si="2"/>
        <v>25</v>
      </c>
      <c r="AZ7">
        <f t="shared" si="2"/>
        <v>25</v>
      </c>
      <c r="BA7">
        <f t="shared" si="2"/>
        <v>25</v>
      </c>
      <c r="BB7">
        <f t="shared" si="2"/>
        <v>25</v>
      </c>
      <c r="BC7">
        <f t="shared" si="2"/>
        <v>25</v>
      </c>
      <c r="BD7">
        <f t="shared" si="2"/>
        <v>25</v>
      </c>
      <c r="BE7">
        <f t="shared" si="2"/>
        <v>25</v>
      </c>
      <c r="BF7">
        <f t="shared" si="2"/>
        <v>25</v>
      </c>
      <c r="BG7">
        <f t="shared" si="2"/>
        <v>25</v>
      </c>
      <c r="BH7">
        <f t="shared" si="2"/>
        <v>25</v>
      </c>
      <c r="BI7">
        <f t="shared" si="2"/>
        <v>25</v>
      </c>
      <c r="BJ7">
        <f t="shared" si="2"/>
        <v>25</v>
      </c>
      <c r="BK7">
        <f t="shared" si="2"/>
        <v>25</v>
      </c>
      <c r="BL7">
        <f t="shared" si="2"/>
        <v>25</v>
      </c>
      <c r="BM7">
        <f t="shared" si="2"/>
        <v>25</v>
      </c>
    </row>
  </sheetData>
  <mergeCells count="3">
    <mergeCell ref="A5:A7"/>
    <mergeCell ref="B6:C6"/>
    <mergeCell ref="B7:C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2606-7387-493D-A956-8B3FF1D6234A}">
  <dimension ref="A1:Q37"/>
  <sheetViews>
    <sheetView workbookViewId="0">
      <selection activeCell="C22" sqref="C22"/>
    </sheetView>
  </sheetViews>
  <sheetFormatPr defaultRowHeight="16.5" x14ac:dyDescent="0.25"/>
  <cols>
    <col min="1" max="1" width="24.625" style="65" customWidth="1"/>
    <col min="2" max="2" width="9" style="65"/>
    <col min="5" max="5" width="9" style="66"/>
    <col min="6" max="6" width="16.625" customWidth="1"/>
    <col min="7" max="9" width="9" style="65"/>
    <col min="10" max="10" width="16.625" style="65" customWidth="1"/>
  </cols>
  <sheetData>
    <row r="1" spans="1:17" x14ac:dyDescent="0.25">
      <c r="J1" s="65" t="s">
        <v>128</v>
      </c>
    </row>
    <row r="2" spans="1:17" x14ac:dyDescent="0.25">
      <c r="A2" s="82" t="s">
        <v>116</v>
      </c>
      <c r="B2" s="65" t="s">
        <v>117</v>
      </c>
      <c r="C2" s="37">
        <v>2500</v>
      </c>
      <c r="E2" s="66" t="s">
        <v>119</v>
      </c>
      <c r="F2" s="65" t="s">
        <v>123</v>
      </c>
      <c r="G2" s="46">
        <f>IF(C3&lt;&gt;0,1,0)</f>
        <v>1</v>
      </c>
      <c r="H2" s="65" t="s">
        <v>124</v>
      </c>
      <c r="I2" s="46">
        <f>IF(C3&gt;L2,L2,MOD(C3,1000))</f>
        <v>1000</v>
      </c>
      <c r="J2" s="65" t="s">
        <v>129</v>
      </c>
      <c r="L2">
        <v>1000</v>
      </c>
      <c r="M2">
        <f>IF($C$3-L2&gt;0,1,0)</f>
        <v>1</v>
      </c>
      <c r="O2">
        <v>1000</v>
      </c>
      <c r="P2">
        <f>IF($C$21-O2&gt;0,1,0)</f>
        <v>1</v>
      </c>
      <c r="Q2">
        <f>IF(C21&gt;O2,O2,MOD(C21,1000))</f>
        <v>1000</v>
      </c>
    </row>
    <row r="3" spans="1:17" x14ac:dyDescent="0.25">
      <c r="A3" s="82"/>
      <c r="B3" s="65" t="s">
        <v>118</v>
      </c>
      <c r="C3" s="37">
        <v>2000</v>
      </c>
      <c r="F3" s="65" t="s">
        <v>123</v>
      </c>
      <c r="G3" s="46">
        <f>IF(M2&lt;&gt;0,L2+1,0)</f>
        <v>1001</v>
      </c>
      <c r="H3" s="65" t="s">
        <v>124</v>
      </c>
      <c r="I3" s="46">
        <f>IF(M3&lt;&gt;0,L3,IF(M2&lt;&gt;0,C3-L2+I2,0))</f>
        <v>2000</v>
      </c>
      <c r="J3" s="65" t="s">
        <v>129</v>
      </c>
      <c r="L3">
        <v>2000</v>
      </c>
      <c r="M3">
        <f>IF($C$3-L3&gt;0,1,0)</f>
        <v>0</v>
      </c>
      <c r="O3">
        <v>2000</v>
      </c>
      <c r="P3">
        <f>IF($C$21-O3&gt;0,1,0)</f>
        <v>1</v>
      </c>
      <c r="Q3">
        <f>IF(P3&lt;&gt;0,O3,IF(P2&lt;&gt;0,C21-O2+Q2,0))</f>
        <v>2000</v>
      </c>
    </row>
    <row r="4" spans="1:17" x14ac:dyDescent="0.25">
      <c r="F4" s="65" t="s">
        <v>123</v>
      </c>
      <c r="G4" s="46">
        <f>IF(M3&lt;&gt;0,L3+1,0)</f>
        <v>0</v>
      </c>
      <c r="H4" s="65" t="s">
        <v>124</v>
      </c>
      <c r="I4" s="46">
        <f>IF(M4&lt;&gt;0,L4,IF(M3&lt;&gt;0,C3-L3+I3,0))</f>
        <v>0</v>
      </c>
      <c r="J4" s="65" t="s">
        <v>129</v>
      </c>
      <c r="L4">
        <v>3000</v>
      </c>
      <c r="M4">
        <f>IF($C$3-L4&gt;0,1,0)</f>
        <v>0</v>
      </c>
      <c r="O4">
        <v>3000</v>
      </c>
      <c r="P4">
        <f>IF($C$21-O4&gt;0,1,0)</f>
        <v>0</v>
      </c>
      <c r="Q4">
        <f>IF(P4&lt;&gt;0,O4,IF(P3&lt;&gt;0,C21-O3+Q3,0))</f>
        <v>2500</v>
      </c>
    </row>
    <row r="5" spans="1:17" x14ac:dyDescent="0.25">
      <c r="F5" s="65" t="s">
        <v>123</v>
      </c>
      <c r="G5" s="46">
        <f>IF(M4&lt;&gt;0,L4+1,0)</f>
        <v>0</v>
      </c>
      <c r="H5" s="65" t="s">
        <v>124</v>
      </c>
      <c r="I5" s="46">
        <f>IF(M5&lt;&gt;0,L5,IF(M4&lt;&gt;0,C3-L4+I4,0))</f>
        <v>0</v>
      </c>
      <c r="J5" s="65" t="s">
        <v>129</v>
      </c>
      <c r="L5">
        <v>4000</v>
      </c>
      <c r="M5">
        <f>IF($C$3-L5&gt;0,1,0)</f>
        <v>0</v>
      </c>
      <c r="O5">
        <v>4000</v>
      </c>
      <c r="P5">
        <f>IF($C$21-O5&gt;0,1,0)</f>
        <v>0</v>
      </c>
      <c r="Q5">
        <f>IF(P5&lt;&gt;0,O5,IF(P4&lt;&gt;0,C21-O4+Q4,0))</f>
        <v>0</v>
      </c>
    </row>
    <row r="6" spans="1:17" x14ac:dyDescent="0.25">
      <c r="F6" s="65" t="s">
        <v>123</v>
      </c>
      <c r="G6" s="46">
        <f>IF(M5&lt;&gt;0,L5+1,0)</f>
        <v>0</v>
      </c>
      <c r="H6" s="65" t="s">
        <v>124</v>
      </c>
      <c r="I6" s="46">
        <f>IF(M6&lt;&gt;0,L6,IF(M5&lt;&gt;0,C3-L5+I5,0))</f>
        <v>0</v>
      </c>
      <c r="J6" s="65" t="s">
        <v>129</v>
      </c>
      <c r="L6">
        <v>5000</v>
      </c>
      <c r="M6">
        <f>IF($C$3-L6&gt;0,1,0)</f>
        <v>0</v>
      </c>
      <c r="O6">
        <v>5000</v>
      </c>
      <c r="P6">
        <f>IF($C$21-O6&gt;0,1,0)</f>
        <v>0</v>
      </c>
      <c r="Q6">
        <f>IF(P6&lt;&gt;0,O6,IF(P5&lt;&gt;0,C21-O5+Q5,0))</f>
        <v>0</v>
      </c>
    </row>
    <row r="7" spans="1:17" x14ac:dyDescent="0.25">
      <c r="F7" s="65" t="s">
        <v>125</v>
      </c>
      <c r="G7" s="46">
        <f>I2</f>
        <v>1000</v>
      </c>
      <c r="I7" s="47"/>
      <c r="J7" s="65" t="s">
        <v>130</v>
      </c>
    </row>
    <row r="8" spans="1:17" x14ac:dyDescent="0.25">
      <c r="F8" s="65" t="s">
        <v>125</v>
      </c>
      <c r="G8" s="46">
        <f t="shared" ref="G8:G11" si="0">I3</f>
        <v>2000</v>
      </c>
      <c r="I8" s="47"/>
      <c r="J8" s="65" t="s">
        <v>130</v>
      </c>
    </row>
    <row r="9" spans="1:17" x14ac:dyDescent="0.25">
      <c r="F9" s="65" t="s">
        <v>125</v>
      </c>
      <c r="G9" s="46">
        <f t="shared" si="0"/>
        <v>0</v>
      </c>
      <c r="I9" s="47"/>
      <c r="J9" s="65" t="s">
        <v>130</v>
      </c>
    </row>
    <row r="10" spans="1:17" x14ac:dyDescent="0.25">
      <c r="F10" s="65" t="s">
        <v>125</v>
      </c>
      <c r="G10" s="46">
        <f t="shared" si="0"/>
        <v>0</v>
      </c>
      <c r="I10" s="47"/>
      <c r="J10" s="65" t="s">
        <v>130</v>
      </c>
    </row>
    <row r="11" spans="1:17" x14ac:dyDescent="0.25">
      <c r="F11" s="65" t="s">
        <v>125</v>
      </c>
      <c r="G11" s="46">
        <f t="shared" si="0"/>
        <v>0</v>
      </c>
      <c r="I11" s="47"/>
      <c r="J11" s="65" t="s">
        <v>130</v>
      </c>
    </row>
    <row r="13" spans="1:17" x14ac:dyDescent="0.25">
      <c r="E13" s="66" t="s">
        <v>121</v>
      </c>
      <c r="F13" s="65" t="s">
        <v>116</v>
      </c>
      <c r="G13" s="46">
        <f>C3</f>
        <v>2000</v>
      </c>
      <c r="I13" s="47"/>
    </row>
    <row r="14" spans="1:17" x14ac:dyDescent="0.25">
      <c r="C14" s="65"/>
      <c r="D14" s="65"/>
      <c r="F14" s="65" t="s">
        <v>126</v>
      </c>
      <c r="G14" s="46">
        <f>I2</f>
        <v>1000</v>
      </c>
      <c r="H14" s="65" t="s">
        <v>127</v>
      </c>
      <c r="I14" s="46">
        <f>IF(G14&lt;&gt;0,C3-G14,0)</f>
        <v>1000</v>
      </c>
      <c r="J14" s="65" t="s">
        <v>129</v>
      </c>
    </row>
    <row r="15" spans="1:17" x14ac:dyDescent="0.25">
      <c r="C15" s="65"/>
      <c r="D15" s="65"/>
      <c r="F15" s="65" t="s">
        <v>126</v>
      </c>
      <c r="G15" s="46">
        <f>I3</f>
        <v>2000</v>
      </c>
      <c r="H15" s="65" t="s">
        <v>127</v>
      </c>
      <c r="I15" s="46">
        <f>IF(G15&lt;&gt;0,C3-G15,0)</f>
        <v>0</v>
      </c>
      <c r="J15" s="65" t="s">
        <v>129</v>
      </c>
    </row>
    <row r="16" spans="1:17" x14ac:dyDescent="0.25">
      <c r="C16" s="65"/>
      <c r="D16" s="65"/>
      <c r="F16" s="65" t="s">
        <v>126</v>
      </c>
      <c r="G16" s="46">
        <f>I4</f>
        <v>0</v>
      </c>
      <c r="H16" s="65" t="s">
        <v>127</v>
      </c>
      <c r="I16" s="46">
        <f>IF(G16&lt;&gt;0,C3-G16,0)</f>
        <v>0</v>
      </c>
      <c r="J16" s="65" t="s">
        <v>129</v>
      </c>
    </row>
    <row r="17" spans="1:10" x14ac:dyDescent="0.25">
      <c r="C17" s="65"/>
      <c r="D17" s="65"/>
      <c r="F17" s="65" t="s">
        <v>126</v>
      </c>
      <c r="G17" s="46">
        <f>I5</f>
        <v>0</v>
      </c>
      <c r="H17" s="65" t="s">
        <v>127</v>
      </c>
      <c r="I17" s="46">
        <f>IF(G17&lt;&gt;0,C3-G17,0)</f>
        <v>0</v>
      </c>
      <c r="J17" s="65" t="s">
        <v>129</v>
      </c>
    </row>
    <row r="18" spans="1:10" x14ac:dyDescent="0.25">
      <c r="C18" s="65"/>
      <c r="D18" s="65"/>
      <c r="F18" s="65" t="s">
        <v>126</v>
      </c>
      <c r="G18" s="46">
        <f>I6</f>
        <v>0</v>
      </c>
      <c r="H18" s="65" t="s">
        <v>127</v>
      </c>
      <c r="I18" s="46">
        <f>IF(G18&lt;&gt;0,C3-G18,0)</f>
        <v>0</v>
      </c>
      <c r="J18" s="65" t="s">
        <v>129</v>
      </c>
    </row>
    <row r="20" spans="1:10" x14ac:dyDescent="0.25">
      <c r="A20" s="82" t="s">
        <v>122</v>
      </c>
      <c r="B20" s="65" t="s">
        <v>117</v>
      </c>
      <c r="C20" s="37">
        <v>2000</v>
      </c>
      <c r="E20" s="66" t="s">
        <v>119</v>
      </c>
      <c r="F20" s="65" t="s">
        <v>123</v>
      </c>
      <c r="G20" s="46">
        <f>IF(I20&lt;&gt;0,C22,0)</f>
        <v>2501</v>
      </c>
      <c r="H20" s="65" t="s">
        <v>124</v>
      </c>
      <c r="I20" s="46">
        <f>G32</f>
        <v>3500</v>
      </c>
      <c r="J20" s="65" t="s">
        <v>129</v>
      </c>
    </row>
    <row r="21" spans="1:10" x14ac:dyDescent="0.25">
      <c r="A21" s="82"/>
      <c r="B21" s="65" t="s">
        <v>118</v>
      </c>
      <c r="C21" s="37">
        <v>2500</v>
      </c>
      <c r="F21" s="65" t="s">
        <v>123</v>
      </c>
      <c r="G21" s="46">
        <f>IF(I21&lt;&gt;0,G20+1000,0)</f>
        <v>3501</v>
      </c>
      <c r="H21" s="65" t="s">
        <v>124</v>
      </c>
      <c r="I21" s="46">
        <f>G33</f>
        <v>4500</v>
      </c>
      <c r="J21" s="65" t="s">
        <v>129</v>
      </c>
    </row>
    <row r="22" spans="1:10" x14ac:dyDescent="0.25">
      <c r="A22" s="82" t="s">
        <v>134</v>
      </c>
      <c r="B22" s="82"/>
      <c r="C22" s="37">
        <v>2501</v>
      </c>
      <c r="F22" s="65" t="s">
        <v>123</v>
      </c>
      <c r="G22" s="46">
        <f>IF(I22&lt;&gt;0,G21+1000,0)</f>
        <v>4501</v>
      </c>
      <c r="H22" s="65" t="s">
        <v>124</v>
      </c>
      <c r="I22" s="46">
        <f>G34</f>
        <v>5000</v>
      </c>
      <c r="J22" s="65" t="s">
        <v>129</v>
      </c>
    </row>
    <row r="23" spans="1:10" x14ac:dyDescent="0.25">
      <c r="A23" s="82" t="s">
        <v>133</v>
      </c>
      <c r="B23" s="82"/>
      <c r="C23" s="37">
        <v>1000</v>
      </c>
      <c r="F23" s="65" t="s">
        <v>123</v>
      </c>
      <c r="G23" s="46">
        <f>IF(I23&lt;&gt;0,G22+1000,0)</f>
        <v>0</v>
      </c>
      <c r="H23" s="65" t="s">
        <v>124</v>
      </c>
      <c r="I23" s="46">
        <f>G35</f>
        <v>0</v>
      </c>
      <c r="J23" s="65" t="s">
        <v>129</v>
      </c>
    </row>
    <row r="24" spans="1:10" x14ac:dyDescent="0.25">
      <c r="F24" s="65" t="s">
        <v>125</v>
      </c>
      <c r="G24" s="46">
        <f>G32</f>
        <v>3500</v>
      </c>
      <c r="J24" s="65" t="s">
        <v>130</v>
      </c>
    </row>
    <row r="25" spans="1:10" x14ac:dyDescent="0.25">
      <c r="F25" s="65" t="s">
        <v>125</v>
      </c>
      <c r="G25" s="46">
        <f>G33</f>
        <v>4500</v>
      </c>
      <c r="J25" s="65" t="s">
        <v>130</v>
      </c>
    </row>
    <row r="26" spans="1:10" x14ac:dyDescent="0.25">
      <c r="F26" s="65" t="s">
        <v>125</v>
      </c>
      <c r="G26" s="46">
        <f>G34</f>
        <v>5000</v>
      </c>
      <c r="J26" s="65" t="s">
        <v>130</v>
      </c>
    </row>
    <row r="27" spans="1:10" x14ac:dyDescent="0.25">
      <c r="F27" s="65" t="s">
        <v>125</v>
      </c>
      <c r="G27" s="46">
        <f>G35</f>
        <v>0</v>
      </c>
      <c r="J27" s="65" t="s">
        <v>130</v>
      </c>
    </row>
    <row r="28" spans="1:10" x14ac:dyDescent="0.25">
      <c r="F28" s="65" t="s">
        <v>125</v>
      </c>
      <c r="G28" s="46">
        <f>G37</f>
        <v>5000</v>
      </c>
      <c r="J28" s="65" t="s">
        <v>130</v>
      </c>
    </row>
    <row r="30" spans="1:10" x14ac:dyDescent="0.25">
      <c r="E30" s="66" t="s">
        <v>120</v>
      </c>
      <c r="F30" s="65" t="s">
        <v>131</v>
      </c>
      <c r="G30" s="46">
        <f>C21</f>
        <v>2500</v>
      </c>
      <c r="H30" s="65" t="s">
        <v>132</v>
      </c>
    </row>
    <row r="31" spans="1:10" x14ac:dyDescent="0.25">
      <c r="F31" s="65" t="s">
        <v>126</v>
      </c>
      <c r="G31" s="46">
        <f>IF(C22&lt;&gt;0,C22-1,0)</f>
        <v>2500</v>
      </c>
      <c r="H31" s="65" t="s">
        <v>127</v>
      </c>
      <c r="I31" s="46">
        <f>IF(Q2&lt;&gt;0,C21,0)</f>
        <v>2500</v>
      </c>
      <c r="J31" s="65" t="s">
        <v>129</v>
      </c>
    </row>
    <row r="32" spans="1:10" x14ac:dyDescent="0.25">
      <c r="F32" s="65" t="s">
        <v>126</v>
      </c>
      <c r="G32" s="46">
        <f>IF(Q2&lt;&gt;0,G31+Q2,0)</f>
        <v>3500</v>
      </c>
      <c r="H32" s="65" t="s">
        <v>127</v>
      </c>
      <c r="I32" s="46">
        <f>IF(Q3&lt;&gt;0,C21-Q2,0)</f>
        <v>1500</v>
      </c>
      <c r="J32" s="65" t="s">
        <v>129</v>
      </c>
    </row>
    <row r="33" spans="6:10" x14ac:dyDescent="0.25">
      <c r="F33" s="65" t="s">
        <v>126</v>
      </c>
      <c r="G33" s="46">
        <f>IF(Q3&lt;&gt;0,G31+Q3,0)</f>
        <v>4500</v>
      </c>
      <c r="H33" s="65" t="s">
        <v>127</v>
      </c>
      <c r="I33" s="46">
        <f>IF(Q4&lt;&gt;0,C21-Q3,0)</f>
        <v>500</v>
      </c>
      <c r="J33" s="65" t="s">
        <v>129</v>
      </c>
    </row>
    <row r="34" spans="6:10" x14ac:dyDescent="0.25">
      <c r="F34" s="65" t="s">
        <v>126</v>
      </c>
      <c r="G34" s="46">
        <f>IF(Q4&lt;&gt;0,G31+Q4,0)</f>
        <v>5000</v>
      </c>
      <c r="H34" s="65" t="s">
        <v>127</v>
      </c>
      <c r="I34" s="46">
        <f>IF(Q5&lt;&gt;0,C21-Q4,0)</f>
        <v>0</v>
      </c>
      <c r="J34" s="65" t="s">
        <v>129</v>
      </c>
    </row>
    <row r="35" spans="6:10" x14ac:dyDescent="0.25">
      <c r="F35" s="65" t="s">
        <v>126</v>
      </c>
      <c r="G35" s="46">
        <f>IF(Q5&lt;&gt;0,G31+Q5,0)</f>
        <v>0</v>
      </c>
      <c r="H35" s="65" t="s">
        <v>127</v>
      </c>
      <c r="I35" s="46">
        <f>IF(Q6&lt;&gt;0,C21-Q5,0)</f>
        <v>0</v>
      </c>
      <c r="J35" s="65" t="s">
        <v>129</v>
      </c>
    </row>
    <row r="36" spans="6:10" x14ac:dyDescent="0.25">
      <c r="F36" s="65" t="s">
        <v>131</v>
      </c>
      <c r="G36" s="46">
        <f>C23</f>
        <v>1000</v>
      </c>
      <c r="H36" s="65" t="s">
        <v>132</v>
      </c>
      <c r="I36" s="47"/>
      <c r="J36" s="65" t="s">
        <v>130</v>
      </c>
    </row>
    <row r="37" spans="6:10" x14ac:dyDescent="0.25">
      <c r="F37" s="65" t="s">
        <v>126</v>
      </c>
      <c r="G37" s="46">
        <f>IF(I37&lt;&gt;0,MAX(G31:G35),0)</f>
        <v>5000</v>
      </c>
      <c r="H37" s="65" t="s">
        <v>127</v>
      </c>
      <c r="I37" s="46">
        <f>C23</f>
        <v>1000</v>
      </c>
      <c r="J37" s="65" t="s">
        <v>129</v>
      </c>
    </row>
  </sheetData>
  <mergeCells count="4">
    <mergeCell ref="A2:A3"/>
    <mergeCell ref="A20:A21"/>
    <mergeCell ref="A22:B22"/>
    <mergeCell ref="A2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Questions</vt:lpstr>
      <vt:lpstr>calDistVec</vt:lpstr>
      <vt:lpstr>calTriDistVec</vt:lpstr>
      <vt:lpstr>linkStateRouting</vt:lpstr>
      <vt:lpstr>routeTableUpdate</vt:lpstr>
      <vt:lpstr>routeTableGate</vt:lpstr>
      <vt:lpstr>HTTP obj and RTT delay time</vt:lpstr>
      <vt:lpstr>Avg access delay</vt:lpstr>
      <vt:lpstr>Road trip times</vt:lpstr>
      <vt:lpstr>Sender &amp; Receiver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2022-04-01T15:11:46Z</dcterms:created>
  <dcterms:modified xsi:type="dcterms:W3CDTF">2022-05-03T08:20:41Z</dcterms:modified>
</cp:coreProperties>
</file>