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mclaughlin/Library/CloudStorage/OneDrive-SubtvU/Alex-McLaughlin/Loyality Scheme/"/>
    </mc:Choice>
  </mc:AlternateContent>
  <xr:revisionPtr revIDLastSave="0" documentId="13_ncr:1_{B90E3E6D-4A8C-7C48-A226-A4F07F129BEF}" xr6:coauthVersionLast="47" xr6:coauthVersionMax="47" xr10:uidLastSave="{00000000-0000-0000-0000-000000000000}"/>
  <bookViews>
    <workbookView xWindow="0" yWindow="760" windowWidth="30240" windowHeight="17720" xr2:uid="{A0095DDC-8E5F-8542-BAAD-5C4BF5024C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" l="1"/>
  <c r="G14" i="1"/>
  <c r="H14" i="1"/>
  <c r="F14" i="1"/>
  <c r="G13" i="1"/>
  <c r="H13" i="1"/>
  <c r="F13" i="1"/>
  <c r="G17" i="1"/>
  <c r="G19" i="1" s="1"/>
  <c r="G20" i="1" s="1"/>
  <c r="H17" i="1"/>
  <c r="H19" i="1" s="1"/>
  <c r="H20" i="1" s="1"/>
  <c r="M13" i="1"/>
  <c r="N13" i="1" s="1"/>
  <c r="O13" i="1" s="1"/>
  <c r="O11" i="1"/>
  <c r="M11" i="1"/>
  <c r="M2" i="1" l="1"/>
  <c r="N11" i="1"/>
  <c r="M9" i="1"/>
  <c r="O9" i="1" s="1"/>
  <c r="O7" i="1"/>
  <c r="N7" i="1"/>
  <c r="M7" i="1"/>
  <c r="N4" i="1"/>
  <c r="O2" i="1"/>
  <c r="O4" i="1" s="1"/>
  <c r="M4" i="1"/>
  <c r="F17" i="1"/>
  <c r="F19" i="1" s="1"/>
  <c r="F20" i="1" s="1"/>
  <c r="F21" i="1" s="1"/>
  <c r="G21" i="1"/>
  <c r="H21" i="1"/>
  <c r="F7" i="1"/>
  <c r="G7" i="1"/>
  <c r="H7" i="1"/>
  <c r="G4" i="1"/>
  <c r="H2" i="1"/>
  <c r="H4" i="1" s="1"/>
  <c r="F2" i="1"/>
  <c r="F4" i="1" s="1"/>
  <c r="H8" i="1" l="1"/>
  <c r="H22" i="1" s="1"/>
  <c r="O8" i="1"/>
  <c r="O10" i="1" s="1"/>
  <c r="N9" i="1"/>
  <c r="N8" i="1"/>
  <c r="M8" i="1"/>
  <c r="M10" i="1" s="1"/>
  <c r="M12" i="1" s="1"/>
  <c r="M14" i="1" s="1"/>
  <c r="M16" i="1" s="1"/>
  <c r="M18" i="1" s="1"/>
  <c r="G8" i="1"/>
  <c r="G22" i="1" s="1"/>
  <c r="F8" i="1"/>
  <c r="F22" i="1" s="1"/>
  <c r="M21" i="1" l="1"/>
  <c r="M22" i="1" s="1"/>
  <c r="H23" i="1"/>
  <c r="N10" i="1"/>
  <c r="N12" i="1" s="1"/>
  <c r="N14" i="1" s="1"/>
  <c r="N16" i="1" s="1"/>
  <c r="N18" i="1" s="1"/>
  <c r="O12" i="1"/>
  <c r="O14" i="1" s="1"/>
  <c r="O16" i="1" s="1"/>
  <c r="O18" i="1" s="1"/>
  <c r="G23" i="1"/>
  <c r="F23" i="1" l="1"/>
  <c r="O21" i="1"/>
  <c r="O22" i="1" s="1"/>
  <c r="N21" i="1"/>
  <c r="N22" i="1" s="1"/>
</calcChain>
</file>

<file path=xl/sharedStrings.xml><?xml version="1.0" encoding="utf-8"?>
<sst xmlns="http://schemas.openxmlformats.org/spreadsheetml/2006/main" count="77" uniqueCount="65">
  <si>
    <t>Conversion to Customers</t>
  </si>
  <si>
    <t>Active App Users</t>
  </si>
  <si>
    <t>Conversion to App Users</t>
  </si>
  <si>
    <t>Rockbox Population</t>
  </si>
  <si>
    <t>Rockbox Conversion Rate</t>
  </si>
  <si>
    <t>Visitors to Subtv Venues</t>
  </si>
  <si>
    <t>https://www.rockboxadvertising.com/</t>
  </si>
  <si>
    <t>App Users From Subtv</t>
  </si>
  <si>
    <t>App Users From Rockbox</t>
  </si>
  <si>
    <t>Percentage Spend on Fashion</t>
  </si>
  <si>
    <t>Academic Weeks</t>
  </si>
  <si>
    <t>Average Purchase Value</t>
  </si>
  <si>
    <t>Average Yearly Spend Fashion</t>
  </si>
  <si>
    <t>Total Spend ASOS Subtv</t>
  </si>
  <si>
    <t>Weekly Spend on Fashion</t>
  </si>
  <si>
    <t>Number ASOS Transactions Subtv</t>
  </si>
  <si>
    <t>Average Customer Yearly Spend ASOS</t>
  </si>
  <si>
    <t xml:space="preserve">https://asos-12954-s3.s3.eu-west-2.amazonaws.com/files/4217/3191/1842/ASOS_Annual_Report_2024.pdf </t>
  </si>
  <si>
    <t>Pessimistic</t>
  </si>
  <si>
    <t>Likely</t>
  </si>
  <si>
    <t>Optimistic</t>
  </si>
  <si>
    <t>Total Sessions</t>
  </si>
  <si>
    <t>In the market</t>
  </si>
  <si>
    <t>Studentbeans</t>
  </si>
  <si>
    <t>10% full price items</t>
  </si>
  <si>
    <t xml:space="preserve">https://www.studentbeans.com/student-discount/uk/asos?source=quick_search&amp;searchQueryId=e46e49e5d69f59618232ecb36ef8903a&amp;searchObjectId=61942&amp;offer=0-student-discount-b6753ca9-566e-4f28-9cab-0ef4e8917b0e  </t>
  </si>
  <si>
    <t>Totum</t>
  </si>
  <si>
    <t xml:space="preserve">https://www.myunidays.com/GB/en-GB/partners/fadb9026-1d7f-44ce-8e0c-b5e4085ede90/view </t>
  </si>
  <si>
    <t>Unidays</t>
  </si>
  <si>
    <t xml:space="preserve">https://totum.com/discount/asos/10-offer </t>
  </si>
  <si>
    <t>Sessions Per Customer</t>
  </si>
  <si>
    <t>Proportion Active Sessions</t>
  </si>
  <si>
    <t>Total Active Sessions</t>
  </si>
  <si>
    <t>Impressions Per Active Session</t>
  </si>
  <si>
    <t>Total Impressions</t>
  </si>
  <si>
    <t>Percentage ASOS Impressions</t>
  </si>
  <si>
    <t>ASOS Impressions</t>
  </si>
  <si>
    <t>50 brands approx on tillo, therefore 2% each but will promote ASOS</t>
  </si>
  <si>
    <t>Conversion Rate</t>
  </si>
  <si>
    <t>Average Order Value</t>
  </si>
  <si>
    <t>Total ASOS Sales</t>
  </si>
  <si>
    <t>Column1</t>
  </si>
  <si>
    <t>Click Through Rate</t>
  </si>
  <si>
    <t>ASOS Views</t>
  </si>
  <si>
    <t>ASOS Market Share (Real World)</t>
  </si>
  <si>
    <t>ASOS Market Share on Subtv</t>
  </si>
  <si>
    <t>Average Yearly Spend Fashion Subtv (Active Customers)</t>
  </si>
  <si>
    <t>Average Number Fashion Gaftcards Per Year (Active Customers)</t>
  </si>
  <si>
    <t>https://www.speedcommerce.com/insights/ecommerce-benchmarks-conversion-rates-by-industry-over-by-year/</t>
  </si>
  <si>
    <t>Average Yearly Spend ASOS Subtv (Active Customers)</t>
  </si>
  <si>
    <t>UCAS</t>
  </si>
  <si>
    <t>Factored up 30% due to smaller market</t>
  </si>
  <si>
    <t>Average Yearly Purchases (Customers)</t>
  </si>
  <si>
    <t xml:space="preserve">Info From </t>
  </si>
  <si>
    <t>Brand</t>
  </si>
  <si>
    <t>Discount</t>
  </si>
  <si>
    <t>Boohoo.com</t>
  </si>
  <si>
    <t>FatFace</t>
  </si>
  <si>
    <t>Foot Locker</t>
  </si>
  <si>
    <t>Matalan</t>
  </si>
  <si>
    <t>Not on The High Street</t>
  </si>
  <si>
    <t>Primark</t>
  </si>
  <si>
    <t>River Island</t>
  </si>
  <si>
    <t>Superdry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</si>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</sst>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&quot;£&quot;#,##0.00"/>
    <numFmt numFmtId="166" formatCode="0.0"/>
    <numFmt numFmtId="167" formatCode="&quot;£&quot;#,##0"/>
  </numFmts>
  <fonts count="7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Calibri"/>
      <family val="2"/>
    </font>
    <font>
      <b/>
      <sz val="14"/>
      <color theme="1"/>
      <name val="Aptos Narrow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0" borderId="0" xfId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1" fontId="2" fillId="0" borderId="0" xfId="0" applyNumberFormat="1" applyFont="1"/>
    <xf numFmtId="0" fontId="3" fillId="0" borderId="0" xfId="0" applyFo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167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0" applyFont="1"/>
    <xf numFmtId="167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6" fontId="6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14"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1513840</xdr:colOff>
      <xdr:row>9</xdr:row>
      <xdr:rowOff>40640</xdr:rowOff>
    </xdr:from>
    <xdr:to>
      <xdr:col>2</xdr:col>
      <xdr:colOff>411480</xdr:colOff>
      <xdr:row>16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925A9E-1C99-2A9F-1144-2E4A187E4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3840" y="1869440"/>
          <a:ext cx="1935480" cy="1549400"/>
        </a:xfrm>
        <a:prstGeom prst="rect">
          <a:avLst/>
        </a:prstGeom>
      </xdr:spPr>
    </xdr:pic>
    <xdr:clientData/>
  </xdr:twoCellAnchor>
  <xdr:twoCellAnchor>
    <xdr:from>
      <xdr:col>8</xdr:col>
      <xdr:colOff>250152</xdr:colOff>
      <xdr:row>20</xdr:row>
      <xdr:rowOff>9621</xdr:rowOff>
    </xdr:from>
    <xdr:to>
      <xdr:col>8</xdr:col>
      <xdr:colOff>721591</xdr:colOff>
      <xdr:row>25</xdr:row>
      <xdr:rowOff>144318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79102D9-DBD8-E572-A09E-3AEBAA9D8759}"/>
            </a:ext>
          </a:extLst>
        </xdr:cNvPr>
        <xdr:cNvCxnSpPr/>
      </xdr:nvCxnSpPr>
      <xdr:spPr>
        <a:xfrm>
          <a:off x="11728258" y="4050530"/>
          <a:ext cx="471439" cy="1260379"/>
        </a:xfrm>
        <a:prstGeom prst="straightConnector1">
          <a:avLst/>
        </a:prstGeom>
        <a:ln w="38100">
          <a:solidFill>
            <a:srgbClr val="7030A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8752E7-4379-4E4B-AF12-DDED6F5DA79C}" name="Table1" displayName="Table1" ref="E1:H23" totalsRowShown="0">
  <autoFilter ref="E1:H23" xr:uid="{F48752E7-4379-4E4B-AF12-DDED6F5DA79C}"/>
  <tableColumns count="4">
    <tableColumn id="1" xr3:uid="{518D7F3D-62A8-8741-A135-79C976D1848C}" name="Column1"/>
    <tableColumn id="2" xr3:uid="{15885B75-A5DE-0541-B966-6FD06E9FF2AE}" name="Pessimistic" dataDxfId="13"/>
    <tableColumn id="3" xr3:uid="{753D3EEE-4AE2-7140-AA84-7D4D0E47B005}" name="Likely" dataDxfId="12"/>
    <tableColumn id="4" xr3:uid="{7FB7FDD2-BC57-584C-9A24-1132D54E8284}" name="Optimistic" dataDxfId="1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A67F96-0A11-E14E-A21A-F583E73D3EA7}" name="Table2" displayName="Table2" ref="L1:P22" totalsRowShown="0" headerRowDxfId="10" dataDxfId="9">
  <autoFilter ref="L1:P22" xr:uid="{DDA67F96-0A11-E14E-A21A-F583E73D3EA7}"/>
  <tableColumns count="5">
    <tableColumn id="1" xr3:uid="{70240E8F-9647-9443-BC52-5922B0C73132}" name="Column1" dataDxfId="8"/>
    <tableColumn id="2" xr3:uid="{0E467C07-020D-FF4D-BC44-14F5D0B67063}" name="Pessimistic" dataDxfId="7"/>
    <tableColumn id="3" xr3:uid="{63B56CA1-7EDC-CC43-878E-925429763187}" name="Likely" dataDxfId="6"/>
    <tableColumn id="4" xr3:uid="{91FE7774-526B-4240-8DD8-32ACEDFEF41D}" name="Optimistic" dataDxfId="5"/>
    <tableColumn id="5" xr3:uid="{EA300B35-0C13-1946-AD1C-30E08E6B8E9E}" name="Column2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75A0D7-3747-704C-A448-6C6F196AE969}" name="Table24" displayName="Table24" ref="I27:J35" totalsRowShown="0" dataDxfId="4" tableBorderDxfId="3">
  <autoFilter ref="I27:J35" xr:uid="{2675A0D7-3747-704C-A448-6C6F196AE969}"/>
  <tableColumns count="2">
    <tableColumn id="1" xr3:uid="{ECF93E29-F768-5545-8600-B1AD534626BA}" name="Brand" dataDxfId="2"/>
    <tableColumn id="2" xr3:uid="{2A4BC554-D55F-CC4A-A1A1-80355DCDB266}" name="Discount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totum.com/discount/asos/10-offer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myunidays.com/GB/en-GB/partners/fadb9026-1d7f-44ce-8e0c-b5e4085ede90/view" TargetMode="External"/><Relationship Id="rId1" Type="http://schemas.openxmlformats.org/officeDocument/2006/relationships/hyperlink" Target="https://www.studentbeans.com/student-discount/uk/asos?source=quick_search&amp;searchQueryId=e46e49e5d69f59618232ecb36ef8903a&amp;searchObjectId=61942&amp;offer=0-student-discount-b6753ca9-566e-4f28-9cab-0ef4e8917b0e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rockboxadvertising.com/" TargetMode="External"/><Relationship Id="rId4" Type="http://schemas.openxmlformats.org/officeDocument/2006/relationships/hyperlink" Target="https://asos-12954-s3.s3.eu-west-2.amazonaws.com/files/4217/3191/1842/ASOS_Annual_Report_2024.pdf" TargetMode="Externa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E73A-F259-E94B-B600-4AEF6EA281B8}">
  <dimension ref="A1:U36"/>
  <sheetViews>
    <sheetView tabSelected="1" zoomScale="125" workbookViewId="0">
      <selection sqref="A1:C24"/>
    </sheetView>
  </sheetViews>
  <sheetFormatPr baseColWidth="10" defaultRowHeight="16" x14ac:dyDescent="0.2"/>
  <cols>
    <col min="1" max="1" width="29" customWidth="1"/>
    <col min="5" max="5" width="53.5" bestFit="1" customWidth="1"/>
    <col min="6" max="6" width="12.6640625" customWidth="1"/>
    <col min="8" max="8" width="12" customWidth="1"/>
    <col min="12" max="12" width="26" bestFit="1" customWidth="1"/>
    <col min="13" max="13" width="12.6640625" customWidth="1"/>
    <col min="14" max="14" width="11.33203125" bestFit="1" customWidth="1"/>
    <col min="15" max="15" width="12" customWidth="1"/>
  </cols>
  <sheetData>
    <row r="1" spans="1:21" x14ac:dyDescent="0.2">
      <c r="E1" t="s">
        <v>41</v>
      </c>
      <c r="F1" t="s">
        <v>18</v>
      </c>
      <c r="G1" t="s">
        <v>19</v>
      </c>
      <c r="H1" t="s">
        <v>20</v>
      </c>
      <c r="I1" t="s">
        <v>53</v>
      </c>
      <c r="L1" t="s">
        <v>41</v>
      </c>
      <c r="M1" t="s">
        <v>18</v>
      </c>
      <c r="N1" t="s">
        <v>19</v>
      </c>
      <c r="O1" t="s">
        <v>20</v>
      </c>
      <c r="P1" s="29" t="s">
        <v>64</v>
      </c>
      <c r="S1" t="s">
        <v>22</v>
      </c>
    </row>
    <row r="2" spans="1:21" x14ac:dyDescent="0.2">
      <c r="B2" s="1"/>
      <c r="E2" t="s">
        <v>5</v>
      </c>
      <c r="F2" s="10">
        <f>0.95*G2</f>
        <v>682884.7</v>
      </c>
      <c r="G2" s="10">
        <v>718826</v>
      </c>
      <c r="H2" s="11">
        <f>1.05*G2</f>
        <v>754767.3</v>
      </c>
      <c r="L2" t="s">
        <v>5</v>
      </c>
      <c r="M2" s="10">
        <f>0.95*N2</f>
        <v>682884.7</v>
      </c>
      <c r="N2" s="10">
        <v>718826</v>
      </c>
      <c r="O2" s="11">
        <f>1.05*N2</f>
        <v>754767.3</v>
      </c>
      <c r="P2" s="28"/>
      <c r="S2" t="s">
        <v>23</v>
      </c>
      <c r="T2" t="s">
        <v>24</v>
      </c>
      <c r="U2" s="3" t="s">
        <v>25</v>
      </c>
    </row>
    <row r="3" spans="1:21" x14ac:dyDescent="0.2">
      <c r="B3" s="4"/>
      <c r="E3" t="s">
        <v>2</v>
      </c>
      <c r="F3" s="12">
        <v>2.5000000000000001E-2</v>
      </c>
      <c r="G3" s="12">
        <v>3.5000000000000003E-2</v>
      </c>
      <c r="H3" s="12">
        <v>4.4999999999999998E-2</v>
      </c>
      <c r="L3" t="s">
        <v>2</v>
      </c>
      <c r="M3" s="12">
        <v>2.5000000000000001E-2</v>
      </c>
      <c r="N3" s="12">
        <v>3.5000000000000003E-2</v>
      </c>
      <c r="O3" s="12">
        <v>4.4999999999999998E-2</v>
      </c>
      <c r="P3" s="28"/>
      <c r="S3" t="s">
        <v>28</v>
      </c>
      <c r="T3" s="2">
        <v>0.1</v>
      </c>
      <c r="U3" s="3" t="s">
        <v>27</v>
      </c>
    </row>
    <row r="4" spans="1:21" x14ac:dyDescent="0.2">
      <c r="B4" s="1"/>
      <c r="C4" s="1"/>
      <c r="D4" s="1"/>
      <c r="E4" t="s">
        <v>7</v>
      </c>
      <c r="F4" s="10">
        <f t="shared" ref="F4:H4" si="0">F2*F3</f>
        <v>17072.1175</v>
      </c>
      <c r="G4" s="10">
        <f t="shared" si="0"/>
        <v>25158.910000000003</v>
      </c>
      <c r="H4" s="10">
        <f t="shared" si="0"/>
        <v>33964.5285</v>
      </c>
      <c r="L4" t="s">
        <v>7</v>
      </c>
      <c r="M4" s="10">
        <f>M2*M3</f>
        <v>17072.1175</v>
      </c>
      <c r="N4" s="10">
        <f>N2*N3</f>
        <v>25158.910000000003</v>
      </c>
      <c r="O4" s="10">
        <f>O2*O3</f>
        <v>33964.5285</v>
      </c>
      <c r="P4" s="28"/>
      <c r="S4" t="s">
        <v>26</v>
      </c>
      <c r="T4" s="2">
        <v>0.1</v>
      </c>
      <c r="U4" s="3" t="s">
        <v>29</v>
      </c>
    </row>
    <row r="5" spans="1:21" x14ac:dyDescent="0.2">
      <c r="B5" s="1"/>
      <c r="C5" s="3"/>
      <c r="E5" t="s">
        <v>3</v>
      </c>
      <c r="F5" s="10">
        <v>2000000</v>
      </c>
      <c r="G5" s="10">
        <v>2000000</v>
      </c>
      <c r="H5" s="10">
        <v>2000000</v>
      </c>
      <c r="I5" s="3" t="s">
        <v>6</v>
      </c>
      <c r="L5" t="s">
        <v>3</v>
      </c>
      <c r="M5" s="10">
        <v>2000000</v>
      </c>
      <c r="N5" s="10">
        <v>2000000</v>
      </c>
      <c r="O5" s="10">
        <v>2000000</v>
      </c>
      <c r="P5" s="28"/>
    </row>
    <row r="6" spans="1:21" x14ac:dyDescent="0.2">
      <c r="B6" s="4"/>
      <c r="E6" t="s">
        <v>4</v>
      </c>
      <c r="F6" s="12">
        <v>5.0000000000000001E-4</v>
      </c>
      <c r="G6" s="12">
        <v>1E-3</v>
      </c>
      <c r="H6" s="12">
        <v>2E-3</v>
      </c>
      <c r="L6" t="s">
        <v>4</v>
      </c>
      <c r="M6" s="12">
        <v>1E-3</v>
      </c>
      <c r="N6" s="12">
        <v>2E-3</v>
      </c>
      <c r="O6" s="12">
        <v>3.0000000000000001E-3</v>
      </c>
      <c r="P6" s="28"/>
    </row>
    <row r="7" spans="1:21" x14ac:dyDescent="0.2">
      <c r="B7" s="1"/>
      <c r="C7" s="1"/>
      <c r="D7" s="1"/>
      <c r="E7" t="s">
        <v>8</v>
      </c>
      <c r="F7" s="10">
        <f t="shared" ref="F7:H7" si="1">F5*F6</f>
        <v>1000</v>
      </c>
      <c r="G7" s="10">
        <f t="shared" si="1"/>
        <v>2000</v>
      </c>
      <c r="H7" s="10">
        <f t="shared" si="1"/>
        <v>4000</v>
      </c>
      <c r="L7" t="s">
        <v>8</v>
      </c>
      <c r="M7" s="10">
        <f>M5*M6</f>
        <v>2000</v>
      </c>
      <c r="N7" s="10">
        <f>N5*N6</f>
        <v>4000</v>
      </c>
      <c r="O7" s="10">
        <f>O5*O6</f>
        <v>6000</v>
      </c>
      <c r="P7" s="28"/>
    </row>
    <row r="8" spans="1:21" x14ac:dyDescent="0.2">
      <c r="B8" s="1"/>
      <c r="C8" s="1"/>
      <c r="D8" s="1"/>
      <c r="E8" t="s">
        <v>1</v>
      </c>
      <c r="F8" s="10">
        <f t="shared" ref="F8:G8" si="2">F4+F7</f>
        <v>18072.1175</v>
      </c>
      <c r="G8" s="10">
        <f t="shared" si="2"/>
        <v>27158.910000000003</v>
      </c>
      <c r="H8" s="10">
        <f>H4+H7</f>
        <v>37964.5285</v>
      </c>
      <c r="L8" t="s">
        <v>1</v>
      </c>
      <c r="M8" s="10">
        <f>M4+M7</f>
        <v>19072.1175</v>
      </c>
      <c r="N8" s="10">
        <f>N4+N7</f>
        <v>29158.910000000003</v>
      </c>
      <c r="O8" s="10">
        <f>O4+O7</f>
        <v>39964.5285</v>
      </c>
      <c r="P8" s="28"/>
    </row>
    <row r="9" spans="1:21" x14ac:dyDescent="0.2">
      <c r="E9" t="s">
        <v>0</v>
      </c>
      <c r="F9" s="15">
        <v>0.03</v>
      </c>
      <c r="G9" s="15">
        <v>0.05</v>
      </c>
      <c r="H9" s="15">
        <v>7.4999999999999997E-2</v>
      </c>
      <c r="I9" t="s">
        <v>48</v>
      </c>
      <c r="L9" t="s">
        <v>30</v>
      </c>
      <c r="M9" s="19">
        <f>176840/17755</f>
        <v>9.9600112644325538</v>
      </c>
      <c r="N9" s="19">
        <f>M9*1.05</f>
        <v>10.458011827654182</v>
      </c>
      <c r="O9" s="19">
        <f>M9*1.1</f>
        <v>10.956012390875809</v>
      </c>
      <c r="P9" s="28"/>
    </row>
    <row r="10" spans="1:21" x14ac:dyDescent="0.2">
      <c r="B10" s="5"/>
      <c r="E10" t="s">
        <v>52</v>
      </c>
      <c r="F10" s="11">
        <v>15</v>
      </c>
      <c r="G10" s="11">
        <v>20</v>
      </c>
      <c r="H10" s="11">
        <v>25</v>
      </c>
      <c r="L10" t="s">
        <v>21</v>
      </c>
      <c r="M10" s="10">
        <f>M9*M8</f>
        <v>189958.50513658125</v>
      </c>
      <c r="N10" s="10">
        <f>N9*N8</f>
        <v>304944.22566150385</v>
      </c>
      <c r="O10" s="10">
        <f>O9*O8</f>
        <v>437851.86944150942</v>
      </c>
      <c r="P10" s="28"/>
    </row>
    <row r="11" spans="1:21" x14ac:dyDescent="0.2">
      <c r="B11" s="4"/>
      <c r="E11" t="s">
        <v>11</v>
      </c>
      <c r="F11" s="13">
        <v>25</v>
      </c>
      <c r="G11" s="13">
        <v>30</v>
      </c>
      <c r="H11" s="13">
        <v>35</v>
      </c>
      <c r="L11" t="s">
        <v>31</v>
      </c>
      <c r="M11" s="12">
        <f>148254/176840</f>
        <v>0.83835105179823566</v>
      </c>
      <c r="N11" s="12">
        <f>148254/176840</f>
        <v>0.83835105179823566</v>
      </c>
      <c r="O11" s="12">
        <f>148254/176840</f>
        <v>0.83835105179823566</v>
      </c>
      <c r="P11" s="28"/>
    </row>
    <row r="12" spans="1:21" x14ac:dyDescent="0.2">
      <c r="B12" s="4"/>
      <c r="E12" t="s">
        <v>9</v>
      </c>
      <c r="F12" s="15">
        <v>0.17</v>
      </c>
      <c r="G12" s="15">
        <v>0.17</v>
      </c>
      <c r="H12" s="15">
        <v>0.17</v>
      </c>
      <c r="L12" t="s">
        <v>32</v>
      </c>
      <c r="M12" s="10">
        <f>M11*M10</f>
        <v>159251.91257927346</v>
      </c>
      <c r="N12" s="10">
        <f t="shared" ref="N12:O12" si="3">N11*N10</f>
        <v>255650.31232312028</v>
      </c>
      <c r="O12" s="10">
        <f t="shared" si="3"/>
        <v>367073.57527811319</v>
      </c>
      <c r="P12" s="28"/>
    </row>
    <row r="13" spans="1:21" x14ac:dyDescent="0.2">
      <c r="B13" s="5"/>
      <c r="C13" s="5"/>
      <c r="D13" s="5"/>
      <c r="E13" t="s">
        <v>47</v>
      </c>
      <c r="F13" s="11">
        <f>F10*F12</f>
        <v>2.5500000000000003</v>
      </c>
      <c r="G13" s="11">
        <f t="shared" ref="G13:H13" si="4">G10*G12</f>
        <v>3.4000000000000004</v>
      </c>
      <c r="H13" s="11">
        <f t="shared" si="4"/>
        <v>4.25</v>
      </c>
      <c r="J13" s="9"/>
      <c r="L13" t="s">
        <v>33</v>
      </c>
      <c r="M13" s="19">
        <f>2631874/148254</f>
        <v>17.75246536349778</v>
      </c>
      <c r="N13" s="19">
        <f>Table2[[#This Row],[Pessimistic]]+1</f>
        <v>18.75246536349778</v>
      </c>
      <c r="O13" s="19">
        <f>Table2[[#This Row],[Likely]]+1</f>
        <v>19.75246536349778</v>
      </c>
      <c r="P13" s="28"/>
    </row>
    <row r="14" spans="1:21" x14ac:dyDescent="0.2">
      <c r="B14" s="4"/>
      <c r="C14" s="4"/>
      <c r="D14" s="4"/>
      <c r="E14" t="s">
        <v>46</v>
      </c>
      <c r="F14" s="14">
        <f>F10*F11*F12</f>
        <v>63.750000000000007</v>
      </c>
      <c r="G14" s="14">
        <f t="shared" ref="G14:H14" si="5">G10*G11*G12</f>
        <v>102.00000000000001</v>
      </c>
      <c r="H14" s="14">
        <f t="shared" si="5"/>
        <v>148.75</v>
      </c>
      <c r="J14" s="9"/>
      <c r="L14" t="s">
        <v>34</v>
      </c>
      <c r="M14" s="10">
        <f>M13*M12</f>
        <v>2827114.0621343283</v>
      </c>
      <c r="N14" s="10">
        <f t="shared" ref="N14:O14" si="6">N13*N12</f>
        <v>4794073.6270067031</v>
      </c>
      <c r="O14" s="10">
        <f t="shared" si="6"/>
        <v>7250608.081536226</v>
      </c>
      <c r="P14" s="28"/>
    </row>
    <row r="15" spans="1:21" x14ac:dyDescent="0.2">
      <c r="B15" s="5"/>
      <c r="C15" s="5"/>
      <c r="D15" s="5"/>
      <c r="E15" t="s">
        <v>14</v>
      </c>
      <c r="F15" s="14">
        <v>37</v>
      </c>
      <c r="G15" s="14">
        <v>37</v>
      </c>
      <c r="H15" s="14">
        <v>37</v>
      </c>
      <c r="I15" t="s">
        <v>50</v>
      </c>
      <c r="L15" t="s">
        <v>35</v>
      </c>
      <c r="M15" s="12">
        <v>0.02</v>
      </c>
      <c r="N15" s="12">
        <v>0.04</v>
      </c>
      <c r="O15" s="12">
        <v>0.06</v>
      </c>
      <c r="P15" s="28" t="s">
        <v>37</v>
      </c>
    </row>
    <row r="16" spans="1:21" x14ac:dyDescent="0.2">
      <c r="A16" s="6"/>
      <c r="B16" s="7"/>
      <c r="C16" s="7"/>
      <c r="D16" s="7"/>
      <c r="E16" t="s">
        <v>10</v>
      </c>
      <c r="F16" s="11">
        <v>32</v>
      </c>
      <c r="G16" s="11">
        <v>32</v>
      </c>
      <c r="H16" s="11">
        <v>32</v>
      </c>
      <c r="L16" t="s">
        <v>36</v>
      </c>
      <c r="M16" s="10">
        <f>M14*M15</f>
        <v>56542.281242686564</v>
      </c>
      <c r="N16" s="10">
        <f t="shared" ref="N16:O16" si="7">N14*N15</f>
        <v>191762.94508026814</v>
      </c>
      <c r="O16" s="10">
        <f t="shared" si="7"/>
        <v>435036.48489217355</v>
      </c>
      <c r="P16" s="28"/>
    </row>
    <row r="17" spans="1:16" x14ac:dyDescent="0.2">
      <c r="A17" s="6"/>
      <c r="B17" s="8"/>
      <c r="C17" s="8"/>
      <c r="D17" s="8"/>
      <c r="E17" t="s">
        <v>12</v>
      </c>
      <c r="F17" s="14">
        <f t="shared" ref="F17" si="8">F15*F16</f>
        <v>1184</v>
      </c>
      <c r="G17" s="14">
        <f t="shared" ref="G17" si="9">G15*G16</f>
        <v>1184</v>
      </c>
      <c r="H17" s="14">
        <f t="shared" ref="H17" si="10">H15*H16</f>
        <v>1184</v>
      </c>
      <c r="L17" t="s">
        <v>42</v>
      </c>
      <c r="M17" s="12">
        <v>1.4999999999999999E-2</v>
      </c>
      <c r="N17" s="12">
        <v>0.02</v>
      </c>
      <c r="O17" s="12">
        <v>2.5000000000000001E-2</v>
      </c>
      <c r="P17" s="28"/>
    </row>
    <row r="18" spans="1:16" x14ac:dyDescent="0.2">
      <c r="B18" s="5"/>
      <c r="C18" s="5"/>
      <c r="D18" s="5"/>
      <c r="E18" t="s">
        <v>16</v>
      </c>
      <c r="F18" s="14">
        <v>214</v>
      </c>
      <c r="G18" s="14">
        <v>214</v>
      </c>
      <c r="H18" s="14">
        <v>214</v>
      </c>
      <c r="I18" s="3" t="s">
        <v>17</v>
      </c>
      <c r="L18" t="s">
        <v>43</v>
      </c>
      <c r="M18" s="20">
        <f>M16*M17</f>
        <v>848.1342186402984</v>
      </c>
      <c r="N18" s="20">
        <f t="shared" ref="N18:O18" si="11">N16*N17</f>
        <v>3835.258901605363</v>
      </c>
      <c r="O18" s="20">
        <f t="shared" si="11"/>
        <v>10875.91212230434</v>
      </c>
      <c r="P18" s="28"/>
    </row>
    <row r="19" spans="1:16" x14ac:dyDescent="0.2">
      <c r="E19" t="s">
        <v>44</v>
      </c>
      <c r="F19" s="15">
        <f>F18/F17</f>
        <v>0.18074324324324326</v>
      </c>
      <c r="G19" s="15">
        <f>G18/G17</f>
        <v>0.18074324324324326</v>
      </c>
      <c r="H19" s="15">
        <f>H18/H17</f>
        <v>0.18074324324324326</v>
      </c>
      <c r="L19" t="s">
        <v>38</v>
      </c>
      <c r="M19" s="21">
        <v>0.2</v>
      </c>
      <c r="N19" s="21">
        <v>0.25</v>
      </c>
      <c r="O19" s="21">
        <v>0.3</v>
      </c>
      <c r="P19" s="28"/>
    </row>
    <row r="20" spans="1:16" x14ac:dyDescent="0.2">
      <c r="B20" s="5"/>
      <c r="C20" s="5"/>
      <c r="D20" s="5"/>
      <c r="E20" t="s">
        <v>45</v>
      </c>
      <c r="F20" s="15">
        <f>F19*1.3</f>
        <v>0.23496621621621624</v>
      </c>
      <c r="G20" s="15">
        <f t="shared" ref="G20:H20" si="12">G19*1.3</f>
        <v>0.23496621621621624</v>
      </c>
      <c r="H20" s="15">
        <f t="shared" si="12"/>
        <v>0.23496621621621624</v>
      </c>
      <c r="I20" t="s">
        <v>51</v>
      </c>
      <c r="L20" t="s">
        <v>39</v>
      </c>
      <c r="M20" s="13">
        <v>25</v>
      </c>
      <c r="N20" s="13">
        <v>30</v>
      </c>
      <c r="O20" s="13">
        <v>35</v>
      </c>
      <c r="P20" s="28"/>
    </row>
    <row r="21" spans="1:16" ht="19" x14ac:dyDescent="0.25">
      <c r="B21" s="5"/>
      <c r="C21" s="3"/>
      <c r="E21" t="s">
        <v>49</v>
      </c>
      <c r="F21" s="14">
        <f>F14*F20</f>
        <v>14.979096283783788</v>
      </c>
      <c r="G21" s="14">
        <f>G14*G20</f>
        <v>23.966554054054061</v>
      </c>
      <c r="H21" s="14">
        <f>H14*H20</f>
        <v>34.951224662162168</v>
      </c>
      <c r="J21" s="1"/>
      <c r="K21" s="1"/>
      <c r="L21" s="22" t="s">
        <v>40</v>
      </c>
      <c r="M21" s="23">
        <f>M16*M17*M20*M19</f>
        <v>4240.6710932014921</v>
      </c>
      <c r="N21" s="23">
        <f>N16*N17*N20*N19</f>
        <v>28764.441762040224</v>
      </c>
      <c r="O21" s="23">
        <f>O16*O17*O20*O19</f>
        <v>114197.07728419556</v>
      </c>
      <c r="P21" s="28"/>
    </row>
    <row r="22" spans="1:16" ht="19" x14ac:dyDescent="0.25">
      <c r="E22" s="16" t="s">
        <v>13</v>
      </c>
      <c r="F22" s="17">
        <f>F21*F8*F9</f>
        <v>8121.1196425306189</v>
      </c>
      <c r="G22" s="17">
        <f t="shared" ref="G22:H22" si="13">G21*G8*G9</f>
        <v>32545.274228209473</v>
      </c>
      <c r="H22" s="17">
        <f t="shared" si="13"/>
        <v>99518.007359741881</v>
      </c>
      <c r="J22" s="3"/>
      <c r="L22" s="22" t="s">
        <v>15</v>
      </c>
      <c r="M22" s="24">
        <f>M21/M20</f>
        <v>169.6268437280597</v>
      </c>
      <c r="N22" s="24">
        <f t="shared" ref="N22:O22" si="14">N21/N20</f>
        <v>958.81472540134075</v>
      </c>
      <c r="O22" s="24">
        <f t="shared" si="14"/>
        <v>3262.7736366913018</v>
      </c>
      <c r="P22" s="28"/>
    </row>
    <row r="23" spans="1:16" ht="19" x14ac:dyDescent="0.25">
      <c r="E23" s="16" t="s">
        <v>15</v>
      </c>
      <c r="F23" s="18">
        <f>F22/F11</f>
        <v>324.84478570122474</v>
      </c>
      <c r="G23" s="18">
        <f>G22/G11</f>
        <v>1084.842474273649</v>
      </c>
      <c r="H23" s="18">
        <f>H22/H11</f>
        <v>2843.3716388497683</v>
      </c>
    </row>
    <row r="24" spans="1:16" x14ac:dyDescent="0.2">
      <c r="J24" s="1"/>
      <c r="K24" s="1"/>
    </row>
    <row r="25" spans="1:16" x14ac:dyDescent="0.2">
      <c r="J25" s="1"/>
      <c r="K25" s="1"/>
    </row>
    <row r="26" spans="1:16" x14ac:dyDescent="0.2">
      <c r="J26" s="9"/>
    </row>
    <row r="27" spans="1:16" x14ac:dyDescent="0.2">
      <c r="I27" t="s">
        <v>54</v>
      </c>
      <c r="J27" t="s">
        <v>55</v>
      </c>
    </row>
    <row r="28" spans="1:16" x14ac:dyDescent="0.2">
      <c r="I28" s="25" t="s">
        <v>56</v>
      </c>
      <c r="J28" s="26">
        <v>6</v>
      </c>
    </row>
    <row r="29" spans="1:16" x14ac:dyDescent="0.2">
      <c r="I29" s="25" t="s">
        <v>57</v>
      </c>
      <c r="J29" s="26">
        <v>9</v>
      </c>
    </row>
    <row r="30" spans="1:16" x14ac:dyDescent="0.2">
      <c r="I30" s="25" t="s">
        <v>58</v>
      </c>
      <c r="J30" s="26">
        <v>10</v>
      </c>
    </row>
    <row r="31" spans="1:16" x14ac:dyDescent="0.2">
      <c r="I31" s="25" t="s">
        <v>59</v>
      </c>
      <c r="J31" s="26">
        <v>8.5</v>
      </c>
    </row>
    <row r="32" spans="1:16" x14ac:dyDescent="0.2">
      <c r="I32" s="25" t="s">
        <v>60</v>
      </c>
      <c r="J32" s="26">
        <v>10</v>
      </c>
    </row>
    <row r="33" spans="9:10" x14ac:dyDescent="0.2">
      <c r="I33" s="25" t="s">
        <v>61</v>
      </c>
      <c r="J33" s="26">
        <v>8</v>
      </c>
    </row>
    <row r="34" spans="9:10" x14ac:dyDescent="0.2">
      <c r="I34" s="25" t="s">
        <v>62</v>
      </c>
      <c r="J34" s="26">
        <v>8.5</v>
      </c>
    </row>
    <row r="35" spans="9:10" x14ac:dyDescent="0.2">
      <c r="I35" s="25" t="s">
        <v>63</v>
      </c>
      <c r="J35" s="26">
        <v>7</v>
      </c>
    </row>
    <row r="36" spans="9:10" ht="22" x14ac:dyDescent="0.3">
      <c r="J36" s="27">
        <f>AVERAGE(J28:J35)</f>
        <v>8.375</v>
      </c>
    </row>
  </sheetData>
  <hyperlinks>
    <hyperlink ref="U2" r:id="rId1" xr:uid="{3F70E09F-A2D8-7B4B-8C6F-51BF62512ECC}"/>
    <hyperlink ref="U3" r:id="rId2" xr:uid="{FE13424D-DBBF-E746-9514-413D2865DFC3}"/>
    <hyperlink ref="U4" r:id="rId3" xr:uid="{F93776DA-60D8-E04E-AD93-DD3F6AA39F81}"/>
    <hyperlink ref="I18" r:id="rId4" xr:uid="{8CEA7267-693A-B04F-AB94-8CE6C4CE61E7}"/>
    <hyperlink ref="I5" r:id="rId5" xr:uid="{714DC32F-8B46-8B48-AB3B-4F98EE39C0E1}"/>
  </hyperlinks>
  <pageMargins left="0.7" right="0.7" top="0.75" bottom="0.75" header="0.3" footer="0.3"/>
  <pageSetup paperSize="9" orientation="portrait" horizontalDpi="0" verticalDpi="0"/>
  <drawing r:id="rId6"/>
  <tableParts count="3"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McLaughlin</dc:creator>
  <cp:lastModifiedBy>Alex McLaughlin</cp:lastModifiedBy>
  <dcterms:created xsi:type="dcterms:W3CDTF">2025-03-17T17:05:31Z</dcterms:created>
  <dcterms:modified xsi:type="dcterms:W3CDTF">2025-03-27T14:26:48Z</dcterms:modified>
</cp:coreProperties>
</file>