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willa\Downloads\"/>
    </mc:Choice>
  </mc:AlternateContent>
  <xr:revisionPtr revIDLastSave="0" documentId="13_ncr:1_{E657CFA2-11E6-45E2-8CD8-3C16AAC98B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Sheet1!$F$19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5" i="1"/>
  <c r="B4" i="1"/>
  <c r="C29" i="1"/>
  <c r="C9" i="1"/>
  <c r="C10" i="1"/>
  <c r="C8" i="1"/>
  <c r="C7" i="1"/>
  <c r="C6" i="1"/>
  <c r="B9" i="1"/>
  <c r="E28" i="1"/>
  <c r="E16" i="1"/>
  <c r="E11" i="1"/>
  <c r="E14" i="1" s="1"/>
  <c r="B10" i="1"/>
  <c r="B8" i="1"/>
  <c r="B7" i="1"/>
  <c r="B6" i="1"/>
  <c r="C5" i="1"/>
  <c r="C4" i="1"/>
  <c r="G3" i="1"/>
  <c r="E3" i="1"/>
  <c r="C3" i="1"/>
  <c r="B3" i="1"/>
  <c r="D16" i="1" l="1"/>
  <c r="D14" i="1"/>
  <c r="H3" i="1"/>
  <c r="D8" i="1" l="1"/>
  <c r="H5" i="1"/>
  <c r="D19" i="1" s="1"/>
  <c r="F11" i="1" l="1"/>
  <c r="G11" i="1" s="1"/>
  <c r="F14" i="1" s="1"/>
  <c r="G14" i="1" s="1"/>
  <c r="E8" i="1"/>
  <c r="F16" i="1" l="1"/>
  <c r="G16" i="1" s="1"/>
  <c r="E17" i="1" s="1"/>
  <c r="E19" i="1"/>
  <c r="F19" i="1" s="1"/>
  <c r="G18" i="1"/>
</calcChain>
</file>

<file path=xl/sharedStrings.xml><?xml version="1.0" encoding="utf-8"?>
<sst xmlns="http://schemas.openxmlformats.org/spreadsheetml/2006/main" count="64" uniqueCount="61">
  <si>
    <t>Mass and Volume of Components</t>
  </si>
  <si>
    <t>Enclosure Design Parameters</t>
  </si>
  <si>
    <t>Item</t>
  </si>
  <si>
    <t>Mass (kg)</t>
  </si>
  <si>
    <t>Volume(mm^3)</t>
  </si>
  <si>
    <t>Diameter(Sphere) (cm)</t>
  </si>
  <si>
    <t>Volume(Sphere) (cm^3)</t>
  </si>
  <si>
    <t>Flat Surface Knockdown (cm)</t>
  </si>
  <si>
    <t>Volume Knockdown (cm^3)</t>
  </si>
  <si>
    <t>Total Volume Profile (cm^3)</t>
  </si>
  <si>
    <t>Pressure</t>
  </si>
  <si>
    <t>Light</t>
  </si>
  <si>
    <t>Total volume profile (m^3)</t>
  </si>
  <si>
    <t>Dissolved O2</t>
  </si>
  <si>
    <t>Salinity</t>
  </si>
  <si>
    <t>Epoxy mass calculations</t>
  </si>
  <si>
    <t>Current (IMU)</t>
  </si>
  <si>
    <t>Volume (Epoxy) (cm^3)</t>
  </si>
  <si>
    <t>Mass Epoxy (kg)</t>
  </si>
  <si>
    <t>Radio</t>
  </si>
  <si>
    <t>Battery</t>
  </si>
  <si>
    <t>Void Calculations</t>
  </si>
  <si>
    <t>Qi Receiver</t>
  </si>
  <si>
    <t>Void Volume (cm^3)</t>
  </si>
  <si>
    <t>Void mass (kg)</t>
  </si>
  <si>
    <t>Volume Knockdown(epoxy) (cm^3)</t>
  </si>
  <si>
    <t>Mass Knocked down (epoxy) (kg)</t>
  </si>
  <si>
    <t>Structural</t>
  </si>
  <si>
    <t>Volume and Mass totals</t>
  </si>
  <si>
    <t>Component Mass</t>
  </si>
  <si>
    <t>Void Mass</t>
  </si>
  <si>
    <t>Epoxy Mass</t>
  </si>
  <si>
    <t>Total</t>
  </si>
  <si>
    <t xml:space="preserve">Component Volume </t>
  </si>
  <si>
    <t>Void Volume</t>
  </si>
  <si>
    <t>Epoxy Volume</t>
  </si>
  <si>
    <t>Volume Valid?</t>
  </si>
  <si>
    <t>Bouancy Force (N)</t>
  </si>
  <si>
    <t>Gravity Force (N)</t>
  </si>
  <si>
    <t>Delta</t>
  </si>
  <si>
    <t>Constants</t>
  </si>
  <si>
    <t xml:space="preserve">Name </t>
  </si>
  <si>
    <t>Value</t>
  </si>
  <si>
    <t>Units</t>
  </si>
  <si>
    <t>Acceleration, Gravity</t>
  </si>
  <si>
    <t>m/s^2</t>
  </si>
  <si>
    <t>Density, Water</t>
  </si>
  <si>
    <t>kg/m^3</t>
  </si>
  <si>
    <t>Density, Air, STP</t>
  </si>
  <si>
    <t>Design Constants</t>
  </si>
  <si>
    <t>Epoxy specific Density</t>
  </si>
  <si>
    <t>Epoxy Density</t>
  </si>
  <si>
    <t>Total Sub-Total (cm^3)</t>
  </si>
  <si>
    <t>Margin</t>
  </si>
  <si>
    <t>N/A</t>
  </si>
  <si>
    <t>Adjusted Estimate</t>
  </si>
  <si>
    <t>Notes: Calculation of spherical caps</t>
  </si>
  <si>
    <t>How this is adjusted: h = (D - c)/2</t>
  </si>
  <si>
    <t>Note: Archimedes Principle</t>
  </si>
  <si>
    <t>This shouldn't change with iterations unless the overall volume is changed</t>
  </si>
  <si>
    <t>Average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</si>
</sst>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2" fillId="0" borderId="0" xfId="0" applyFont="1" applyAlignment="1"/>
    <xf numFmtId="0" fontId="1" fillId="5" borderId="0" xfId="0" applyFont="1" applyFill="1" applyAlignment="1"/>
    <xf numFmtId="0" fontId="1" fillId="5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1" fillId="7" borderId="0" xfId="0" applyFont="1" applyFill="1" applyAlignment="1"/>
    <xf numFmtId="0" fontId="1" fillId="7" borderId="0" xfId="0" applyFont="1" applyFill="1"/>
    <xf numFmtId="0" fontId="1" fillId="8" borderId="0" xfId="0" applyFont="1" applyFill="1" applyAlignment="1"/>
    <xf numFmtId="0" fontId="1" fillId="8" borderId="0" xfId="0" applyFont="1" applyFill="1"/>
    <xf numFmtId="0" fontId="1" fillId="9" borderId="0" xfId="0" applyFont="1" applyFill="1" applyAlignment="1"/>
    <xf numFmtId="0" fontId="1" fillId="9" borderId="0" xfId="0" applyFont="1" applyFill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171450</xdr:rowOff>
    </xdr:from>
    <xdr:ext cx="3800475" cy="4943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48750" y="915625"/>
          <a:ext cx="3779400" cy="4925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How this works</a:t>
          </a:r>
          <a:endParaRPr sz="1400"/>
        </a:p>
        <a:p>
          <a:pPr marL="457200" lvl="0" indent="-317500" algn="l" rtl="0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Calculates the mass and volume of all the components, Electrical and structural</a:t>
          </a:r>
          <a:endParaRPr sz="1400"/>
        </a:p>
        <a:p>
          <a:pPr marL="457200" lvl="0" indent="-317500" algn="l" rtl="0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Based upon the total volume of electrical components and a set volume profile, it calculates the mass of the epoxy required to fill in the rest of the profile</a:t>
          </a:r>
          <a:endParaRPr sz="1400"/>
        </a:p>
        <a:p>
          <a:pPr marL="457200" lvl="0" indent="-317500" algn="l" rtl="0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Applies a factor of 1.5 to the mass to ensure bouancy.</a:t>
          </a:r>
          <a:endParaRPr sz="1400"/>
        </a:p>
        <a:p>
          <a:pPr marL="457200" lvl="0" indent="-317500" algn="l" rtl="0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Adjusts the amount of the volume of the profile that has to be “Void”, which is going to be considered as air at STP</a:t>
          </a:r>
          <a:endParaRPr sz="1400"/>
        </a:p>
        <a:p>
          <a:pPr marL="457200" lvl="0" indent="-317500" algn="l" rtl="0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Using the goal seek function, one can determine the amount of void required for a desired bouancy force</a:t>
          </a:r>
          <a:endParaRPr sz="1400"/>
        </a:p>
        <a:p>
          <a:pPr marL="457200" lvl="0" indent="-317500" algn="l" rtl="0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IF the volume of void required exceeds the volume profile minus the volume of the required components, then the design is void, and a new volume must be calculated</a:t>
          </a:r>
          <a:endParaRPr sz="1400"/>
        </a:p>
      </xdr:txBody>
    </xdr:sp>
    <xdr:clientData fLocksWithSheet="0"/>
  </xdr:oneCellAnchor>
  <xdr:oneCellAnchor>
    <xdr:from>
      <xdr:col>2</xdr:col>
      <xdr:colOff>990600</xdr:colOff>
      <xdr:row>60</xdr:row>
      <xdr:rowOff>85725</xdr:rowOff>
    </xdr:from>
    <xdr:ext cx="4286250" cy="23336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</xdr:row>
      <xdr:rowOff>171450</xdr:rowOff>
    </xdr:from>
    <xdr:ext cx="1228725" cy="31432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7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21.42578125" customWidth="1"/>
    <col min="2" max="2" width="29.28515625" customWidth="1"/>
    <col min="3" max="3" width="35.85546875" customWidth="1"/>
    <col min="4" max="4" width="22.140625" customWidth="1"/>
    <col min="5" max="5" width="32.140625" customWidth="1"/>
    <col min="6" max="6" width="30" customWidth="1"/>
    <col min="7" max="7" width="30.85546875" customWidth="1"/>
    <col min="8" max="8" width="25" customWidth="1"/>
    <col min="9" max="9" width="24.28515625" customWidth="1"/>
    <col min="10" max="10" width="16.7109375" customWidth="1"/>
    <col min="11" max="11" width="18.5703125" customWidth="1"/>
    <col min="12" max="12" width="22" customWidth="1"/>
    <col min="13" max="13" width="19.85546875" customWidth="1"/>
  </cols>
  <sheetData>
    <row r="1" spans="1:8" x14ac:dyDescent="0.2">
      <c r="A1" s="1" t="s">
        <v>0</v>
      </c>
      <c r="B1" s="2"/>
      <c r="C1" s="2"/>
      <c r="D1" s="3" t="s">
        <v>1</v>
      </c>
      <c r="E1" s="4"/>
      <c r="F1" s="4"/>
      <c r="G1" s="4"/>
      <c r="H1" s="4"/>
    </row>
    <row r="2" spans="1:8" x14ac:dyDescent="0.2">
      <c r="A2" s="1" t="s">
        <v>2</v>
      </c>
      <c r="B2" s="1" t="s">
        <v>3</v>
      </c>
      <c r="C2" s="1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1:8" x14ac:dyDescent="0.2">
      <c r="A3" s="5" t="s">
        <v>10</v>
      </c>
      <c r="B3" s="5">
        <f t="shared" ref="B3:B8" si="0">0.0105/2</f>
        <v>5.2500000000000003E-3</v>
      </c>
      <c r="C3" s="2">
        <f>(3.3/2)^2 * PI() * 2.75</f>
        <v>23.520711498345079</v>
      </c>
      <c r="D3" s="3">
        <v>6</v>
      </c>
      <c r="E3" s="4">
        <f>4/3 * PI() * (D3/2)^3</f>
        <v>113.09733552923254</v>
      </c>
      <c r="F3" s="3">
        <v>5.9</v>
      </c>
      <c r="G3" s="4">
        <f>((1/3) * PI() * ((D3-F3)/2)^2 * (3*D3/2 - ((D3-F3)/2)))*2</f>
        <v>4.6862090416047407E-2</v>
      </c>
      <c r="H3" s="4">
        <f>E3-G3</f>
        <v>113.0504734388165</v>
      </c>
    </row>
    <row r="4" spans="1:8" x14ac:dyDescent="0.2">
      <c r="A4" s="5" t="s">
        <v>11</v>
      </c>
      <c r="B4" s="5">
        <f>0.0105/2</f>
        <v>5.2500000000000003E-3</v>
      </c>
      <c r="C4" s="5">
        <f>25.3 * 17.7 * 4.5</f>
        <v>2015.145</v>
      </c>
      <c r="D4" s="4"/>
      <c r="E4" s="4"/>
      <c r="F4" s="4"/>
      <c r="G4" s="4"/>
      <c r="H4" s="3" t="s">
        <v>12</v>
      </c>
    </row>
    <row r="5" spans="1:8" x14ac:dyDescent="0.2">
      <c r="A5" s="6" t="s">
        <v>13</v>
      </c>
      <c r="B5" s="5">
        <f>0.0105/2</f>
        <v>5.2500000000000003E-3</v>
      </c>
      <c r="C5" s="5">
        <f>12 * 89  + 56 * 32</f>
        <v>2860</v>
      </c>
      <c r="D5" s="4"/>
      <c r="E5" s="4"/>
      <c r="F5" s="4"/>
      <c r="G5" s="4"/>
      <c r="H5" s="4">
        <f>H3* 10^-6</f>
        <v>1.1305047343881649E-4</v>
      </c>
    </row>
    <row r="6" spans="1:8" x14ac:dyDescent="0.2">
      <c r="A6" s="6" t="s">
        <v>14</v>
      </c>
      <c r="B6" s="5">
        <f t="shared" si="0"/>
        <v>5.2500000000000003E-3</v>
      </c>
      <c r="C6" s="7">
        <f>2.9 * 2.4 * 1</f>
        <v>6.96</v>
      </c>
      <c r="D6" s="8" t="s">
        <v>15</v>
      </c>
      <c r="E6" s="9"/>
      <c r="F6" s="9"/>
      <c r="G6" s="9"/>
      <c r="H6" s="9"/>
    </row>
    <row r="7" spans="1:8" x14ac:dyDescent="0.2">
      <c r="A7" s="5" t="s">
        <v>16</v>
      </c>
      <c r="B7" s="5">
        <f t="shared" si="0"/>
        <v>5.2500000000000003E-3</v>
      </c>
      <c r="C7" s="5">
        <f>26 * 17.8 * 4.6</f>
        <v>2128.88</v>
      </c>
      <c r="D7" s="8" t="s">
        <v>17</v>
      </c>
      <c r="E7" s="8" t="s">
        <v>18</v>
      </c>
      <c r="F7" s="9"/>
      <c r="G7" s="9"/>
      <c r="H7" s="9"/>
    </row>
    <row r="8" spans="1:8" x14ac:dyDescent="0.2">
      <c r="A8" s="5" t="s">
        <v>19</v>
      </c>
      <c r="B8" s="5">
        <f t="shared" si="0"/>
        <v>5.2500000000000003E-3</v>
      </c>
      <c r="C8" s="5">
        <f>51 * 23 * 8</f>
        <v>9384</v>
      </c>
      <c r="D8" s="9">
        <f>H3-C29</f>
        <v>85.904967727318152</v>
      </c>
      <c r="E8" s="9">
        <f>(D8*10^-6)*E28</f>
        <v>9.1642560521825719E-2</v>
      </c>
      <c r="F8" s="9"/>
      <c r="G8" s="9"/>
      <c r="H8" s="9"/>
    </row>
    <row r="9" spans="1:8" x14ac:dyDescent="0.2">
      <c r="A9" s="5" t="s">
        <v>20</v>
      </c>
      <c r="B9" s="5">
        <f>10.5 * 10^-3</f>
        <v>1.0500000000000001E-2</v>
      </c>
      <c r="C9" s="5">
        <f>29 * 36 * 4.75</f>
        <v>4959</v>
      </c>
      <c r="D9" s="10" t="s">
        <v>21</v>
      </c>
      <c r="E9" s="11"/>
      <c r="F9" s="11"/>
      <c r="G9" s="11"/>
      <c r="H9" s="11"/>
    </row>
    <row r="10" spans="1:8" x14ac:dyDescent="0.2">
      <c r="A10" s="5" t="s">
        <v>22</v>
      </c>
      <c r="B10" s="5">
        <f>0.0105/2</f>
        <v>5.2500000000000003E-3</v>
      </c>
      <c r="C10" s="5">
        <f>48 * 32 * 0.5</f>
        <v>768</v>
      </c>
      <c r="D10" s="10" t="s">
        <v>23</v>
      </c>
      <c r="E10" s="10" t="s">
        <v>24</v>
      </c>
      <c r="F10" s="10" t="s">
        <v>25</v>
      </c>
      <c r="G10" s="10" t="s">
        <v>26</v>
      </c>
      <c r="H10" s="11"/>
    </row>
    <row r="11" spans="1:8" x14ac:dyDescent="0.2">
      <c r="A11" s="1" t="s">
        <v>27</v>
      </c>
      <c r="B11" s="1">
        <v>0.75</v>
      </c>
      <c r="C11" s="2">
        <v>5000</v>
      </c>
      <c r="D11" s="10">
        <v>1102.5195445639881</v>
      </c>
      <c r="E11" s="11">
        <f>(D11*10^-6) * E25</f>
        <v>1.3505864420908854E-3</v>
      </c>
      <c r="F11" s="11">
        <f>D8-D11</f>
        <v>-1016.6145768366699</v>
      </c>
      <c r="G11" s="11">
        <f>F11*10^-6*E28</f>
        <v>-1.084514264423591</v>
      </c>
      <c r="H11" s="11"/>
    </row>
    <row r="12" spans="1:8" x14ac:dyDescent="0.2">
      <c r="A12" s="2"/>
      <c r="B12" s="2"/>
      <c r="C12" s="2"/>
      <c r="D12" s="12" t="s">
        <v>28</v>
      </c>
      <c r="E12" s="13"/>
      <c r="F12" s="13"/>
      <c r="G12" s="13"/>
      <c r="H12" s="13"/>
    </row>
    <row r="13" spans="1:8" x14ac:dyDescent="0.2">
      <c r="A13" s="2"/>
      <c r="B13" s="2"/>
      <c r="C13" s="2"/>
      <c r="D13" s="12" t="s">
        <v>29</v>
      </c>
      <c r="E13" s="12" t="s">
        <v>30</v>
      </c>
      <c r="F13" s="12" t="s">
        <v>31</v>
      </c>
      <c r="G13" s="12" t="s">
        <v>32</v>
      </c>
      <c r="H13" s="13"/>
    </row>
    <row r="14" spans="1:8" x14ac:dyDescent="0.2">
      <c r="A14" s="2"/>
      <c r="B14" s="2"/>
      <c r="C14" s="2"/>
      <c r="D14" s="13">
        <f>B29</f>
        <v>1.195875</v>
      </c>
      <c r="E14" s="13">
        <f>E11</f>
        <v>1.3505864420908854E-3</v>
      </c>
      <c r="F14" s="13">
        <f>G11</f>
        <v>-1.084514264423591</v>
      </c>
      <c r="G14" s="13">
        <f>SUM(D14:F14)</f>
        <v>0.11271132201849987</v>
      </c>
      <c r="H14" s="13"/>
    </row>
    <row r="15" spans="1:8" x14ac:dyDescent="0.2">
      <c r="A15" s="2"/>
      <c r="B15" s="2"/>
      <c r="C15" s="2"/>
      <c r="D15" s="12" t="s">
        <v>33</v>
      </c>
      <c r="E15" s="12" t="s">
        <v>34</v>
      </c>
      <c r="F15" s="12" t="s">
        <v>35</v>
      </c>
      <c r="G15" s="12" t="s">
        <v>32</v>
      </c>
      <c r="H15" s="13"/>
    </row>
    <row r="16" spans="1:8" x14ac:dyDescent="0.2">
      <c r="A16" s="2"/>
      <c r="B16" s="2"/>
      <c r="C16" s="2"/>
      <c r="D16" s="13">
        <f>C29</f>
        <v>27.145505711498341</v>
      </c>
      <c r="E16" s="13">
        <f>D11</f>
        <v>1102.5195445639881</v>
      </c>
      <c r="F16" s="13">
        <f>F11</f>
        <v>-1016.6145768366699</v>
      </c>
      <c r="G16" s="13">
        <f>SUM(D16:F16)</f>
        <v>113.05047343881654</v>
      </c>
      <c r="H16" s="13"/>
    </row>
    <row r="17" spans="1:7" x14ac:dyDescent="0.2">
      <c r="A17" s="2"/>
      <c r="B17" s="2"/>
      <c r="C17" s="2"/>
      <c r="D17" s="14" t="s">
        <v>36</v>
      </c>
      <c r="E17" s="15">
        <f>H3-G16</f>
        <v>0</v>
      </c>
      <c r="F17" s="15"/>
      <c r="G17" s="19" t="s">
        <v>60</v>
      </c>
    </row>
    <row r="18" spans="1:7" x14ac:dyDescent="0.2">
      <c r="A18" s="2"/>
      <c r="B18" s="2"/>
      <c r="C18" s="2"/>
      <c r="D18" s="14" t="s">
        <v>37</v>
      </c>
      <c r="E18" s="14" t="s">
        <v>38</v>
      </c>
      <c r="F18" s="14" t="s">
        <v>39</v>
      </c>
      <c r="G18">
        <f>G14/H5</f>
        <v>996.99999999999841</v>
      </c>
    </row>
    <row r="19" spans="1:7" x14ac:dyDescent="0.2">
      <c r="A19" s="2"/>
      <c r="B19" s="2"/>
      <c r="C19" s="2"/>
      <c r="D19" s="15">
        <f>E24*E23*H5</f>
        <v>1.1045709557813004</v>
      </c>
      <c r="E19" s="15">
        <f>G14*9.8</f>
        <v>1.1045709557812988</v>
      </c>
      <c r="F19" s="15">
        <f>D19-E19</f>
        <v>0</v>
      </c>
    </row>
    <row r="20" spans="1:7" x14ac:dyDescent="0.2">
      <c r="A20" s="2"/>
      <c r="B20" s="2"/>
      <c r="C20" s="2"/>
      <c r="D20" s="15"/>
      <c r="E20" s="15"/>
      <c r="F20" s="15"/>
    </row>
    <row r="21" spans="1:7" x14ac:dyDescent="0.2">
      <c r="A21" s="2"/>
      <c r="B21" s="2"/>
      <c r="C21" s="2"/>
      <c r="D21" s="16" t="s">
        <v>40</v>
      </c>
      <c r="E21" s="17"/>
      <c r="F21" s="17"/>
    </row>
    <row r="22" spans="1:7" x14ac:dyDescent="0.2">
      <c r="A22" s="2"/>
      <c r="B22" s="2"/>
      <c r="C22" s="2"/>
      <c r="D22" s="16" t="s">
        <v>41</v>
      </c>
      <c r="E22" s="16" t="s">
        <v>42</v>
      </c>
      <c r="F22" s="16" t="s">
        <v>43</v>
      </c>
    </row>
    <row r="23" spans="1:7" x14ac:dyDescent="0.2">
      <c r="A23" s="2"/>
      <c r="B23" s="2"/>
      <c r="C23" s="2"/>
      <c r="D23" s="16" t="s">
        <v>44</v>
      </c>
      <c r="E23" s="16">
        <v>9.8000000000000007</v>
      </c>
      <c r="F23" s="16" t="s">
        <v>45</v>
      </c>
    </row>
    <row r="24" spans="1:7" x14ac:dyDescent="0.2">
      <c r="A24" s="2"/>
      <c r="B24" s="2"/>
      <c r="C24" s="2"/>
      <c r="D24" s="16" t="s">
        <v>46</v>
      </c>
      <c r="E24" s="16">
        <v>997</v>
      </c>
      <c r="F24" s="16" t="s">
        <v>47</v>
      </c>
    </row>
    <row r="25" spans="1:7" x14ac:dyDescent="0.2">
      <c r="A25" s="2"/>
      <c r="B25" s="2"/>
      <c r="C25" s="2"/>
      <c r="D25" s="16" t="s">
        <v>48</v>
      </c>
      <c r="E25" s="16">
        <v>1.2250000000000001</v>
      </c>
      <c r="F25" s="16" t="s">
        <v>47</v>
      </c>
    </row>
    <row r="26" spans="1:7" x14ac:dyDescent="0.2">
      <c r="A26" s="2"/>
      <c r="B26" s="2"/>
      <c r="C26" s="2"/>
      <c r="D26" s="16" t="s">
        <v>49</v>
      </c>
      <c r="E26" s="17"/>
      <c r="F26" s="17"/>
    </row>
    <row r="27" spans="1:7" x14ac:dyDescent="0.2">
      <c r="A27" s="2"/>
      <c r="B27" s="2"/>
      <c r="C27" s="2"/>
      <c r="D27" s="16" t="s">
        <v>50</v>
      </c>
      <c r="E27" s="16">
        <v>1.07</v>
      </c>
      <c r="F27" s="17"/>
    </row>
    <row r="28" spans="1:7" x14ac:dyDescent="0.2">
      <c r="A28" s="2"/>
      <c r="B28" s="2"/>
      <c r="C28" s="2"/>
      <c r="D28" s="16" t="s">
        <v>51</v>
      </c>
      <c r="E28" s="17">
        <f>E27*E24</f>
        <v>1066.79</v>
      </c>
      <c r="F28" s="16" t="s">
        <v>47</v>
      </c>
    </row>
    <row r="29" spans="1:7" x14ac:dyDescent="0.2">
      <c r="A29" s="1" t="s">
        <v>52</v>
      </c>
      <c r="B29" s="2">
        <f>SUM(B3:B28) * E29</f>
        <v>1.195875</v>
      </c>
      <c r="C29" s="2">
        <f>SUM(C3:C28)/1000</f>
        <v>27.145505711498341</v>
      </c>
      <c r="D29" s="16" t="s">
        <v>53</v>
      </c>
      <c r="E29" s="16">
        <v>1.5</v>
      </c>
      <c r="F29" s="16" t="s">
        <v>54</v>
      </c>
    </row>
    <row r="30" spans="1:7" x14ac:dyDescent="0.2">
      <c r="A30" s="18" t="s">
        <v>55</v>
      </c>
    </row>
    <row r="62" spans="1:1" x14ac:dyDescent="0.2">
      <c r="A62" s="18" t="s">
        <v>56</v>
      </c>
    </row>
    <row r="63" spans="1:1" x14ac:dyDescent="0.2">
      <c r="A63" s="18" t="s">
        <v>57</v>
      </c>
    </row>
    <row r="76" spans="1:1" x14ac:dyDescent="0.2">
      <c r="A76" s="18" t="s">
        <v>58</v>
      </c>
    </row>
    <row r="77" spans="1:1" x14ac:dyDescent="0.2">
      <c r="A77" s="18" t="s">
        <v>59</v>
      </c>
    </row>
  </sheetData>
  <conditionalFormatting sqref="F19">
    <cfRule type="cellIs" dxfId="10" priority="3" operator="lessThan">
      <formula>0</formula>
    </cfRule>
  </conditionalFormatting>
  <conditionalFormatting sqref="F19">
    <cfRule type="cellIs" dxfId="9" priority="4" operator="greaterThan">
      <formula>0</formula>
    </cfRule>
  </conditionalFormatting>
  <conditionalFormatting sqref="E17">
    <cfRule type="cellIs" dxfId="8" priority="5" operator="lessThan">
      <formula>0</formula>
    </cfRule>
  </conditionalFormatting>
  <conditionalFormatting sqref="E17">
    <cfRule type="cellIs" dxfId="7" priority="6" operator="greaterThan">
      <formula>0</formula>
    </cfRule>
  </conditionalFormatting>
  <conditionalFormatting sqref="D14:G14">
    <cfRule type="cellIs" dxfId="6" priority="2" operator="lessThan">
      <formula>0</formula>
    </cfRule>
  </conditionalFormatting>
  <conditionalFormatting sqref="D16:G1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drfeet11 aracri</cp:lastModifiedBy>
  <dcterms:modified xsi:type="dcterms:W3CDTF">2022-01-25T20:57:36Z</dcterms:modified>
</cp:coreProperties>
</file>