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<sst xmlns="http://schemas.openxmlformats.org/spreadsheetml/2006/main" count="63" uniqueCount="60">
  <si>
    <t>Mass and Volume of Components</t>
  </si>
  <si>
    <t>Enclosure Design Parameters</t>
  </si>
  <si>
    <t>Item</t>
  </si>
  <si>
    <t>Mass (kg)</t>
  </si>
  <si>
    <t>Volume(mm^3)</t>
  </si>
  <si>
    <t>Diameter(Sphere) (cm)</t>
  </si>
  <si>
    <t>Volume(Sphere) (cm^3)</t>
  </si>
  <si>
    <t>Flat Surface Knockdown (cm)</t>
  </si>
  <si>
    <t>Volume Knockdown (cm^3)</t>
  </si>
  <si>
    <t>Total Volume Profile (cm^3)</t>
  </si>
  <si>
    <t>Pressure</t>
  </si>
  <si>
    <t>Light</t>
  </si>
  <si>
    <t>Total volume profile (m^3)</t>
  </si>
  <si>
    <t>Dissolved O2</t>
  </si>
  <si>
    <t>Salinity</t>
  </si>
  <si>
    <t>Epoxy mass calculations</t>
  </si>
  <si>
    <t>Current (IMU)</t>
  </si>
  <si>
    <t>Volume (Epoxy) (cm^3)</t>
  </si>
  <si>
    <t>Mass Epoxy (kg)</t>
  </si>
  <si>
    <t>Radio</t>
  </si>
  <si>
    <t>Battery</t>
  </si>
  <si>
    <t>Void Calculations</t>
  </si>
  <si>
    <t>Qi Receiver</t>
  </si>
  <si>
    <t>Void Volume (cm^3)</t>
  </si>
  <si>
    <t>Void mass (kg)</t>
  </si>
  <si>
    <t>Volume Knockdown(epoxy) (cm^3)</t>
  </si>
  <si>
    <t>Mass Knocked down (epoxy) (kg)</t>
  </si>
  <si>
    <t>Structural</t>
  </si>
  <si>
    <t>Volume and Mass totals</t>
  </si>
  <si>
    <t>Component Mass</t>
  </si>
  <si>
    <t>Void Mass</t>
  </si>
  <si>
    <t>Epoxy Mass</t>
  </si>
  <si>
    <t>Total</t>
  </si>
  <si>
    <t xml:space="preserve">Component Volume </t>
  </si>
  <si>
    <t>Void Volume</t>
  </si>
  <si>
    <t>Epoxy Volume</t>
  </si>
  <si>
    <t>Volume Valid?</t>
  </si>
  <si>
    <t>Bouancy Force (N)</t>
  </si>
  <si>
    <t>Gravity Force (N)</t>
  </si>
  <si>
    <t>Delta</t>
  </si>
  <si>
    <t>Constants</t>
  </si>
  <si>
    <t xml:space="preserve">Name </t>
  </si>
  <si>
    <t>Value</t>
  </si>
  <si>
    <t>Units</t>
  </si>
  <si>
    <t>Acceleration, Gravity</t>
  </si>
  <si>
    <t>m/s^2</t>
  </si>
  <si>
    <t>Density, Water</t>
  </si>
  <si>
    <t>kg/m^3</t>
  </si>
  <si>
    <t>Density, Air, STP</t>
  </si>
  <si>
    <t>Design Constants</t>
  </si>
  <si>
    <t>Epoxy specific Density</t>
  </si>
  <si>
    <t>Epoxy Density</t>
  </si>
  <si>
    <t>Total Sub-Total (cm^3)</t>
  </si>
  <si>
    <t>Margin</t>
  </si>
  <si>
    <t>N/A</t>
  </si>
  <si>
    <t>Adjusted Estimate</t>
  </si>
  <si>
    <t>Notes: Calculation of spherical caps</t>
  </si>
  <si>
    <t>How this is adjusted: h = (D - c)/2</t>
  </si>
  <si>
    <t>Note: Archimedes Principle</t>
  </si>
  <si>
    <t>This shouldn't change with iterations unless the overall volume is changed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</si>
</sst>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222222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2" numFmtId="0" xfId="0" applyAlignment="1" applyFont="1">
      <alignment vertical="bottom"/>
    </xf>
    <xf borderId="0" fillId="4" fontId="2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5" fontId="1" numFmtId="0" xfId="0" applyAlignment="1" applyFill="1" applyFont="1">
      <alignment readingOrder="0"/>
    </xf>
    <xf borderId="0" fillId="5" fontId="1" numFmtId="0" xfId="0" applyFont="1"/>
    <xf borderId="0" fillId="6" fontId="1" numFmtId="0" xfId="0" applyAlignment="1" applyFill="1" applyFont="1">
      <alignment readingOrder="0"/>
    </xf>
    <xf borderId="0" fillId="6" fontId="1" numFmtId="0" xfId="0" applyFont="1"/>
    <xf borderId="0" fillId="7" fontId="1" numFmtId="0" xfId="0" applyAlignment="1" applyFill="1" applyFont="1">
      <alignment readingOrder="0"/>
    </xf>
    <xf borderId="0" fillId="7" fontId="1" numFmtId="0" xfId="0" applyFont="1"/>
    <xf borderId="0" fillId="8" fontId="1" numFmtId="0" xfId="0" applyAlignment="1" applyFill="1" applyFont="1">
      <alignment readingOrder="0"/>
    </xf>
    <xf borderId="0" fillId="8" fontId="1" numFmtId="0" xfId="0" applyFont="1"/>
    <xf borderId="0" fillId="9" fontId="1" numFmtId="0" xfId="0" applyAlignment="1" applyFill="1" applyFont="1">
      <alignment readingOrder="0"/>
    </xf>
    <xf borderId="0" fillId="9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36</xdr:row>
      <xdr:rowOff>171450</xdr:rowOff>
    </xdr:from>
    <xdr:ext cx="3800475" cy="4943475"/>
    <xdr:sp>
      <xdr:nvSpPr>
        <xdr:cNvPr id="3" name="Shape 3"/>
        <xdr:cNvSpPr txBox="1"/>
      </xdr:nvSpPr>
      <xdr:spPr>
        <a:xfrm>
          <a:off x="1548750" y="915625"/>
          <a:ext cx="3779400" cy="49254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How this works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AutoNum type="arabicPeriod"/>
          </a:pPr>
          <a:r>
            <a:rPr lang="en-US" sz="1400"/>
            <a:t>Calculates the mass and volume of all the components, Electrical and structural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AutoNum type="arabicPeriod"/>
          </a:pPr>
          <a:r>
            <a:rPr lang="en-US" sz="1400"/>
            <a:t>Based upon the total volume of electrical components and a set volume profile, it calculates the mass of the epoxy required to fill in the rest of the profile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AutoNum type="arabicPeriod"/>
          </a:pPr>
          <a:r>
            <a:rPr lang="en-US" sz="1400"/>
            <a:t>Applies a factor of 1.5 to the mass to ensure bouancy.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AutoNum type="arabicPeriod"/>
          </a:pPr>
          <a:r>
            <a:rPr lang="en-US" sz="1400"/>
            <a:t>Adjusts the amount of the volume of the profile that has to be “Void”, which is going to be considered as air at STP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AutoNum type="arabicPeriod"/>
          </a:pPr>
          <a:r>
            <a:rPr lang="en-US" sz="1400"/>
            <a:t>Using the goal seek function, one can determine the amount of void required for a desired bouancy force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AutoNum type="arabicPeriod"/>
          </a:pPr>
          <a:r>
            <a:rPr lang="en-US" sz="1400"/>
            <a:t>IF the volume of void required exceeds the volume profile minus the volume of the required components, then the design is void, and a new volume must be calculated</a:t>
          </a:r>
          <a:endParaRPr sz="1400"/>
        </a:p>
      </xdr:txBody>
    </xdr:sp>
    <xdr:clientData fLocksWithSheet="0"/>
  </xdr:oneCellAnchor>
  <xdr:oneCellAnchor>
    <xdr:from>
      <xdr:col>2</xdr:col>
      <xdr:colOff>990600</xdr:colOff>
      <xdr:row>60</xdr:row>
      <xdr:rowOff>85725</xdr:rowOff>
    </xdr:from>
    <xdr:ext cx="4286250" cy="23336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77</xdr:row>
      <xdr:rowOff>171450</xdr:rowOff>
    </xdr:from>
    <xdr:ext cx="1228725" cy="3143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2" width="25.63"/>
    <col customWidth="1" min="3" max="3" width="31.38"/>
    <col customWidth="1" min="4" max="4" width="19.38"/>
    <col customWidth="1" min="5" max="5" width="28.13"/>
    <col customWidth="1" min="6" max="6" width="26.25"/>
    <col customWidth="1" min="7" max="7" width="27.0"/>
    <col customWidth="1" min="8" max="8" width="21.88"/>
    <col customWidth="1" min="9" max="9" width="21.25"/>
    <col customWidth="1" min="10" max="10" width="14.63"/>
    <col customWidth="1" min="11" max="11" width="16.25"/>
    <col customWidth="1" min="12" max="12" width="19.25"/>
    <col customWidth="1" min="13" max="13" width="17.38"/>
  </cols>
  <sheetData>
    <row r="1">
      <c r="A1" s="1" t="s">
        <v>0</v>
      </c>
      <c r="B1" s="2"/>
      <c r="C1" s="2"/>
      <c r="D1" s="3" t="s">
        <v>1</v>
      </c>
      <c r="E1" s="4"/>
      <c r="F1" s="4"/>
      <c r="G1" s="4"/>
      <c r="H1" s="4"/>
    </row>
    <row r="2">
      <c r="A2" s="1" t="s">
        <v>2</v>
      </c>
      <c r="B2" s="1" t="s">
        <v>3</v>
      </c>
      <c r="C2" s="1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</row>
    <row r="3">
      <c r="A3" s="5" t="s">
        <v>10</v>
      </c>
      <c r="B3" s="5">
        <f t="shared" ref="B3:B8" si="1">0.0105/2</f>
        <v>0.00525</v>
      </c>
      <c r="C3" s="2">
        <f>(3.3/2)^2 * PI() * 2.75</f>
        <v>23.5207115</v>
      </c>
      <c r="D3" s="3">
        <v>10.0</v>
      </c>
      <c r="E3" s="4">
        <f>4/3 * PI() * (D3/2)^3</f>
        <v>523.5987756</v>
      </c>
      <c r="F3" s="3">
        <v>8.0</v>
      </c>
      <c r="G3" s="4">
        <f>((1/3) * PI() * ((D3-F3)/2)^2 * (3*D3/2 - ((D3-F3)/2)))*2</f>
        <v>29.32153143</v>
      </c>
      <c r="H3" s="4">
        <f>E3-G3</f>
        <v>494.2772442</v>
      </c>
    </row>
    <row r="4">
      <c r="A4" s="5" t="s">
        <v>11</v>
      </c>
      <c r="B4" s="5">
        <f t="shared" si="1"/>
        <v>0.00525</v>
      </c>
      <c r="C4" s="5">
        <f>25.3 * 17.7 * 4.5</f>
        <v>2015.145</v>
      </c>
      <c r="D4" s="4"/>
      <c r="E4" s="4"/>
      <c r="F4" s="4"/>
      <c r="G4" s="4"/>
      <c r="H4" s="3" t="s">
        <v>12</v>
      </c>
    </row>
    <row r="5">
      <c r="A5" s="6" t="s">
        <v>13</v>
      </c>
      <c r="B5" s="5">
        <f t="shared" si="1"/>
        <v>0.00525</v>
      </c>
      <c r="C5" s="5">
        <f> 12 * 89  + 56 * 32</f>
        <v>2860</v>
      </c>
      <c r="D5" s="4"/>
      <c r="E5" s="4"/>
      <c r="F5" s="4"/>
      <c r="G5" s="4"/>
      <c r="H5" s="4">
        <f>H3* 10^-6</f>
        <v>0.0004942772442</v>
      </c>
    </row>
    <row r="6">
      <c r="A6" s="6" t="s">
        <v>14</v>
      </c>
      <c r="B6" s="5">
        <f t="shared" si="1"/>
        <v>0.00525</v>
      </c>
      <c r="C6" s="7">
        <f>2.9 * 2.4 * 1</f>
        <v>6.96</v>
      </c>
      <c r="D6" s="8" t="s">
        <v>15</v>
      </c>
      <c r="E6" s="9"/>
      <c r="F6" s="9"/>
      <c r="G6" s="9"/>
      <c r="H6" s="9"/>
    </row>
    <row r="7">
      <c r="A7" s="5" t="s">
        <v>16</v>
      </c>
      <c r="B7" s="5">
        <f t="shared" si="1"/>
        <v>0.00525</v>
      </c>
      <c r="C7" s="5">
        <f>26 * 17.8 * 4.6</f>
        <v>2128.88</v>
      </c>
      <c r="D7" s="8" t="s">
        <v>17</v>
      </c>
      <c r="E7" s="8" t="s">
        <v>18</v>
      </c>
      <c r="F7" s="9"/>
      <c r="G7" s="9"/>
      <c r="H7" s="9"/>
    </row>
    <row r="8">
      <c r="A8" s="5" t="s">
        <v>19</v>
      </c>
      <c r="B8" s="5">
        <f t="shared" si="1"/>
        <v>0.00525</v>
      </c>
      <c r="C8" s="5">
        <f>51 * 23 * 8</f>
        <v>9384</v>
      </c>
      <c r="D8" s="9">
        <f>H3-C29</f>
        <v>472.1317385</v>
      </c>
      <c r="E8" s="9">
        <f>(D8*10^-6)*E28</f>
        <v>0.5036654173</v>
      </c>
      <c r="F8" s="9"/>
      <c r="G8" s="9"/>
      <c r="H8" s="9"/>
    </row>
    <row r="9">
      <c r="A9" s="5" t="s">
        <v>20</v>
      </c>
      <c r="B9" s="5">
        <f>10.5 * 10^-3</f>
        <v>0.0105</v>
      </c>
      <c r="C9" s="5">
        <f>29 * 36 * 4.75</f>
        <v>4959</v>
      </c>
      <c r="D9" s="10" t="s">
        <v>21</v>
      </c>
      <c r="E9" s="11"/>
      <c r="F9" s="11"/>
      <c r="G9" s="11"/>
      <c r="H9" s="11"/>
    </row>
    <row r="10">
      <c r="A10" s="5" t="s">
        <v>22</v>
      </c>
      <c r="B10" s="5">
        <f>0.0105/2</f>
        <v>0.00525</v>
      </c>
      <c r="C10" s="5">
        <f>48 * 32 * 0.5</f>
        <v>768</v>
      </c>
      <c r="D10" s="10" t="s">
        <v>23</v>
      </c>
      <c r="E10" s="10" t="s">
        <v>24</v>
      </c>
      <c r="F10" s="10" t="s">
        <v>25</v>
      </c>
      <c r="G10" s="10" t="s">
        <v>26</v>
      </c>
      <c r="H10" s="11"/>
    </row>
    <row r="11">
      <c r="A11" s="1" t="s">
        <v>27</v>
      </c>
      <c r="B11" s="1">
        <v>0.75</v>
      </c>
      <c r="C11" s="2"/>
      <c r="D11" s="10">
        <v>16.0</v>
      </c>
      <c r="E11" s="11">
        <f>(D11*10^-6) * E25</f>
        <v>0.0000196</v>
      </c>
      <c r="F11" s="11">
        <f>D8-D11</f>
        <v>456.1317385</v>
      </c>
      <c r="G11" s="11">
        <f>F11*10^-6*E28</f>
        <v>0.4865967773</v>
      </c>
      <c r="H11" s="11"/>
    </row>
    <row r="12">
      <c r="A12" s="2"/>
      <c r="B12" s="2"/>
      <c r="C12" s="2"/>
      <c r="D12" s="12" t="s">
        <v>28</v>
      </c>
      <c r="E12" s="13"/>
      <c r="F12" s="13"/>
      <c r="G12" s="13"/>
      <c r="H12" s="13"/>
    </row>
    <row r="13">
      <c r="A13" s="2"/>
      <c r="B13" s="2"/>
      <c r="C13" s="2"/>
      <c r="D13" s="12" t="s">
        <v>29</v>
      </c>
      <c r="E13" s="12" t="s">
        <v>30</v>
      </c>
      <c r="F13" s="12" t="s">
        <v>31</v>
      </c>
      <c r="G13" s="12" t="s">
        <v>32</v>
      </c>
      <c r="H13" s="13"/>
    </row>
    <row r="14">
      <c r="A14" s="2"/>
      <c r="B14" s="2"/>
      <c r="C14" s="2"/>
      <c r="D14" s="13">
        <f>B29</f>
        <v>1.195875</v>
      </c>
      <c r="E14" s="13">
        <f>E11</f>
        <v>0.0000196</v>
      </c>
      <c r="F14" s="13">
        <f>G11</f>
        <v>0.4865967773</v>
      </c>
      <c r="G14" s="13">
        <f>SUM(D14:F14)</f>
        <v>1.682491377</v>
      </c>
      <c r="H14" s="13"/>
    </row>
    <row r="15">
      <c r="A15" s="2"/>
      <c r="B15" s="2"/>
      <c r="C15" s="2"/>
      <c r="D15" s="12" t="s">
        <v>33</v>
      </c>
      <c r="E15" s="12" t="s">
        <v>34</v>
      </c>
      <c r="F15" s="12" t="s">
        <v>35</v>
      </c>
      <c r="G15" s="12" t="s">
        <v>32</v>
      </c>
      <c r="H15" s="13"/>
    </row>
    <row r="16">
      <c r="A16" s="2"/>
      <c r="B16" s="2"/>
      <c r="C16" s="2"/>
      <c r="D16" s="13">
        <f>C29</f>
        <v>22.14550571</v>
      </c>
      <c r="E16" s="13">
        <f>D11</f>
        <v>16</v>
      </c>
      <c r="F16" s="13">
        <f>F11</f>
        <v>456.1317385</v>
      </c>
      <c r="G16" s="13">
        <f>SUM(D16:F16)</f>
        <v>494.2772442</v>
      </c>
      <c r="H16" s="13"/>
    </row>
    <row r="17">
      <c r="A17" s="2"/>
      <c r="B17" s="2"/>
      <c r="C17" s="2"/>
      <c r="D17" s="14" t="s">
        <v>36</v>
      </c>
      <c r="E17" s="15">
        <f>H3-G16</f>
        <v>0</v>
      </c>
      <c r="F17" s="15"/>
    </row>
    <row r="18">
      <c r="A18" s="2"/>
      <c r="B18" s="2"/>
      <c r="C18" s="2"/>
      <c r="D18" s="14" t="s">
        <v>37</v>
      </c>
      <c r="E18" s="14" t="s">
        <v>38</v>
      </c>
      <c r="F18" s="14" t="s">
        <v>39</v>
      </c>
    </row>
    <row r="19">
      <c r="A19" s="2"/>
      <c r="B19" s="2"/>
      <c r="C19" s="2"/>
      <c r="D19" s="15">
        <f>E24*E23*H5</f>
        <v>4.829385242</v>
      </c>
      <c r="E19" s="15">
        <f>G14*9.8</f>
        <v>16.4884155</v>
      </c>
      <c r="F19" s="15">
        <f>D19-E19</f>
        <v>-11.65903026</v>
      </c>
    </row>
    <row r="20">
      <c r="A20" s="2"/>
      <c r="B20" s="2"/>
      <c r="C20" s="2"/>
      <c r="D20" s="15"/>
      <c r="E20" s="15"/>
      <c r="F20" s="15"/>
    </row>
    <row r="21">
      <c r="A21" s="2"/>
      <c r="B21" s="2"/>
      <c r="C21" s="2"/>
      <c r="D21" s="16" t="s">
        <v>40</v>
      </c>
      <c r="E21" s="17"/>
      <c r="F21" s="17"/>
    </row>
    <row r="22">
      <c r="A22" s="2"/>
      <c r="B22" s="2"/>
      <c r="C22" s="2"/>
      <c r="D22" s="16" t="s">
        <v>41</v>
      </c>
      <c r="E22" s="16" t="s">
        <v>42</v>
      </c>
      <c r="F22" s="16" t="s">
        <v>43</v>
      </c>
    </row>
    <row r="23">
      <c r="A23" s="2"/>
      <c r="B23" s="2"/>
      <c r="C23" s="2"/>
      <c r="D23" s="16" t="s">
        <v>44</v>
      </c>
      <c r="E23" s="16">
        <v>9.8</v>
      </c>
      <c r="F23" s="16" t="s">
        <v>45</v>
      </c>
    </row>
    <row r="24">
      <c r="A24" s="2"/>
      <c r="B24" s="2"/>
      <c r="C24" s="2"/>
      <c r="D24" s="16" t="s">
        <v>46</v>
      </c>
      <c r="E24" s="16">
        <v>997.0</v>
      </c>
      <c r="F24" s="16" t="s">
        <v>47</v>
      </c>
    </row>
    <row r="25">
      <c r="A25" s="2"/>
      <c r="B25" s="2"/>
      <c r="C25" s="2"/>
      <c r="D25" s="16" t="s">
        <v>48</v>
      </c>
      <c r="E25" s="16">
        <v>1.225</v>
      </c>
      <c r="F25" s="16" t="s">
        <v>47</v>
      </c>
    </row>
    <row r="26">
      <c r="A26" s="2"/>
      <c r="B26" s="2"/>
      <c r="C26" s="2"/>
      <c r="D26" s="16" t="s">
        <v>49</v>
      </c>
      <c r="E26" s="17"/>
      <c r="F26" s="17"/>
    </row>
    <row r="27">
      <c r="A27" s="2"/>
      <c r="B27" s="2"/>
      <c r="C27" s="2"/>
      <c r="D27" s="16" t="s">
        <v>50</v>
      </c>
      <c r="E27" s="16">
        <v>1.07</v>
      </c>
      <c r="F27" s="17"/>
    </row>
    <row r="28">
      <c r="A28" s="2"/>
      <c r="B28" s="2"/>
      <c r="C28" s="2"/>
      <c r="D28" s="16" t="s">
        <v>51</v>
      </c>
      <c r="E28" s="17">
        <f>E27*E24</f>
        <v>1066.79</v>
      </c>
      <c r="F28" s="16" t="s">
        <v>47</v>
      </c>
    </row>
    <row r="29">
      <c r="A29" s="1" t="s">
        <v>52</v>
      </c>
      <c r="B29" s="2">
        <f>SUM(B3:B28) * E29</f>
        <v>1.195875</v>
      </c>
      <c r="C29" s="2">
        <f>SUM(C3:C28)/1000</f>
        <v>22.14550571</v>
      </c>
      <c r="D29" s="16" t="s">
        <v>53</v>
      </c>
      <c r="E29" s="16">
        <v>1.5</v>
      </c>
      <c r="F29" s="16" t="s">
        <v>54</v>
      </c>
    </row>
    <row r="30">
      <c r="A30" s="18" t="s">
        <v>55</v>
      </c>
    </row>
    <row r="62">
      <c r="A62" s="18" t="s">
        <v>56</v>
      </c>
    </row>
    <row r="63">
      <c r="A63" s="18" t="s">
        <v>57</v>
      </c>
    </row>
    <row r="76">
      <c r="A76" s="18" t="s">
        <v>58</v>
      </c>
    </row>
    <row r="77">
      <c r="A77" s="18" t="s">
        <v>59</v>
      </c>
    </row>
  </sheetData>
  <conditionalFormatting sqref="F19">
    <cfRule type="cellIs" dxfId="0" priority="1" operator="lessThan">
      <formula>0</formula>
    </cfRule>
  </conditionalFormatting>
  <conditionalFormatting sqref="F19">
    <cfRule type="cellIs" dxfId="1" priority="2" operator="greaterThan">
      <formula>0</formula>
    </cfRule>
  </conditionalFormatting>
  <conditionalFormatting sqref="E17">
    <cfRule type="cellIs" dxfId="0" priority="3" operator="lessThan">
      <formula>0</formula>
    </cfRule>
  </conditionalFormatting>
  <conditionalFormatting sqref="E17">
    <cfRule type="cellIs" dxfId="2" priority="4" operator="greaterThan">
      <formula>0</formula>
    </cfRule>
  </conditionalFormatting>
  <drawing r:id="rId1"/>
</worksheet>
</file>