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\Documents\School\Fall 2022\Advanced Spreadsheet Analytics\Case Projects\"/>
    </mc:Choice>
  </mc:AlternateContent>
  <xr:revisionPtr revIDLastSave="0" documentId="8_{570EA2E9-9AD3-4E50-82E0-DAE8F120C879}" xr6:coauthVersionLast="47" xr6:coauthVersionMax="47" xr10:uidLastSave="{00000000-0000-0000-0000-000000000000}"/>
  <bookViews>
    <workbookView xWindow="-28920" yWindow="-120" windowWidth="29040" windowHeight="15840" firstSheet="2" activeTab="5" xr2:uid="{6069EED7-CDE6-4711-AAD5-E0D3E1B2736E}"/>
  </bookViews>
  <sheets>
    <sheet name="Documentation" sheetId="2" r:id="rId1"/>
    <sheet name="Town Budget Calculations" sheetId="1" r:id="rId2"/>
    <sheet name="Scenario Summary" sheetId="8" r:id="rId3"/>
    <sheet name="Accelerated Growth Data Tables" sheetId="10" r:id="rId4"/>
    <sheet name="Slow Growth Data Tables" sheetId="11" r:id="rId5"/>
    <sheet name="Key Results Dashboard" sheetId="12" r:id="rId6"/>
  </sheets>
  <definedNames>
    <definedName name="Accelerated_Apt_Construction" localSheetId="3">'Accelerated Growth Data Tables'!$B$21</definedName>
    <definedName name="Accelerated_Apt_Construction" localSheetId="4">'Slow Growth Data Tables'!$B$21</definedName>
    <definedName name="Accelerated_Apt_Construction">'Town Budget Calculations'!$B$21</definedName>
    <definedName name="Cash_2022" localSheetId="3">'Accelerated Growth Data Tables'!$E$25</definedName>
    <definedName name="Cash_2022" localSheetId="4">'Slow Growth Data Tables'!$E$25</definedName>
    <definedName name="Cash_2022">'Town Budget Calculations'!$E$25</definedName>
    <definedName name="Debt_2022" localSheetId="3">'Accelerated Growth Data Tables'!$E$26</definedName>
    <definedName name="Debt_2022" localSheetId="4">'Slow Growth Data Tables'!$E$26</definedName>
    <definedName name="Debt_2022">'Town Budget Calculations'!$E$26</definedName>
    <definedName name="Increase_Kilowatt_Selling_2020" localSheetId="3">'Accelerated Growth Data Tables'!$C$19</definedName>
    <definedName name="Increase_Kilowatt_Selling_2020" localSheetId="4">'Slow Growth Data Tables'!$C$19</definedName>
    <definedName name="Increase_Kilowatt_Selling_2020">'Town Budget Calculations'!$C$19</definedName>
    <definedName name="Increase_Kilowatt_Selling_2021" localSheetId="3">'Accelerated Growth Data Tables'!$D$19</definedName>
    <definedName name="Increase_Kilowatt_Selling_2021" localSheetId="4">'Slow Growth Data Tables'!$D$19</definedName>
    <definedName name="Increase_Kilowatt_Selling_2021">'Town Budget Calculations'!$D$19</definedName>
    <definedName name="Increase_Kilowatt_Selling_2022" localSheetId="3">'Accelerated Growth Data Tables'!$E$19</definedName>
    <definedName name="Increase_Kilowatt_Selling_2022" localSheetId="4">'Slow Growth Data Tables'!$E$19</definedName>
    <definedName name="Increase_Kilowatt_Selling_2022">'Town Budget Calculations'!$E$19</definedName>
    <definedName name="Increase_Water_Selling_2020" localSheetId="3">'Accelerated Growth Data Tables'!$C$18</definedName>
    <definedName name="Increase_Water_Selling_2020" localSheetId="4">'Slow Growth Data Tables'!$C$18</definedName>
    <definedName name="Increase_Water_Selling_2020">'Town Budget Calculations'!$C$18</definedName>
    <definedName name="Increase_Water_Selling_2021" localSheetId="3">'Accelerated Growth Data Tables'!$D$18</definedName>
    <definedName name="Increase_Water_Selling_2021" localSheetId="4">'Slow Growth Data Tables'!$D$18</definedName>
    <definedName name="Increase_Water_Selling_2021">'Town Budget Calculations'!$D$18</definedName>
    <definedName name="Increase_Water_Selling_2022" localSheetId="3">'Accelerated Growth Data Tables'!$E$18</definedName>
    <definedName name="Increase_Water_Selling_2022" localSheetId="4">'Slow Growth Data Tables'!$E$18</definedName>
    <definedName name="Increase_Water_Selling_2022">'Town Budget Calculations'!$E$18</definedName>
    <definedName name="Net_Income_2022" localSheetId="3">'Accelerated Growth Data Tables'!$E$24</definedName>
    <definedName name="Net_Income_2022" localSheetId="4">'Slow Growth Data Tables'!$E$24</definedName>
    <definedName name="Net_Income_2022">'Town Budget Calculations'!$E$24</definedName>
    <definedName name="Property_Tax_Increase_2020" localSheetId="3">'Accelerated Growth Data Tables'!$C$20</definedName>
    <definedName name="Property_Tax_Increase_2020" localSheetId="4">'Slow Growth Data Tables'!$C$20</definedName>
    <definedName name="Property_Tax_Increase_2020">'Town Budget Calculations'!$C$20</definedName>
    <definedName name="Property_Tax_Increase_2021" localSheetId="3">'Accelerated Growth Data Tables'!$D$20</definedName>
    <definedName name="Property_Tax_Increase_2021" localSheetId="4">'Slow Growth Data Tables'!$D$20</definedName>
    <definedName name="Property_Tax_Increase_2021">'Town Budget Calculations'!$D$20</definedName>
    <definedName name="Property_Tax_Increase_2022" localSheetId="3">'Accelerated Growth Data Tables'!$E$20</definedName>
    <definedName name="Property_Tax_Increase_2022" localSheetId="4">'Slow Growth Data Tables'!$E$20</definedName>
    <definedName name="Property_Tax_Increase_2022">'Town Budget Calculations'!$E$20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" i="12" l="1"/>
  <c r="I11" i="12"/>
  <c r="H11" i="12"/>
  <c r="G11" i="12"/>
  <c r="F11" i="12"/>
  <c r="E11" i="12"/>
  <c r="D11" i="12"/>
  <c r="J10" i="12"/>
  <c r="I10" i="12"/>
  <c r="H10" i="12"/>
  <c r="G10" i="12"/>
  <c r="F10" i="12"/>
  <c r="E10" i="12"/>
  <c r="D10" i="12"/>
  <c r="J9" i="12"/>
  <c r="I9" i="12"/>
  <c r="H9" i="12"/>
  <c r="G9" i="12"/>
  <c r="F9" i="12"/>
  <c r="E9" i="12"/>
  <c r="D9" i="12"/>
  <c r="C71" i="11"/>
  <c r="C65" i="11"/>
  <c r="C73" i="11" s="1"/>
  <c r="E64" i="11"/>
  <c r="D64" i="11"/>
  <c r="C64" i="11"/>
  <c r="C59" i="11"/>
  <c r="E50" i="11"/>
  <c r="D50" i="11"/>
  <c r="C50" i="11"/>
  <c r="E49" i="11"/>
  <c r="D49" i="11"/>
  <c r="C49" i="11"/>
  <c r="E43" i="11"/>
  <c r="D43" i="11"/>
  <c r="C43" i="11"/>
  <c r="C40" i="11"/>
  <c r="D40" i="11" s="1"/>
  <c r="C37" i="11"/>
  <c r="C36" i="11"/>
  <c r="D36" i="11" s="1"/>
  <c r="C35" i="11"/>
  <c r="C34" i="11"/>
  <c r="E32" i="11"/>
  <c r="D32" i="11"/>
  <c r="D51" i="11" s="1"/>
  <c r="C32" i="11"/>
  <c r="C51" i="11" s="1"/>
  <c r="C31" i="11"/>
  <c r="D31" i="11" s="1"/>
  <c r="E31" i="11" s="1"/>
  <c r="C30" i="11"/>
  <c r="D30" i="11" s="1"/>
  <c r="E30" i="11" s="1"/>
  <c r="E29" i="11"/>
  <c r="E57" i="11" s="1"/>
  <c r="D29" i="11"/>
  <c r="D57" i="11" s="1"/>
  <c r="C29" i="11"/>
  <c r="C57" i="11" s="1"/>
  <c r="D19" i="11"/>
  <c r="D37" i="11" s="1"/>
  <c r="D19" i="10"/>
  <c r="E18" i="10" s="1"/>
  <c r="C71" i="10"/>
  <c r="C65" i="10"/>
  <c r="C73" i="10" s="1"/>
  <c r="E64" i="10"/>
  <c r="D64" i="10"/>
  <c r="C64" i="10"/>
  <c r="C59" i="10"/>
  <c r="E50" i="10"/>
  <c r="D50" i="10"/>
  <c r="C50" i="10"/>
  <c r="E49" i="10"/>
  <c r="D49" i="10"/>
  <c r="C49" i="10"/>
  <c r="E43" i="10"/>
  <c r="D43" i="10"/>
  <c r="C43" i="10"/>
  <c r="C40" i="10"/>
  <c r="C58" i="10" s="1"/>
  <c r="C37" i="10"/>
  <c r="C36" i="10"/>
  <c r="D36" i="10" s="1"/>
  <c r="C35" i="10"/>
  <c r="C34" i="10"/>
  <c r="D34" i="10" s="1"/>
  <c r="E32" i="10"/>
  <c r="E51" i="10" s="1"/>
  <c r="D32" i="10"/>
  <c r="D51" i="10" s="1"/>
  <c r="C32" i="10"/>
  <c r="C51" i="10" s="1"/>
  <c r="C31" i="10"/>
  <c r="D31" i="10" s="1"/>
  <c r="E31" i="10" s="1"/>
  <c r="C30" i="10"/>
  <c r="D30" i="10" s="1"/>
  <c r="E30" i="10" s="1"/>
  <c r="E29" i="10"/>
  <c r="D29" i="10"/>
  <c r="C29" i="10"/>
  <c r="C57" i="10" s="1"/>
  <c r="C30" i="1"/>
  <c r="D30" i="1" s="1"/>
  <c r="E30" i="1" s="1"/>
  <c r="C73" i="1"/>
  <c r="C71" i="1"/>
  <c r="C65" i="1"/>
  <c r="C59" i="1"/>
  <c r="D43" i="1"/>
  <c r="E43" i="1"/>
  <c r="C43" i="1"/>
  <c r="D64" i="1"/>
  <c r="E64" i="1"/>
  <c r="C64" i="1"/>
  <c r="D50" i="1"/>
  <c r="E50" i="1"/>
  <c r="C50" i="1"/>
  <c r="D49" i="1"/>
  <c r="E49" i="1"/>
  <c r="C49" i="1"/>
  <c r="C40" i="1"/>
  <c r="C58" i="1" s="1"/>
  <c r="C37" i="1"/>
  <c r="D37" i="1" s="1"/>
  <c r="E37" i="1" s="1"/>
  <c r="C36" i="1"/>
  <c r="D36" i="1" s="1"/>
  <c r="E36" i="1" s="1"/>
  <c r="C31" i="1"/>
  <c r="D31" i="1" s="1"/>
  <c r="E31" i="1" s="1"/>
  <c r="E35" i="1"/>
  <c r="D35" i="1"/>
  <c r="C35" i="1"/>
  <c r="D34" i="1"/>
  <c r="E34" i="1" s="1"/>
  <c r="C34" i="1"/>
  <c r="D32" i="1"/>
  <c r="D51" i="1" s="1"/>
  <c r="E32" i="1"/>
  <c r="E51" i="1" s="1"/>
  <c r="C32" i="1"/>
  <c r="C33" i="1" s="1"/>
  <c r="C39" i="1" s="1"/>
  <c r="D29" i="1"/>
  <c r="E29" i="1"/>
  <c r="C29" i="1"/>
  <c r="E18" i="11" l="1"/>
  <c r="E36" i="11" s="1"/>
  <c r="E19" i="11"/>
  <c r="E37" i="11" s="1"/>
  <c r="E40" i="11"/>
  <c r="E58" i="11" s="1"/>
  <c r="D58" i="11"/>
  <c r="C33" i="11"/>
  <c r="D34" i="11"/>
  <c r="E51" i="11"/>
  <c r="C58" i="11"/>
  <c r="D35" i="11"/>
  <c r="E19" i="10"/>
  <c r="D37" i="10"/>
  <c r="D57" i="10"/>
  <c r="E36" i="10"/>
  <c r="E57" i="10"/>
  <c r="C33" i="10"/>
  <c r="C38" i="10" s="1"/>
  <c r="C55" i="10" s="1"/>
  <c r="C46" i="10"/>
  <c r="C57" i="1"/>
  <c r="E57" i="1"/>
  <c r="D40" i="10"/>
  <c r="D33" i="10"/>
  <c r="E33" i="10" s="1"/>
  <c r="E34" i="10"/>
  <c r="D57" i="1"/>
  <c r="D35" i="10"/>
  <c r="C51" i="1"/>
  <c r="D33" i="1"/>
  <c r="E33" i="1" s="1"/>
  <c r="E39" i="1" s="1"/>
  <c r="E47" i="1" s="1"/>
  <c r="D40" i="1"/>
  <c r="E40" i="1" s="1"/>
  <c r="E58" i="1" s="1"/>
  <c r="C56" i="1"/>
  <c r="C47" i="1"/>
  <c r="C38" i="1"/>
  <c r="C48" i="1"/>
  <c r="E34" i="11" l="1"/>
  <c r="C48" i="10"/>
  <c r="C52" i="10" s="1"/>
  <c r="C39" i="10"/>
  <c r="C47" i="10" s="1"/>
  <c r="E35" i="11"/>
  <c r="C38" i="11"/>
  <c r="C39" i="11"/>
  <c r="C48" i="11"/>
  <c r="D33" i="11"/>
  <c r="E37" i="10"/>
  <c r="E35" i="10"/>
  <c r="E48" i="10"/>
  <c r="E38" i="10"/>
  <c r="E46" i="10" s="1"/>
  <c r="E39" i="10"/>
  <c r="E40" i="10"/>
  <c r="E58" i="10" s="1"/>
  <c r="D58" i="10"/>
  <c r="C56" i="10"/>
  <c r="D39" i="10"/>
  <c r="D47" i="10" s="1"/>
  <c r="D38" i="10"/>
  <c r="D48" i="10"/>
  <c r="C60" i="10"/>
  <c r="E48" i="1"/>
  <c r="D48" i="1"/>
  <c r="D38" i="1"/>
  <c r="D46" i="1" s="1"/>
  <c r="E56" i="1"/>
  <c r="E38" i="1"/>
  <c r="E55" i="1" s="1"/>
  <c r="D39" i="1"/>
  <c r="D56" i="1" s="1"/>
  <c r="D58" i="1"/>
  <c r="C55" i="1"/>
  <c r="C60" i="1" s="1"/>
  <c r="C46" i="1"/>
  <c r="C52" i="1" s="1"/>
  <c r="C62" i="10" l="1"/>
  <c r="C24" i="10" s="1"/>
  <c r="C47" i="11"/>
  <c r="C56" i="11"/>
  <c r="C46" i="11"/>
  <c r="C55" i="11"/>
  <c r="C60" i="11" s="1"/>
  <c r="D39" i="11"/>
  <c r="D48" i="11"/>
  <c r="D38" i="11"/>
  <c r="E33" i="11"/>
  <c r="E56" i="10"/>
  <c r="E47" i="10"/>
  <c r="E52" i="10" s="1"/>
  <c r="E55" i="10"/>
  <c r="D46" i="10"/>
  <c r="D52" i="10" s="1"/>
  <c r="D55" i="10"/>
  <c r="D56" i="10"/>
  <c r="D47" i="1"/>
  <c r="D52" i="1" s="1"/>
  <c r="D55" i="1"/>
  <c r="E46" i="1"/>
  <c r="E52" i="1" s="1"/>
  <c r="C62" i="1"/>
  <c r="C66" i="1" s="1"/>
  <c r="C67" i="1" s="1"/>
  <c r="C66" i="10" l="1"/>
  <c r="C67" i="10" s="1"/>
  <c r="C72" i="10" s="1"/>
  <c r="C74" i="10" s="1"/>
  <c r="D46" i="11"/>
  <c r="D55" i="11"/>
  <c r="C52" i="11"/>
  <c r="C62" i="11" s="1"/>
  <c r="D47" i="11"/>
  <c r="D56" i="11"/>
  <c r="E48" i="11"/>
  <c r="E38" i="11"/>
  <c r="E39" i="11"/>
  <c r="C24" i="1"/>
  <c r="D52" i="11" l="1"/>
  <c r="C24" i="11"/>
  <c r="C66" i="11"/>
  <c r="E47" i="11"/>
  <c r="E56" i="11"/>
  <c r="E46" i="11"/>
  <c r="E55" i="11"/>
  <c r="C68" i="10"/>
  <c r="C25" i="10" s="1"/>
  <c r="D71" i="10"/>
  <c r="D65" i="10"/>
  <c r="D73" i="10" s="1"/>
  <c r="D59" i="10"/>
  <c r="D60" i="10" s="1"/>
  <c r="D62" i="10" s="1"/>
  <c r="C26" i="10"/>
  <c r="C72" i="1"/>
  <c r="C74" i="1" s="1"/>
  <c r="E52" i="11" l="1"/>
  <c r="C67" i="11"/>
  <c r="C72" i="11" s="1"/>
  <c r="C74" i="11" s="1"/>
  <c r="D66" i="10"/>
  <c r="D24" i="10"/>
  <c r="C26" i="1"/>
  <c r="D71" i="1"/>
  <c r="D59" i="1"/>
  <c r="D60" i="1" s="1"/>
  <c r="D62" i="1" s="1"/>
  <c r="D65" i="1"/>
  <c r="D73" i="1" s="1"/>
  <c r="C68" i="1"/>
  <c r="C25" i="1" s="1"/>
  <c r="C68" i="11" l="1"/>
  <c r="C25" i="11" s="1"/>
  <c r="D71" i="11"/>
  <c r="D65" i="11"/>
  <c r="D73" i="11" s="1"/>
  <c r="D59" i="11"/>
  <c r="D60" i="11" s="1"/>
  <c r="D62" i="11" s="1"/>
  <c r="C26" i="11"/>
  <c r="D67" i="10"/>
  <c r="D72" i="10" s="1"/>
  <c r="D74" i="10" s="1"/>
  <c r="D66" i="1"/>
  <c r="D67" i="1" s="1"/>
  <c r="D24" i="1"/>
  <c r="D24" i="11" l="1"/>
  <c r="D66" i="11"/>
  <c r="D68" i="10"/>
  <c r="D25" i="10" s="1"/>
  <c r="E71" i="10"/>
  <c r="E65" i="10"/>
  <c r="E73" i="10" s="1"/>
  <c r="E59" i="10"/>
  <c r="E60" i="10" s="1"/>
  <c r="E62" i="10" s="1"/>
  <c r="E24" i="10" s="1"/>
  <c r="J4" i="10" s="1"/>
  <c r="D26" i="10"/>
  <c r="D72" i="1"/>
  <c r="D74" i="1" s="1"/>
  <c r="D67" i="11" l="1"/>
  <c r="D72" i="11" s="1"/>
  <c r="D74" i="11" s="1"/>
  <c r="E66" i="10"/>
  <c r="D68" i="1"/>
  <c r="D25" i="1" s="1"/>
  <c r="E65" i="1"/>
  <c r="E73" i="1" s="1"/>
  <c r="D26" i="1"/>
  <c r="E71" i="1"/>
  <c r="E59" i="1"/>
  <c r="E60" i="1" s="1"/>
  <c r="E62" i="1" s="1"/>
  <c r="D68" i="11" l="1"/>
  <c r="D25" i="11" s="1"/>
  <c r="E71" i="11"/>
  <c r="E65" i="11"/>
  <c r="E73" i="11" s="1"/>
  <c r="E59" i="11"/>
  <c r="E60" i="11" s="1"/>
  <c r="E62" i="11" s="1"/>
  <c r="D26" i="11"/>
  <c r="E67" i="10"/>
  <c r="E72" i="10" s="1"/>
  <c r="E74" i="10" s="1"/>
  <c r="E26" i="10" s="1"/>
  <c r="J31" i="10" s="1"/>
  <c r="E66" i="1"/>
  <c r="E67" i="1" s="1"/>
  <c r="E24" i="1"/>
  <c r="E66" i="11" l="1"/>
  <c r="E24" i="11"/>
  <c r="J4" i="11" s="1"/>
  <c r="E68" i="10"/>
  <c r="E25" i="10" s="1"/>
  <c r="E72" i="1"/>
  <c r="E74" i="1" s="1"/>
  <c r="E26" i="1" s="1"/>
  <c r="E67" i="11" l="1"/>
  <c r="E72" i="11" s="1"/>
  <c r="E74" i="11" s="1"/>
  <c r="E26" i="11" s="1"/>
  <c r="J31" i="11" s="1"/>
  <c r="J18" i="10"/>
  <c r="E68" i="1"/>
  <c r="E25" i="1" s="1"/>
  <c r="E68" i="11" l="1"/>
  <c r="E25" i="11" s="1"/>
  <c r="J18" i="11" s="1"/>
</calcChain>
</file>

<file path=xl/sharedStrings.xml><?xml version="1.0" encoding="utf-8"?>
<sst xmlns="http://schemas.openxmlformats.org/spreadsheetml/2006/main" count="420" uniqueCount="105">
  <si>
    <t>CONSTANTS</t>
  </si>
  <si>
    <t>INPUTS</t>
  </si>
  <si>
    <t>SUMMARY OF KEY RESULTS</t>
  </si>
  <si>
    <t>CALCULATIONS</t>
  </si>
  <si>
    <t>DEBT OWED</t>
  </si>
  <si>
    <r>
      <t xml:space="preserve">INCOME STATEMENT AND
</t>
    </r>
    <r>
      <rPr>
        <b/>
        <u/>
        <sz val="12"/>
        <rFont val="Times New Roman"/>
        <family val="1"/>
      </rPr>
      <t>CASH FLOW STATEMENT</t>
    </r>
  </si>
  <si>
    <t>NUMBER OF EMPLOYEES</t>
  </si>
  <si>
    <t>NA</t>
  </si>
  <si>
    <t>NUMBER OF HOUSING UNITS</t>
  </si>
  <si>
    <t>AVERAGE PROPERTY TAX PER UNIT</t>
  </si>
  <si>
    <t>COST OF A GALLON OF WATER</t>
  </si>
  <si>
    <t>COST OF A KILOWATT HOUR</t>
  </si>
  <si>
    <t>SELLING PRICE OF A GALLON OF WATER</t>
  </si>
  <si>
    <t>SELLING PRICE OF A KILOWATT HOUR</t>
  </si>
  <si>
    <t>INCREASE IN WATER SELLING PRICE</t>
  </si>
  <si>
    <t>INCREASE IN KILOWATT SELLING PRICE</t>
  </si>
  <si>
    <t>PARKING FEES</t>
  </si>
  <si>
    <t>REALTY TRANSFER FEES</t>
  </si>
  <si>
    <t>PROPERTY TAX INCREASE</t>
  </si>
  <si>
    <t>WATER REVENUE</t>
  </si>
  <si>
    <t>ELECTRIC REVENUE</t>
  </si>
  <si>
    <t>EXPECTED INCREASE IN EMPLOYEE COST</t>
  </si>
  <si>
    <t>PROPERTY TAX REVENUE</t>
  </si>
  <si>
    <t>PARKING REVENUE</t>
  </si>
  <si>
    <t>REVENUE:</t>
  </si>
  <si>
    <t>EXPENSES:</t>
  </si>
  <si>
    <t>COST OF WATER</t>
  </si>
  <si>
    <t>COST OF ELECTRICITY</t>
  </si>
  <si>
    <t>APARTMENT PERMIT FEE</t>
  </si>
  <si>
    <t>ACCELERATED APARTMENT CONSTRUCTION (Y/N)</t>
  </si>
  <si>
    <t>APARTMENT PERMITS</t>
  </si>
  <si>
    <t>TOTAL REVENUE</t>
  </si>
  <si>
    <t>EMPLOYMENT COST</t>
  </si>
  <si>
    <t>NUMBER OF GALLONS OF WATER SOLD</t>
  </si>
  <si>
    <t>NUMBER OF KILOWATTS SOLD</t>
  </si>
  <si>
    <t>NUMBER OF APARTMENTS BUILT IN YEAR</t>
  </si>
  <si>
    <t>EXPECTED INCREASE IN WATER COST</t>
  </si>
  <si>
    <t>END-OF-THE-YEAR CASH ON HAND</t>
  </si>
  <si>
    <t>END-OF-THE-YEAR DEBT OWED</t>
  </si>
  <si>
    <t xml:space="preserve">NET INCOME </t>
  </si>
  <si>
    <t>EXPECTED CAPITAL EXPENDITURES</t>
  </si>
  <si>
    <t>CONTRACTUAL AND OTHER COSTS</t>
  </si>
  <si>
    <t>BEGINNING-OF-THE-YEAR CASH ON HAND</t>
  </si>
  <si>
    <t>INTEREST ON DEBT OWED</t>
  </si>
  <si>
    <t>REPAYMENT TO NOTE HOLDERS</t>
  </si>
  <si>
    <t>ADD: BORROWING FROM BANK</t>
  </si>
  <si>
    <t>EQUALS: END-OF-THE-YEAR CASH ON HAND</t>
  </si>
  <si>
    <t>BEGINNING-OF-THE-YEAR DEBT OWED</t>
  </si>
  <si>
    <t>EQUALS: END-OF-THE-YEAR DEBT OWED</t>
  </si>
  <si>
    <t xml:space="preserve">NET CASH POSITION (NCP) BEFORE 
BORROWING </t>
  </si>
  <si>
    <t>TOTAL EXPENSES</t>
  </si>
  <si>
    <t>EXPECTED INTEREST RATE ON DEBT</t>
  </si>
  <si>
    <t>NET INCOME</t>
  </si>
  <si>
    <t>MINIMUM CASH NEEDED TO START YEAR</t>
  </si>
  <si>
    <t>The College Town Budget</t>
  </si>
  <si>
    <t>AVG GALLONS OF WATER USED PER HOUSEHOLD</t>
  </si>
  <si>
    <t>AVG KILOWATT HOURS USED PER HOUSEHOLD</t>
  </si>
  <si>
    <t>EXPECTED INCREASE IN KILOWATT COST</t>
  </si>
  <si>
    <t>LESS: REPAYMENT TO NOTE HOLDERS</t>
  </si>
  <si>
    <t>AVERAGE EMPLOYMENT COST PER EMPLOYEE</t>
  </si>
  <si>
    <t>N</t>
  </si>
  <si>
    <t>CIS 3731</t>
  </si>
  <si>
    <t>Case 7 The College Town Budget</t>
  </si>
  <si>
    <t>Author: Alex Pettis</t>
  </si>
  <si>
    <t>Accelerated_Apt_Construction</t>
  </si>
  <si>
    <t>Increase_Water_Selling_2020</t>
  </si>
  <si>
    <t>Increase_Water_Selling_2021</t>
  </si>
  <si>
    <t>Increase_Water_Selling_2022</t>
  </si>
  <si>
    <t>Increase_Kilowatt_Selling_2020</t>
  </si>
  <si>
    <t>Increase_Kilowatt_Selling_2021</t>
  </si>
  <si>
    <t>Increase_Kilowatt_Selling_2022</t>
  </si>
  <si>
    <t>Property_Tax_Increase_2020</t>
  </si>
  <si>
    <t>Property_Tax_Increase_2021</t>
  </si>
  <si>
    <t>Property_Tax_Increase_2022</t>
  </si>
  <si>
    <t>Optmistic1</t>
  </si>
  <si>
    <t>Created by AppState User on 10/20/2022
Modified by AppState User on 10/20/2022</t>
  </si>
  <si>
    <t>Optmistic2</t>
  </si>
  <si>
    <t>Y</t>
  </si>
  <si>
    <t>Increase1</t>
  </si>
  <si>
    <t>Increase2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</si>
  <si>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</si>
  <si>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</si>
  <si>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</si>
  <si>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</si>
  <si>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</si>
  <si>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</si>
  <si>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</si>
  <si>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Net_Income_2022</t>
  </si>
  <si>
    <t>Cash_2022</t>
  </si>
  <si>
    <t>Debt_2022</t>
  </si>
  <si>
    <t>Property</t>
  </si>
  <si>
    <t>Tax</t>
  </si>
  <si>
    <t>Rate</t>
  </si>
  <si>
    <t>Change</t>
  </si>
  <si>
    <t>2022 NET INCOME DATA TABLE</t>
  </si>
  <si>
    <t>Kilowatt and Water Selling Rate Change</t>
  </si>
  <si>
    <t>2022 END-OF-THE-YEAR CASH ON HAND DATA TABLE</t>
  </si>
  <si>
    <t>2022 END-OF-THE-YEAR DEBT OWED DATA TABLE</t>
  </si>
  <si>
    <t>Key Results Data Dashboard for Selected Property Tax and Apt Permit Growth Decisions</t>
  </si>
  <si>
    <t>Inputs</t>
  </si>
  <si>
    <t>PROPERTY TAX RATE CHANGE</t>
  </si>
  <si>
    <t>ACCELERATED APT CONSTRUCTION (Y/N)</t>
  </si>
  <si>
    <t>2022 KEY RESULTS</t>
  </si>
  <si>
    <t>END-OF-THE-YEAR-CASH ON HAND</t>
  </si>
  <si>
    <t>UTILITIES RATE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</si>
</sst>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_(* #,##0.0_);_(* \(#,##0.0\);_(* &quot;-&quot;??_);_(@_)"/>
    <numFmt numFmtId="167" formatCode="&quot;$&quot;#,##0"/>
    <numFmt numFmtId="168" formatCode="0.0%"/>
  </numFmts>
  <fonts count="23" x14ac:knownFonts="1">
    <font>
      <sz val="11"/>
      <color theme="1"/>
      <name val="Calibri"/>
      <family val="2"/>
      <scheme val="minor"/>
    </font>
    <font>
      <b/>
      <u/>
      <sz val="14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b/>
      <sz val="12"/>
      <color theme="1"/>
      <name val="Times New Roman"/>
      <family val="1"/>
    </font>
    <font>
      <u/>
      <sz val="12"/>
      <name val="Times New Roman"/>
      <family val="1"/>
    </font>
    <font>
      <u/>
      <sz val="12"/>
      <color theme="1"/>
      <name val="Times New Roman"/>
      <family val="1"/>
    </font>
    <font>
      <u val="singleAccounting"/>
      <sz val="12"/>
      <color theme="1"/>
      <name val="Times New Roman"/>
      <family val="1"/>
    </font>
    <font>
      <b/>
      <sz val="10"/>
      <name val="Arial"/>
      <family val="2"/>
    </font>
    <font>
      <sz val="11"/>
      <color rgb="FF3F3F76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0"/>
      <name val="Times New Roman"/>
      <family val="1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3" fillId="2" borderId="1" applyNumberFormat="0" applyAlignment="0" applyProtection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4" fontId="5" fillId="0" borderId="0" xfId="2" applyFont="1"/>
    <xf numFmtId="164" fontId="5" fillId="0" borderId="0" xfId="2" applyNumberFormat="1" applyFont="1"/>
    <xf numFmtId="9" fontId="5" fillId="0" borderId="0" xfId="3" applyFont="1"/>
    <xf numFmtId="165" fontId="5" fillId="0" borderId="0" xfId="1" applyNumberFormat="1" applyFont="1"/>
    <xf numFmtId="0" fontId="9" fillId="0" borderId="0" xfId="0" applyFont="1" applyAlignment="1">
      <alignment wrapText="1"/>
    </xf>
    <xf numFmtId="0" fontId="10" fillId="0" borderId="0" xfId="0" applyFont="1"/>
    <xf numFmtId="164" fontId="5" fillId="0" borderId="0" xfId="0" applyNumberFormat="1" applyFont="1"/>
    <xf numFmtId="37" fontId="5" fillId="0" borderId="0" xfId="2" applyNumberFormat="1" applyFont="1"/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166" fontId="5" fillId="0" borderId="0" xfId="1" applyNumberFormat="1" applyFont="1"/>
    <xf numFmtId="9" fontId="13" fillId="2" borderId="1" xfId="4" applyNumberFormat="1" applyAlignment="1">
      <alignment horizontal="center"/>
    </xf>
    <xf numFmtId="0" fontId="13" fillId="2" borderId="1" xfId="4" applyAlignment="1">
      <alignment horizontal="center"/>
    </xf>
    <xf numFmtId="3" fontId="5" fillId="0" borderId="0" xfId="2" applyNumberFormat="1" applyFont="1"/>
    <xf numFmtId="3" fontId="5" fillId="0" borderId="0" xfId="0" applyNumberFormat="1" applyFont="1"/>
    <xf numFmtId="167" fontId="5" fillId="0" borderId="0" xfId="2" applyNumberFormat="1" applyFont="1"/>
    <xf numFmtId="167" fontId="7" fillId="0" borderId="0" xfId="0" applyNumberFormat="1" applyFont="1" applyAlignment="1">
      <alignment horizontal="center"/>
    </xf>
    <xf numFmtId="167" fontId="11" fillId="0" borderId="0" xfId="2" applyNumberFormat="1" applyFont="1"/>
    <xf numFmtId="167" fontId="5" fillId="0" borderId="0" xfId="0" applyNumberFormat="1" applyFont="1"/>
    <xf numFmtId="167" fontId="11" fillId="0" borderId="0" xfId="0" applyNumberFormat="1" applyFont="1"/>
    <xf numFmtId="0" fontId="0" fillId="0" borderId="0" xfId="0" applyFill="1" applyBorder="1" applyAlignment="1"/>
    <xf numFmtId="9" fontId="0" fillId="0" borderId="0" xfId="0" applyNumberFormat="1" applyFill="1" applyBorder="1" applyAlignment="1"/>
    <xf numFmtId="0" fontId="14" fillId="3" borderId="4" xfId="0" applyFont="1" applyFill="1" applyBorder="1" applyAlignment="1">
      <alignment horizontal="left"/>
    </xf>
    <xf numFmtId="0" fontId="14" fillId="3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15" fillId="4" borderId="0" xfId="0" applyFont="1" applyFill="1" applyBorder="1" applyAlignment="1">
      <alignment horizontal="left"/>
    </xf>
    <xf numFmtId="0" fontId="16" fillId="4" borderId="5" xfId="0" applyFont="1" applyFill="1" applyBorder="1" applyAlignment="1">
      <alignment horizontal="left"/>
    </xf>
    <xf numFmtId="0" fontId="15" fillId="4" borderId="3" xfId="0" applyFont="1" applyFill="1" applyBorder="1" applyAlignment="1">
      <alignment horizontal="left"/>
    </xf>
    <xf numFmtId="0" fontId="17" fillId="3" borderId="2" xfId="0" applyFont="1" applyFill="1" applyBorder="1" applyAlignment="1">
      <alignment horizontal="right"/>
    </xf>
    <xf numFmtId="0" fontId="17" fillId="3" borderId="4" xfId="0" applyFont="1" applyFill="1" applyBorder="1" applyAlignment="1">
      <alignment horizontal="right"/>
    </xf>
    <xf numFmtId="0" fontId="0" fillId="5" borderId="0" xfId="0" applyFill="1" applyBorder="1" applyAlignment="1"/>
    <xf numFmtId="9" fontId="0" fillId="5" borderId="0" xfId="0" applyNumberFormat="1" applyFill="1" applyBorder="1" applyAlignment="1"/>
    <xf numFmtId="0" fontId="18" fillId="0" borderId="0" xfId="0" applyFont="1" applyFill="1" applyBorder="1" applyAlignment="1">
      <alignment vertical="top" wrapText="1"/>
    </xf>
    <xf numFmtId="164" fontId="0" fillId="0" borderId="0" xfId="0" applyNumberFormat="1" applyFill="1" applyBorder="1" applyAlignment="1"/>
    <xf numFmtId="164" fontId="0" fillId="0" borderId="3" xfId="0" applyNumberFormat="1" applyFill="1" applyBorder="1" applyAlignment="1"/>
    <xf numFmtId="168" fontId="13" fillId="2" borderId="1" xfId="4" applyNumberFormat="1" applyAlignment="1">
      <alignment horizontal="center"/>
    </xf>
    <xf numFmtId="164" fontId="0" fillId="0" borderId="0" xfId="0" applyNumberFormat="1"/>
    <xf numFmtId="42" fontId="0" fillId="0" borderId="0" xfId="0" applyNumberFormat="1"/>
    <xf numFmtId="0" fontId="19" fillId="0" borderId="0" xfId="0" applyFont="1"/>
    <xf numFmtId="0" fontId="0" fillId="0" borderId="7" xfId="0" applyBorder="1"/>
    <xf numFmtId="0" fontId="21" fillId="0" borderId="7" xfId="0" applyFont="1" applyBorder="1"/>
    <xf numFmtId="0" fontId="21" fillId="0" borderId="0" xfId="0" applyFont="1"/>
    <xf numFmtId="0" fontId="21" fillId="0" borderId="7" xfId="0" applyFont="1" applyBorder="1" applyAlignment="1">
      <alignment horizontal="center"/>
    </xf>
    <xf numFmtId="10" fontId="21" fillId="0" borderId="0" xfId="0" applyNumberFormat="1" applyFont="1" applyAlignment="1">
      <alignment horizontal="center"/>
    </xf>
    <xf numFmtId="0" fontId="22" fillId="6" borderId="0" xfId="0" applyFont="1" applyFill="1" applyAlignment="1">
      <alignment horizontal="center"/>
    </xf>
    <xf numFmtId="10" fontId="13" fillId="2" borderId="1" xfId="4" applyNumberFormat="1" applyAlignment="1">
      <alignment horizontal="center"/>
    </xf>
    <xf numFmtId="0" fontId="0" fillId="0" borderId="0" xfId="0" applyBorder="1"/>
    <xf numFmtId="168" fontId="13" fillId="2" borderId="3" xfId="4" applyNumberFormat="1" applyBorder="1" applyAlignment="1">
      <alignment horizontal="right"/>
    </xf>
    <xf numFmtId="168" fontId="13" fillId="2" borderId="11" xfId="4" applyNumberFormat="1" applyBorder="1" applyAlignment="1">
      <alignment horizontal="right"/>
    </xf>
    <xf numFmtId="164" fontId="0" fillId="0" borderId="12" xfId="0" applyNumberFormat="1" applyBorder="1"/>
    <xf numFmtId="164" fontId="0" fillId="0" borderId="13" xfId="0" applyNumberFormat="1" applyBorder="1"/>
    <xf numFmtId="164" fontId="0" fillId="0" borderId="13" xfId="0" applyNumberFormat="1" applyFont="1" applyBorder="1"/>
    <xf numFmtId="164" fontId="0" fillId="0" borderId="0" xfId="0" applyNumberFormat="1" applyBorder="1"/>
    <xf numFmtId="164" fontId="0" fillId="0" borderId="8" xfId="0" applyNumberFormat="1" applyBorder="1"/>
    <xf numFmtId="164" fontId="0" fillId="0" borderId="14" xfId="0" applyNumberFormat="1" applyBorder="1"/>
    <xf numFmtId="164" fontId="0" fillId="0" borderId="14" xfId="0" applyNumberFormat="1" applyFont="1" applyBorder="1"/>
    <xf numFmtId="164" fontId="0" fillId="0" borderId="10" xfId="0" applyNumberFormat="1" applyBorder="1"/>
    <xf numFmtId="164" fontId="0" fillId="0" borderId="15" xfId="0" applyNumberFormat="1" applyBorder="1"/>
    <xf numFmtId="164" fontId="0" fillId="0" borderId="15" xfId="0" applyNumberFormat="1" applyFont="1" applyBorder="1"/>
    <xf numFmtId="164" fontId="0" fillId="0" borderId="9" xfId="0" applyNumberFormat="1" applyBorder="1"/>
    <xf numFmtId="0" fontId="0" fillId="0" borderId="0" xfId="0" applyAlignment="1">
      <alignment horizontal="center"/>
    </xf>
    <xf numFmtId="0" fontId="5" fillId="0" borderId="6" xfId="0" applyFont="1" applyBorder="1" applyAlignment="1">
      <alignment horizontal="center"/>
    </xf>
    <xf numFmtId="0" fontId="8" fillId="0" borderId="0" xfId="0" applyFont="1"/>
    <xf numFmtId="0" fontId="20" fillId="0" borderId="0" xfId="0" applyFont="1"/>
    <xf numFmtId="0" fontId="21" fillId="0" borderId="7" xfId="0" applyFont="1" applyBorder="1"/>
    <xf numFmtId="0" fontId="21" fillId="0" borderId="2" xfId="0" applyFont="1" applyBorder="1"/>
    <xf numFmtId="0" fontId="21" fillId="0" borderId="12" xfId="0" applyFont="1" applyBorder="1"/>
    <xf numFmtId="0" fontId="21" fillId="0" borderId="0" xfId="0" applyFont="1" applyBorder="1"/>
    <xf numFmtId="0" fontId="21" fillId="0" borderId="8" xfId="0" applyFont="1" applyBorder="1"/>
    <xf numFmtId="0" fontId="21" fillId="0" borderId="4" xfId="0" applyFont="1" applyBorder="1"/>
    <xf numFmtId="0" fontId="21" fillId="0" borderId="10" xfId="0" applyFont="1" applyBorder="1"/>
    <xf numFmtId="0" fontId="21" fillId="0" borderId="4" xfId="0" applyFont="1" applyBorder="1" applyAlignment="1">
      <alignment horizontal="center"/>
    </xf>
  </cellXfs>
  <cellStyles count="5">
    <cellStyle name="Comma" xfId="1" builtinId="3"/>
    <cellStyle name="Currency" xfId="2" builtinId="4"/>
    <cellStyle name="Input" xfId="4" builtinId="20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2022 KEY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'Key Results Dashboard'!$B$9</c:f>
              <c:strCache>
                <c:ptCount val="1"/>
                <c:pt idx="0">
                  <c:v>NET INCOME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7"/>
              <c:pt idx="0">
                <c:v>0</c:v>
              </c:pt>
              <c:pt idx="1">
                <c:v>5.0000000000000001E-3</c:v>
              </c:pt>
              <c:pt idx="2">
                <c:v>0.01</c:v>
              </c:pt>
              <c:pt idx="3">
                <c:v>1.4999999999999999E-2</c:v>
              </c:pt>
              <c:pt idx="4">
                <c:v>0.02</c:v>
              </c:pt>
              <c:pt idx="5">
                <c:v>2.5000000000000001E-2</c:v>
              </c:pt>
              <c:pt idx="6">
                <c:v>0.03</c:v>
              </c:pt>
            </c:numLit>
          </c:cat>
          <c:val>
            <c:numRef>
              <c:f>'Key Results Dashboard'!$C$9:$J$9</c:f>
              <c:numCache>
                <c:formatCode>_("$"* #,##0_);_("$"* \(#,##0\);_("$"* "-"??_);_(@_)</c:formatCode>
                <c:ptCount val="8"/>
                <c:pt idx="1">
                  <c:v>2152613.6999999881</c:v>
                </c:pt>
                <c:pt idx="2">
                  <c:v>2870738.6999999881</c:v>
                </c:pt>
                <c:pt idx="3">
                  <c:v>3592313.6999999881</c:v>
                </c:pt>
                <c:pt idx="4">
                  <c:v>4317338.6999999881</c:v>
                </c:pt>
                <c:pt idx="5">
                  <c:v>5045813.6999999881</c:v>
                </c:pt>
                <c:pt idx="6">
                  <c:v>5777738.6999999881</c:v>
                </c:pt>
                <c:pt idx="7">
                  <c:v>6513113.6999999881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9F-4C93-82A4-5DA0A4B9E870}"/>
            </c:ext>
          </c:extLst>
        </c:ser>
        <c:ser>
          <c:idx val="2"/>
          <c:order val="2"/>
          <c:tx>
            <c:strRef>
              <c:f>'Key Results Dashboard'!$B$10</c:f>
              <c:strCache>
                <c:ptCount val="1"/>
                <c:pt idx="0">
                  <c:v>END-OF-THE-YEAR-CASH ON HAND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7"/>
              <c:pt idx="0">
                <c:v>0</c:v>
              </c:pt>
              <c:pt idx="1">
                <c:v>5.0000000000000001E-3</c:v>
              </c:pt>
              <c:pt idx="2">
                <c:v>0.01</c:v>
              </c:pt>
              <c:pt idx="3">
                <c:v>1.4999999999999999E-2</c:v>
              </c:pt>
              <c:pt idx="4">
                <c:v>0.02</c:v>
              </c:pt>
              <c:pt idx="5">
                <c:v>2.5000000000000001E-2</c:v>
              </c:pt>
              <c:pt idx="6">
                <c:v>0.03</c:v>
              </c:pt>
            </c:numLit>
          </c:cat>
          <c:val>
            <c:numRef>
              <c:f>'Key Results Dashboard'!$C$10:$J$10</c:f>
              <c:numCache>
                <c:formatCode>_("$"* #,##0_);_("$"* \(#,##0\);_("$"* "-"??_);_(@_)</c:formatCode>
                <c:ptCount val="8"/>
                <c:pt idx="1">
                  <c:v>3000000</c:v>
                </c:pt>
                <c:pt idx="2">
                  <c:v>3000000</c:v>
                </c:pt>
                <c:pt idx="3">
                  <c:v>3000000</c:v>
                </c:pt>
                <c:pt idx="4">
                  <c:v>3000000</c:v>
                </c:pt>
                <c:pt idx="5">
                  <c:v>3344525.6999999881</c:v>
                </c:pt>
                <c:pt idx="6">
                  <c:v>4109450.6999999881</c:v>
                </c:pt>
                <c:pt idx="7">
                  <c:v>4877825.6999999881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9F-4C93-82A4-5DA0A4B9E870}"/>
            </c:ext>
          </c:extLst>
        </c:ser>
        <c:ser>
          <c:idx val="3"/>
          <c:order val="3"/>
          <c:tx>
            <c:strRef>
              <c:f>'Key Results Dashboard'!$B$11</c:f>
              <c:strCache>
                <c:ptCount val="1"/>
                <c:pt idx="0">
                  <c:v>END-OF-THE-YEAR DEBT OWED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7"/>
              <c:pt idx="0">
                <c:v>0</c:v>
              </c:pt>
              <c:pt idx="1">
                <c:v>5.0000000000000001E-3</c:v>
              </c:pt>
              <c:pt idx="2">
                <c:v>0.01</c:v>
              </c:pt>
              <c:pt idx="3">
                <c:v>1.4999999999999999E-2</c:v>
              </c:pt>
              <c:pt idx="4">
                <c:v>0.02</c:v>
              </c:pt>
              <c:pt idx="5">
                <c:v>2.5000000000000001E-2</c:v>
              </c:pt>
              <c:pt idx="6">
                <c:v>0.03</c:v>
              </c:pt>
            </c:numLit>
          </c:cat>
          <c:val>
            <c:numRef>
              <c:f>'Key Results Dashboard'!$C$11:$J$11</c:f>
              <c:numCache>
                <c:formatCode>_("$"* #,##0_);_("$"* \(#,##0\);_("$"* "-"??_);_(@_)</c:formatCode>
                <c:ptCount val="8"/>
                <c:pt idx="1">
                  <c:v>10180266.300000012</c:v>
                </c:pt>
                <c:pt idx="2">
                  <c:v>9132141.3000000119</c:v>
                </c:pt>
                <c:pt idx="3">
                  <c:v>8080566.3000000119</c:v>
                </c:pt>
                <c:pt idx="4">
                  <c:v>7025541.3000000119</c:v>
                </c:pt>
                <c:pt idx="5">
                  <c:v>6311592</c:v>
                </c:pt>
                <c:pt idx="6">
                  <c:v>6014592</c:v>
                </c:pt>
                <c:pt idx="7">
                  <c:v>5717592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9F-4C93-82A4-5DA0A4B9E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5628064"/>
        <c:axId val="9856205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'Key Results Dashboard'!$B$8</c15:sqref>
                        </c15:formulaRef>
                      </c:ext>
                    </c:extLst>
                    <c:strCache>
                      <c:ptCount val="1"/>
                      <c:pt idx="0">
                        <c:v>2022 KEY RESULTS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Lit>
                    <c:formatCode>General</c:formatCode>
                    <c:ptCount val="7"/>
                    <c:pt idx="0">
                      <c:v>0</c:v>
                    </c:pt>
                    <c:pt idx="1">
                      <c:v>5.0000000000000001E-3</c:v>
                    </c:pt>
                    <c:pt idx="2">
                      <c:v>0.01</c:v>
                    </c:pt>
                    <c:pt idx="3">
                      <c:v>1.4999999999999999E-2</c:v>
                    </c:pt>
                    <c:pt idx="4">
                      <c:v>0.02</c:v>
                    </c:pt>
                    <c:pt idx="5">
                      <c:v>2.5000000000000001E-2</c:v>
                    </c:pt>
                    <c:pt idx="6">
                      <c:v>0.03</c:v>
                    </c:pt>
                  </c:numLit>
                </c:cat>
                <c:val>
                  <c:numRef>
                    <c:extLst>
                      <c:ext uri="{02D57815-91ED-43cb-92C2-25804820EDAC}">
                        <c15:formulaRef>
                          <c15:sqref>'Key Results Dashboard'!$C$8:$J$8</c15:sqref>
                        </c15:formulaRef>
                      </c:ext>
                    </c:extLst>
                    <c:numCache>
                      <c:formatCode>0.0%</c:formatCode>
                      <c:ptCount val="8"/>
                      <c:pt idx="1">
                        <c:v>0</c:v>
                      </c:pt>
                      <c:pt idx="2">
                        <c:v>5.0000000000000001E-3</c:v>
                      </c:pt>
                      <c:pt idx="3">
                        <c:v>0.01</c:v>
                      </c:pt>
                      <c:pt idx="4">
                        <c:v>1.4999999999999999E-2</c:v>
                      </c:pt>
                      <c:pt idx="5">
                        <c:v>0.02</c:v>
                      </c:pt>
                      <c:pt idx="6">
                        <c:v>2.5000000000000001E-2</c:v>
                      </c:pt>
                      <c:pt idx="7">
                        <c:v>0.03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49F-4C93-82A4-5DA0A4B9E870}"/>
                  </c:ext>
                </c:extLst>
              </c15:ser>
            </c15:filteredLineSeries>
          </c:ext>
        </c:extLst>
      </c:lineChart>
      <c:catAx>
        <c:axId val="985628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Utilities Rate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620576"/>
        <c:crosses val="autoZero"/>
        <c:auto val="1"/>
        <c:lblAlgn val="ctr"/>
        <c:lblOffset val="100"/>
        <c:noMultiLvlLbl val="0"/>
      </c:catAx>
      <c:valAx>
        <c:axId val="98562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62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12</xdr:row>
      <xdr:rowOff>42861</xdr:rowOff>
    </xdr:from>
    <xdr:to>
      <xdr:col>9</xdr:col>
      <xdr:colOff>895349</xdr:colOff>
      <xdr:row>36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316364-F68A-4AB8-9DB6-6A4B09235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1D00-6234-4164-A68C-D957157C7432}">
  <dimension ref="A1:K3"/>
  <sheetViews>
    <sheetView workbookViewId="0">
      <selection activeCell="A4" sqref="A4"/>
    </sheetView>
  </sheetViews>
  <sheetFormatPr defaultColWidth="8.85546875" defaultRowHeight="15" x14ac:dyDescent="0.25"/>
  <sheetData>
    <row r="1" spans="1:11" x14ac:dyDescent="0.25">
      <c r="A1" s="67" t="s">
        <v>61</v>
      </c>
      <c r="B1" s="67"/>
      <c r="C1" s="67"/>
      <c r="D1" s="67"/>
      <c r="E1" s="67"/>
      <c r="F1" s="67"/>
      <c r="G1" s="67"/>
      <c r="H1" s="67"/>
      <c r="I1" s="67"/>
      <c r="J1" s="67"/>
      <c r="K1" s="67"/>
    </row>
    <row r="2" spans="1:11" x14ac:dyDescent="0.25">
      <c r="A2" s="67" t="s">
        <v>62</v>
      </c>
      <c r="B2" s="67"/>
      <c r="C2" s="67"/>
      <c r="D2" s="67"/>
      <c r="E2" s="67"/>
      <c r="F2" s="67"/>
      <c r="G2" s="67"/>
      <c r="H2" s="67"/>
      <c r="I2" s="67"/>
      <c r="J2" s="67"/>
    </row>
    <row r="3" spans="1:11" x14ac:dyDescent="0.25">
      <c r="A3" s="67" t="s">
        <v>63</v>
      </c>
      <c r="B3" s="67"/>
      <c r="C3" s="67"/>
      <c r="D3" s="67"/>
      <c r="E3" s="67"/>
      <c r="F3" s="67"/>
      <c r="G3" s="67"/>
      <c r="H3" s="67"/>
      <c r="I3" s="67"/>
      <c r="J3" s="67"/>
    </row>
  </sheetData>
  <mergeCells count="3">
    <mergeCell ref="A1:K1"/>
    <mergeCell ref="A2:J2"/>
    <mergeCell ref="A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452D-6811-436A-A5FD-AF8AB88C04E6}">
  <dimension ref="A1:M74"/>
  <sheetViews>
    <sheetView topLeftCell="A3" workbookViewId="0">
      <selection activeCell="E25" sqref="E25"/>
    </sheetView>
  </sheetViews>
  <sheetFormatPr defaultColWidth="8.85546875" defaultRowHeight="15.75" x14ac:dyDescent="0.25"/>
  <cols>
    <col min="1" max="1" width="54.28515625" style="4" customWidth="1"/>
    <col min="2" max="2" width="13.7109375" style="4" customWidth="1"/>
    <col min="3" max="5" width="16.85546875" style="4" bestFit="1" customWidth="1"/>
    <col min="6" max="13" width="8.85546875" style="4"/>
  </cols>
  <sheetData>
    <row r="1" spans="1:5" ht="18.75" x14ac:dyDescent="0.3">
      <c r="A1" s="1" t="s">
        <v>54</v>
      </c>
    </row>
    <row r="3" spans="1:5" x14ac:dyDescent="0.25">
      <c r="A3" s="2" t="s">
        <v>0</v>
      </c>
      <c r="B3" s="5">
        <v>2019</v>
      </c>
      <c r="C3" s="5">
        <v>2020</v>
      </c>
      <c r="D3" s="5">
        <v>2021</v>
      </c>
      <c r="E3" s="5">
        <v>2022</v>
      </c>
    </row>
    <row r="4" spans="1:5" x14ac:dyDescent="0.25">
      <c r="A4" s="4" t="s">
        <v>53</v>
      </c>
      <c r="B4" s="6" t="s">
        <v>7</v>
      </c>
      <c r="C4" s="8">
        <v>3000000</v>
      </c>
      <c r="D4" s="8">
        <v>3000000</v>
      </c>
      <c r="E4" s="8">
        <v>3000000</v>
      </c>
    </row>
    <row r="5" spans="1:5" x14ac:dyDescent="0.25">
      <c r="A5" s="4" t="s">
        <v>6</v>
      </c>
      <c r="B5" s="6" t="s">
        <v>7</v>
      </c>
      <c r="C5" s="4">
        <v>250</v>
      </c>
      <c r="D5" s="4">
        <v>250</v>
      </c>
      <c r="E5" s="4">
        <v>250</v>
      </c>
    </row>
    <row r="6" spans="1:5" x14ac:dyDescent="0.25">
      <c r="A6" s="4" t="s">
        <v>55</v>
      </c>
      <c r="B6" s="6" t="s">
        <v>7</v>
      </c>
      <c r="C6" s="10">
        <v>100</v>
      </c>
      <c r="D6" s="10">
        <v>100</v>
      </c>
      <c r="E6" s="10">
        <v>100</v>
      </c>
    </row>
    <row r="7" spans="1:5" x14ac:dyDescent="0.25">
      <c r="A7" s="4" t="s">
        <v>56</v>
      </c>
      <c r="B7" s="6" t="s">
        <v>7</v>
      </c>
      <c r="C7" s="17">
        <v>42.5</v>
      </c>
      <c r="D7" s="17">
        <v>42.5</v>
      </c>
      <c r="E7" s="17">
        <v>42.5</v>
      </c>
    </row>
    <row r="8" spans="1:5" x14ac:dyDescent="0.25">
      <c r="A8" s="4" t="s">
        <v>16</v>
      </c>
      <c r="B8" s="6" t="s">
        <v>7</v>
      </c>
      <c r="C8" s="8">
        <v>3000000</v>
      </c>
      <c r="D8" s="8">
        <v>3000000</v>
      </c>
      <c r="E8" s="8">
        <v>3000000</v>
      </c>
    </row>
    <row r="9" spans="1:5" x14ac:dyDescent="0.25">
      <c r="A9" s="4" t="s">
        <v>17</v>
      </c>
      <c r="B9" s="6" t="s">
        <v>7</v>
      </c>
      <c r="C9" s="8">
        <v>1500000</v>
      </c>
      <c r="D9" s="8">
        <v>1500000</v>
      </c>
      <c r="E9" s="8">
        <v>1500000</v>
      </c>
    </row>
    <row r="10" spans="1:5" x14ac:dyDescent="0.25">
      <c r="A10" s="4" t="s">
        <v>21</v>
      </c>
      <c r="B10" s="6" t="s">
        <v>7</v>
      </c>
      <c r="C10" s="9">
        <v>0.01</v>
      </c>
      <c r="D10" s="9">
        <v>0.01</v>
      </c>
      <c r="E10" s="9">
        <v>0.01</v>
      </c>
    </row>
    <row r="11" spans="1:5" x14ac:dyDescent="0.25">
      <c r="A11" s="4" t="s">
        <v>36</v>
      </c>
      <c r="B11" s="6" t="s">
        <v>7</v>
      </c>
      <c r="C11" s="9">
        <v>0.02</v>
      </c>
      <c r="D11" s="9">
        <v>0.02</v>
      </c>
      <c r="E11" s="9">
        <v>0.02</v>
      </c>
    </row>
    <row r="12" spans="1:5" x14ac:dyDescent="0.25">
      <c r="A12" s="4" t="s">
        <v>57</v>
      </c>
      <c r="B12" s="6" t="s">
        <v>7</v>
      </c>
      <c r="C12" s="9">
        <v>0.02</v>
      </c>
      <c r="D12" s="9">
        <v>0.02</v>
      </c>
      <c r="E12" s="9">
        <v>0.02</v>
      </c>
    </row>
    <row r="13" spans="1:5" x14ac:dyDescent="0.25">
      <c r="A13" s="4" t="s">
        <v>28</v>
      </c>
      <c r="B13" s="6" t="s">
        <v>7</v>
      </c>
      <c r="C13" s="8">
        <v>100</v>
      </c>
      <c r="D13" s="8">
        <v>110</v>
      </c>
      <c r="E13" s="8">
        <v>120</v>
      </c>
    </row>
    <row r="14" spans="1:5" x14ac:dyDescent="0.25">
      <c r="A14" s="4" t="s">
        <v>40</v>
      </c>
      <c r="B14" s="6" t="s">
        <v>7</v>
      </c>
      <c r="C14" s="8">
        <v>3000000</v>
      </c>
      <c r="D14" s="8">
        <v>3500000</v>
      </c>
      <c r="E14" s="8">
        <v>4000000</v>
      </c>
    </row>
    <row r="15" spans="1:5" x14ac:dyDescent="0.25">
      <c r="A15" s="4" t="s">
        <v>51</v>
      </c>
      <c r="B15" s="6" t="s">
        <v>7</v>
      </c>
      <c r="C15" s="9">
        <v>0.08</v>
      </c>
      <c r="D15" s="9">
        <v>0.08</v>
      </c>
      <c r="E15" s="9">
        <v>0.08</v>
      </c>
    </row>
    <row r="16" spans="1:5" x14ac:dyDescent="0.25">
      <c r="A16"/>
      <c r="B16" s="6"/>
    </row>
    <row r="17" spans="1:5" x14ac:dyDescent="0.25">
      <c r="A17" s="2" t="s">
        <v>1</v>
      </c>
      <c r="B17" s="5">
        <v>2019</v>
      </c>
      <c r="C17" s="5">
        <v>2020</v>
      </c>
      <c r="D17" s="5">
        <v>2021</v>
      </c>
      <c r="E17" s="5">
        <v>2022</v>
      </c>
    </row>
    <row r="18" spans="1:5" x14ac:dyDescent="0.25">
      <c r="A18" s="4" t="s">
        <v>14</v>
      </c>
      <c r="B18" s="6" t="s">
        <v>7</v>
      </c>
      <c r="C18" s="18">
        <v>0</v>
      </c>
      <c r="D18" s="18">
        <v>0</v>
      </c>
      <c r="E18" s="18">
        <v>0</v>
      </c>
    </row>
    <row r="19" spans="1:5" x14ac:dyDescent="0.25">
      <c r="A19" s="4" t="s">
        <v>15</v>
      </c>
      <c r="B19" s="6" t="s">
        <v>7</v>
      </c>
      <c r="C19" s="18">
        <v>0</v>
      </c>
      <c r="D19" s="18">
        <v>0</v>
      </c>
      <c r="E19" s="18">
        <v>0</v>
      </c>
    </row>
    <row r="20" spans="1:5" x14ac:dyDescent="0.25">
      <c r="A20" s="4" t="s">
        <v>18</v>
      </c>
      <c r="B20" s="6" t="s">
        <v>7</v>
      </c>
      <c r="C20" s="18">
        <v>0</v>
      </c>
      <c r="D20" s="18">
        <v>0</v>
      </c>
      <c r="E20" s="18">
        <v>0</v>
      </c>
    </row>
    <row r="21" spans="1:5" x14ac:dyDescent="0.25">
      <c r="A21" s="4" t="s">
        <v>29</v>
      </c>
      <c r="B21" s="19" t="s">
        <v>60</v>
      </c>
      <c r="C21" s="6" t="s">
        <v>7</v>
      </c>
      <c r="D21" s="6" t="s">
        <v>7</v>
      </c>
      <c r="E21" s="6" t="s">
        <v>7</v>
      </c>
    </row>
    <row r="23" spans="1:5" x14ac:dyDescent="0.25">
      <c r="A23" s="2" t="s">
        <v>2</v>
      </c>
      <c r="B23" s="5">
        <v>2019</v>
      </c>
      <c r="C23" s="5">
        <v>2020</v>
      </c>
      <c r="D23" s="5">
        <v>2021</v>
      </c>
      <c r="E23" s="5">
        <v>2022</v>
      </c>
    </row>
    <row r="24" spans="1:5" x14ac:dyDescent="0.25">
      <c r="A24" s="4" t="s">
        <v>39</v>
      </c>
      <c r="B24" s="15" t="s">
        <v>7</v>
      </c>
      <c r="C24" s="13">
        <f>C62</f>
        <v>792750</v>
      </c>
      <c r="D24" s="13">
        <f>D62</f>
        <v>490505</v>
      </c>
      <c r="E24" s="13">
        <f>E62</f>
        <v>76986.45000000298</v>
      </c>
    </row>
    <row r="25" spans="1:5" x14ac:dyDescent="0.25">
      <c r="A25" s="4" t="s">
        <v>37</v>
      </c>
      <c r="B25" s="15" t="s">
        <v>7</v>
      </c>
      <c r="C25" s="13">
        <f>C68</f>
        <v>3000000</v>
      </c>
      <c r="D25" s="13">
        <f t="shared" ref="D25:E25" si="0">D68</f>
        <v>3000000</v>
      </c>
      <c r="E25" s="13">
        <f t="shared" si="0"/>
        <v>3000000</v>
      </c>
    </row>
    <row r="26" spans="1:5" x14ac:dyDescent="0.25">
      <c r="A26" s="4" t="s">
        <v>38</v>
      </c>
      <c r="B26" s="15" t="s">
        <v>7</v>
      </c>
      <c r="C26" s="13">
        <f>C74</f>
        <v>7207250</v>
      </c>
      <c r="D26" s="13">
        <f t="shared" ref="D26:E26" si="1">D74</f>
        <v>10216745</v>
      </c>
      <c r="E26" s="13">
        <f t="shared" si="1"/>
        <v>14139758.549999997</v>
      </c>
    </row>
    <row r="27" spans="1:5" x14ac:dyDescent="0.25">
      <c r="C27" s="5"/>
      <c r="D27" s="5"/>
      <c r="E27" s="5"/>
    </row>
    <row r="28" spans="1:5" x14ac:dyDescent="0.25">
      <c r="A28" s="2" t="s">
        <v>3</v>
      </c>
      <c r="B28" s="5">
        <v>2019</v>
      </c>
      <c r="C28" s="5">
        <v>2020</v>
      </c>
      <c r="D28" s="5">
        <v>2021</v>
      </c>
      <c r="E28" s="5">
        <v>2022</v>
      </c>
    </row>
    <row r="29" spans="1:5" x14ac:dyDescent="0.25">
      <c r="A29" s="4" t="s">
        <v>6</v>
      </c>
      <c r="B29" s="6" t="s">
        <v>7</v>
      </c>
      <c r="C29" s="14">
        <f>IF(Accelerated_Apt_Construction="Y", C5+2,C5)</f>
        <v>250</v>
      </c>
      <c r="D29" s="14">
        <f>IF(Accelerated_Apt_Construction="Y", D5+2,D5)</f>
        <v>250</v>
      </c>
      <c r="E29" s="14">
        <f>IF(Accelerated_Apt_Construction="Y", E5+2,E5)</f>
        <v>250</v>
      </c>
    </row>
    <row r="30" spans="1:5" x14ac:dyDescent="0.25">
      <c r="A30" s="4" t="s">
        <v>9</v>
      </c>
      <c r="B30" s="7">
        <v>650</v>
      </c>
      <c r="C30" s="7">
        <f>B30*(1+C20)</f>
        <v>650</v>
      </c>
      <c r="D30" s="7">
        <f t="shared" ref="D30:E30" si="2">C30*(1+D20)</f>
        <v>650</v>
      </c>
      <c r="E30" s="7">
        <f t="shared" si="2"/>
        <v>650</v>
      </c>
    </row>
    <row r="31" spans="1:5" x14ac:dyDescent="0.25">
      <c r="A31" s="4" t="s">
        <v>59</v>
      </c>
      <c r="B31" s="8">
        <v>125000</v>
      </c>
      <c r="C31" s="8">
        <f>B31+(B31*C10)</f>
        <v>126250</v>
      </c>
      <c r="D31" s="8">
        <f t="shared" ref="D31:E31" si="3">C31+(C31*D10)</f>
        <v>127512.5</v>
      </c>
      <c r="E31" s="8">
        <f t="shared" si="3"/>
        <v>128787.625</v>
      </c>
    </row>
    <row r="32" spans="1:5" x14ac:dyDescent="0.25">
      <c r="A32" s="4" t="s">
        <v>35</v>
      </c>
      <c r="B32" s="6" t="s">
        <v>7</v>
      </c>
      <c r="C32" s="10">
        <f>IF(Accelerated_Apt_Construction="y",500,250)</f>
        <v>250</v>
      </c>
      <c r="D32" s="10">
        <f>IF(Accelerated_Apt_Construction="y",500,250)</f>
        <v>250</v>
      </c>
      <c r="E32" s="10">
        <f>IF(Accelerated_Apt_Construction="y",500,250)</f>
        <v>250</v>
      </c>
    </row>
    <row r="33" spans="1:5" x14ac:dyDescent="0.25">
      <c r="A33" s="4" t="s">
        <v>8</v>
      </c>
      <c r="B33" s="10">
        <v>10000</v>
      </c>
      <c r="C33" s="10">
        <f>IF(C32=500,B33+500,B33+250)</f>
        <v>10250</v>
      </c>
      <c r="D33" s="10">
        <f t="shared" ref="D33:E33" si="4">IF(D32=500,C33+500,C33+250)</f>
        <v>10500</v>
      </c>
      <c r="E33" s="10">
        <f t="shared" si="4"/>
        <v>10750</v>
      </c>
    </row>
    <row r="34" spans="1:5" x14ac:dyDescent="0.25">
      <c r="A34" s="4" t="s">
        <v>10</v>
      </c>
      <c r="B34" s="7">
        <v>4</v>
      </c>
      <c r="C34" s="7">
        <f>B34+(B34*C11)</f>
        <v>4.08</v>
      </c>
      <c r="D34" s="7">
        <f t="shared" ref="D34:E34" si="5">C34+(C34*D11)</f>
        <v>4.1616</v>
      </c>
      <c r="E34" s="7">
        <f t="shared" si="5"/>
        <v>4.2448319999999997</v>
      </c>
    </row>
    <row r="35" spans="1:5" x14ac:dyDescent="0.25">
      <c r="A35" s="4" t="s">
        <v>11</v>
      </c>
      <c r="B35" s="7">
        <v>60</v>
      </c>
      <c r="C35" s="7">
        <f>B35+(B35*C12)</f>
        <v>61.2</v>
      </c>
      <c r="D35" s="7">
        <f>C35+(C35*D12)</f>
        <v>62.423999999999999</v>
      </c>
      <c r="E35" s="7">
        <f>D35+(D35*E12)</f>
        <v>63.67248</v>
      </c>
    </row>
    <row r="36" spans="1:5" x14ac:dyDescent="0.25">
      <c r="A36" s="4" t="s">
        <v>12</v>
      </c>
      <c r="B36" s="7">
        <v>9</v>
      </c>
      <c r="C36" s="7">
        <f>B36+(B36*Increase_Water_Selling_2020)</f>
        <v>9</v>
      </c>
      <c r="D36" s="7">
        <f>C36+(C36*Increase_Water_Selling_2021)</f>
        <v>9</v>
      </c>
      <c r="E36" s="7">
        <f>D36+(D36*Increase_Water_Selling_2022)</f>
        <v>9</v>
      </c>
    </row>
    <row r="37" spans="1:5" x14ac:dyDescent="0.25">
      <c r="A37" s="4" t="s">
        <v>13</v>
      </c>
      <c r="B37" s="7">
        <v>120</v>
      </c>
      <c r="C37" s="7">
        <f>B37+(B37*Increase_Kilowatt_Selling_2020)</f>
        <v>120</v>
      </c>
      <c r="D37" s="7">
        <f>C37+(C37*Increase_Kilowatt_Selling_2021)</f>
        <v>120</v>
      </c>
      <c r="E37" s="7">
        <f>D37+(D37*Increase_Kilowatt_Selling_2022)</f>
        <v>120</v>
      </c>
    </row>
    <row r="38" spans="1:5" x14ac:dyDescent="0.25">
      <c r="A38" s="4" t="s">
        <v>33</v>
      </c>
      <c r="B38" s="6" t="s">
        <v>7</v>
      </c>
      <c r="C38" s="20">
        <f>C33*C6</f>
        <v>1025000</v>
      </c>
      <c r="D38" s="20">
        <f t="shared" ref="D38:E38" si="6">D33*D6</f>
        <v>1050000</v>
      </c>
      <c r="E38" s="20">
        <f t="shared" si="6"/>
        <v>1075000</v>
      </c>
    </row>
    <row r="39" spans="1:5" x14ac:dyDescent="0.25">
      <c r="A39" s="4" t="s">
        <v>34</v>
      </c>
      <c r="B39" s="6" t="s">
        <v>7</v>
      </c>
      <c r="C39" s="14">
        <f>C33*C7</f>
        <v>435625</v>
      </c>
      <c r="D39" s="14">
        <f t="shared" ref="D39:E39" si="7">D33*D7</f>
        <v>446250</v>
      </c>
      <c r="E39" s="14">
        <f t="shared" si="7"/>
        <v>456875</v>
      </c>
    </row>
    <row r="40" spans="1:5" x14ac:dyDescent="0.25">
      <c r="A40" s="4" t="s">
        <v>41</v>
      </c>
      <c r="B40" s="8">
        <v>9000000</v>
      </c>
      <c r="C40" s="8">
        <f>IF(Accelerated_Apt_Construction="y",B40+(B40*0.03),B40+(B40*0.01))</f>
        <v>9090000</v>
      </c>
      <c r="D40" s="8">
        <f>IF(Accelerated_Apt_Construction="y",C40+(C40*0.03),C40+(C40*0.01))</f>
        <v>9180900</v>
      </c>
      <c r="E40" s="8">
        <f>IF(Accelerated_Apt_Construction="y",D40+(D40*0.03),D40+(D40*0.01))</f>
        <v>9272709</v>
      </c>
    </row>
    <row r="41" spans="1:5" x14ac:dyDescent="0.25">
      <c r="B41" s="8"/>
      <c r="C41" s="8"/>
      <c r="D41" s="8"/>
      <c r="E41" s="8"/>
    </row>
    <row r="42" spans="1:5" ht="31.5" x14ac:dyDescent="0.25">
      <c r="A42" s="3" t="s">
        <v>5</v>
      </c>
      <c r="B42" s="5">
        <v>2019</v>
      </c>
      <c r="C42" s="5">
        <v>2020</v>
      </c>
      <c r="D42" s="5">
        <v>2021</v>
      </c>
      <c r="E42" s="5">
        <v>2022</v>
      </c>
    </row>
    <row r="43" spans="1:5" x14ac:dyDescent="0.25">
      <c r="A43" s="4" t="s">
        <v>42</v>
      </c>
      <c r="B43" s="6" t="s">
        <v>7</v>
      </c>
      <c r="C43" s="22">
        <f>C4</f>
        <v>3000000</v>
      </c>
      <c r="D43" s="22">
        <f t="shared" ref="D43:E43" si="8">D4</f>
        <v>3000000</v>
      </c>
      <c r="E43" s="22">
        <f t="shared" si="8"/>
        <v>3000000</v>
      </c>
    </row>
    <row r="44" spans="1:5" x14ac:dyDescent="0.25">
      <c r="B44" s="5"/>
      <c r="C44" s="23"/>
      <c r="D44" s="23"/>
      <c r="E44" s="23"/>
    </row>
    <row r="45" spans="1:5" x14ac:dyDescent="0.25">
      <c r="A45" s="11" t="s">
        <v>24</v>
      </c>
      <c r="B45" s="5"/>
      <c r="C45" s="23"/>
      <c r="D45" s="23"/>
      <c r="E45" s="23"/>
    </row>
    <row r="46" spans="1:5" x14ac:dyDescent="0.25">
      <c r="A46" s="4" t="s">
        <v>19</v>
      </c>
      <c r="B46" s="6" t="s">
        <v>7</v>
      </c>
      <c r="C46" s="22">
        <f>C38*C36</f>
        <v>9225000</v>
      </c>
      <c r="D46" s="22">
        <f t="shared" ref="D46:E46" si="9">D38*D36</f>
        <v>9450000</v>
      </c>
      <c r="E46" s="22">
        <f t="shared" si="9"/>
        <v>9675000</v>
      </c>
    </row>
    <row r="47" spans="1:5" x14ac:dyDescent="0.25">
      <c r="A47" s="4" t="s">
        <v>20</v>
      </c>
      <c r="B47" s="6" t="s">
        <v>7</v>
      </c>
      <c r="C47" s="22">
        <f>C39*C37</f>
        <v>52275000</v>
      </c>
      <c r="D47" s="22">
        <f t="shared" ref="D47:E47" si="10">D39*D37</f>
        <v>53550000</v>
      </c>
      <c r="E47" s="22">
        <f t="shared" si="10"/>
        <v>54825000</v>
      </c>
    </row>
    <row r="48" spans="1:5" x14ac:dyDescent="0.25">
      <c r="A48" s="4" t="s">
        <v>22</v>
      </c>
      <c r="B48" s="6" t="s">
        <v>7</v>
      </c>
      <c r="C48" s="22">
        <f>C33*C30</f>
        <v>6662500</v>
      </c>
      <c r="D48" s="22">
        <f t="shared" ref="D48:E48" si="11">D33*D30</f>
        <v>6825000</v>
      </c>
      <c r="E48" s="22">
        <f t="shared" si="11"/>
        <v>6987500</v>
      </c>
    </row>
    <row r="49" spans="1:5" x14ac:dyDescent="0.25">
      <c r="A49" s="4" t="s">
        <v>23</v>
      </c>
      <c r="B49" s="6" t="s">
        <v>7</v>
      </c>
      <c r="C49" s="22">
        <f>C8</f>
        <v>3000000</v>
      </c>
      <c r="D49" s="22">
        <f t="shared" ref="D49:E49" si="12">D8</f>
        <v>3000000</v>
      </c>
      <c r="E49" s="22">
        <f t="shared" si="12"/>
        <v>3000000</v>
      </c>
    </row>
    <row r="50" spans="1:5" x14ac:dyDescent="0.25">
      <c r="A50" s="4" t="s">
        <v>17</v>
      </c>
      <c r="B50" s="6" t="s">
        <v>7</v>
      </c>
      <c r="C50" s="22">
        <f>C9</f>
        <v>1500000</v>
      </c>
      <c r="D50" s="22">
        <f t="shared" ref="D50:E50" si="13">D9</f>
        <v>1500000</v>
      </c>
      <c r="E50" s="22">
        <f t="shared" si="13"/>
        <v>1500000</v>
      </c>
    </row>
    <row r="51" spans="1:5" ht="18" x14ac:dyDescent="0.4">
      <c r="A51" s="4" t="s">
        <v>30</v>
      </c>
      <c r="B51" s="6" t="s">
        <v>7</v>
      </c>
      <c r="C51" s="24">
        <f>C32*C13</f>
        <v>25000</v>
      </c>
      <c r="D51" s="24">
        <f t="shared" ref="D51:E51" si="14">D32*D13</f>
        <v>27500</v>
      </c>
      <c r="E51" s="24">
        <f t="shared" si="14"/>
        <v>30000</v>
      </c>
    </row>
    <row r="52" spans="1:5" x14ac:dyDescent="0.25">
      <c r="A52" s="4" t="s">
        <v>31</v>
      </c>
      <c r="B52" s="6" t="s">
        <v>7</v>
      </c>
      <c r="C52" s="22">
        <f>SUM(C46:C51)</f>
        <v>72687500</v>
      </c>
      <c r="D52" s="22">
        <f t="shared" ref="D52:E52" si="15">SUM(D46:D51)</f>
        <v>74352500</v>
      </c>
      <c r="E52" s="22">
        <f t="shared" si="15"/>
        <v>76017500</v>
      </c>
    </row>
    <row r="53" spans="1:5" x14ac:dyDescent="0.25">
      <c r="C53" s="21"/>
      <c r="D53" s="21"/>
      <c r="E53" s="21"/>
    </row>
    <row r="54" spans="1:5" x14ac:dyDescent="0.25">
      <c r="A54" s="12" t="s">
        <v>25</v>
      </c>
      <c r="C54" s="21"/>
      <c r="D54" s="21"/>
      <c r="E54" s="21"/>
    </row>
    <row r="55" spans="1:5" x14ac:dyDescent="0.25">
      <c r="A55" s="4" t="s">
        <v>26</v>
      </c>
      <c r="B55" s="6" t="s">
        <v>7</v>
      </c>
      <c r="C55" s="25">
        <f>C34*C38</f>
        <v>4182000</v>
      </c>
      <c r="D55" s="25">
        <f t="shared" ref="D55:E55" si="16">D34*D38</f>
        <v>4369680</v>
      </c>
      <c r="E55" s="25">
        <f t="shared" si="16"/>
        <v>4563194.3999999994</v>
      </c>
    </row>
    <row r="56" spans="1:5" x14ac:dyDescent="0.25">
      <c r="A56" s="4" t="s">
        <v>27</v>
      </c>
      <c r="B56" s="6" t="s">
        <v>7</v>
      </c>
      <c r="C56" s="25">
        <f>C35*C39</f>
        <v>26660250</v>
      </c>
      <c r="D56" s="25">
        <f t="shared" ref="D56:E56" si="17">D35*D39</f>
        <v>27856710</v>
      </c>
      <c r="E56" s="25">
        <f t="shared" si="17"/>
        <v>29090364.300000001</v>
      </c>
    </row>
    <row r="57" spans="1:5" x14ac:dyDescent="0.25">
      <c r="A57" s="4" t="s">
        <v>32</v>
      </c>
      <c r="B57" s="6" t="s">
        <v>7</v>
      </c>
      <c r="C57" s="25">
        <f>C29*C31</f>
        <v>31562500</v>
      </c>
      <c r="D57" s="25">
        <f>D29*D31</f>
        <v>31878125</v>
      </c>
      <c r="E57" s="25">
        <f>E29*E31</f>
        <v>32196906.25</v>
      </c>
    </row>
    <row r="58" spans="1:5" x14ac:dyDescent="0.25">
      <c r="A58" s="4" t="s">
        <v>41</v>
      </c>
      <c r="B58" s="6" t="s">
        <v>7</v>
      </c>
      <c r="C58" s="25">
        <f>C40</f>
        <v>9090000</v>
      </c>
      <c r="D58" s="25">
        <f t="shared" ref="D58:E58" si="18">D40</f>
        <v>9180900</v>
      </c>
      <c r="E58" s="25">
        <f t="shared" si="18"/>
        <v>9272709</v>
      </c>
    </row>
    <row r="59" spans="1:5" ht="18" x14ac:dyDescent="0.4">
      <c r="A59" s="4" t="s">
        <v>43</v>
      </c>
      <c r="B59" s="6" t="s">
        <v>7</v>
      </c>
      <c r="C59" s="26">
        <f>B74*C15</f>
        <v>400000</v>
      </c>
      <c r="D59" s="26">
        <f t="shared" ref="D59:E59" si="19">C74*D15</f>
        <v>576580</v>
      </c>
      <c r="E59" s="26">
        <f t="shared" si="19"/>
        <v>817339.6</v>
      </c>
    </row>
    <row r="60" spans="1:5" x14ac:dyDescent="0.25">
      <c r="A60" s="4" t="s">
        <v>50</v>
      </c>
      <c r="B60" s="6" t="s">
        <v>7</v>
      </c>
      <c r="C60" s="25">
        <f>SUM(C55:C59)</f>
        <v>71894750</v>
      </c>
      <c r="D60" s="25">
        <f t="shared" ref="D60:E60" si="20">SUM(D55:D59)</f>
        <v>73861995</v>
      </c>
      <c r="E60" s="25">
        <f t="shared" si="20"/>
        <v>75940513.549999997</v>
      </c>
    </row>
    <row r="61" spans="1:5" x14ac:dyDescent="0.25">
      <c r="C61" s="21"/>
      <c r="D61" s="21"/>
      <c r="E61" s="21"/>
    </row>
    <row r="62" spans="1:5" x14ac:dyDescent="0.25">
      <c r="A62" s="4" t="s">
        <v>52</v>
      </c>
      <c r="B62" s="6" t="s">
        <v>7</v>
      </c>
      <c r="C62" s="21">
        <f>C52-C60</f>
        <v>792750</v>
      </c>
      <c r="D62" s="21">
        <f>D52-D60</f>
        <v>490505</v>
      </c>
      <c r="E62" s="21">
        <f t="shared" ref="E62" si="21">E52-E60</f>
        <v>76986.45000000298</v>
      </c>
    </row>
    <row r="64" spans="1:5" x14ac:dyDescent="0.25">
      <c r="A64" s="4" t="s">
        <v>40</v>
      </c>
      <c r="B64" s="6" t="s">
        <v>7</v>
      </c>
      <c r="C64" s="13">
        <f>C14</f>
        <v>3000000</v>
      </c>
      <c r="D64" s="13">
        <f t="shared" ref="D64:E64" si="22">D14</f>
        <v>3500000</v>
      </c>
      <c r="E64" s="13">
        <f t="shared" si="22"/>
        <v>4000000</v>
      </c>
    </row>
    <row r="65" spans="1:5" x14ac:dyDescent="0.25">
      <c r="A65" s="4" t="s">
        <v>44</v>
      </c>
      <c r="B65" s="6" t="s">
        <v>7</v>
      </c>
      <c r="C65" s="13">
        <f>B74*0.1</f>
        <v>500000</v>
      </c>
      <c r="D65" s="13">
        <f t="shared" ref="D65:E65" si="23">C74*0.1</f>
        <v>720725</v>
      </c>
      <c r="E65" s="13">
        <f t="shared" si="23"/>
        <v>1021674.5</v>
      </c>
    </row>
    <row r="66" spans="1:5" ht="31.5" x14ac:dyDescent="0.25">
      <c r="A66" s="16" t="s">
        <v>49</v>
      </c>
      <c r="B66" s="6" t="s">
        <v>7</v>
      </c>
      <c r="C66" s="13">
        <f>C43+C62-C64-C65</f>
        <v>292750</v>
      </c>
      <c r="D66" s="13">
        <f t="shared" ref="D66:E66" si="24">D43+D62-D64-D65</f>
        <v>-730220</v>
      </c>
      <c r="E66" s="13">
        <f t="shared" si="24"/>
        <v>-1944688.049999997</v>
      </c>
    </row>
    <row r="67" spans="1:5" x14ac:dyDescent="0.25">
      <c r="A67" s="4" t="s">
        <v>45</v>
      </c>
      <c r="B67" s="6" t="s">
        <v>7</v>
      </c>
      <c r="C67" s="13">
        <f>IF(C66&lt;=C4,C4-C66,0)</f>
        <v>2707250</v>
      </c>
      <c r="D67" s="13">
        <f t="shared" ref="D67:E67" si="25">IF(D66&lt;=D4,D4-D66,0)</f>
        <v>3730220</v>
      </c>
      <c r="E67" s="13">
        <f t="shared" si="25"/>
        <v>4944688.049999997</v>
      </c>
    </row>
    <row r="68" spans="1:5" x14ac:dyDescent="0.25">
      <c r="A68" s="4" t="s">
        <v>46</v>
      </c>
      <c r="B68" s="13">
        <v>3000000</v>
      </c>
      <c r="C68" s="13">
        <f>C66+C67</f>
        <v>3000000</v>
      </c>
      <c r="D68" s="13">
        <f t="shared" ref="D68:E68" si="26">D66+D67</f>
        <v>3000000</v>
      </c>
      <c r="E68" s="13">
        <f t="shared" si="26"/>
        <v>3000000</v>
      </c>
    </row>
    <row r="70" spans="1:5" x14ac:dyDescent="0.25">
      <c r="A70" s="2" t="s">
        <v>4</v>
      </c>
    </row>
    <row r="71" spans="1:5" x14ac:dyDescent="0.25">
      <c r="A71" s="4" t="s">
        <v>47</v>
      </c>
      <c r="B71" s="6" t="s">
        <v>7</v>
      </c>
      <c r="C71" s="13">
        <f>B74</f>
        <v>5000000</v>
      </c>
      <c r="D71" s="13">
        <f t="shared" ref="D71:E71" si="27">C74</f>
        <v>7207250</v>
      </c>
      <c r="E71" s="13">
        <f t="shared" si="27"/>
        <v>10216745</v>
      </c>
    </row>
    <row r="72" spans="1:5" x14ac:dyDescent="0.25">
      <c r="A72" s="4" t="s">
        <v>45</v>
      </c>
      <c r="B72" s="6" t="s">
        <v>7</v>
      </c>
      <c r="C72" s="13">
        <f>C67</f>
        <v>2707250</v>
      </c>
      <c r="D72" s="13">
        <f t="shared" ref="D72:E72" si="28">D67</f>
        <v>3730220</v>
      </c>
      <c r="E72" s="13">
        <f t="shared" si="28"/>
        <v>4944688.049999997</v>
      </c>
    </row>
    <row r="73" spans="1:5" x14ac:dyDescent="0.25">
      <c r="A73" s="4" t="s">
        <v>58</v>
      </c>
      <c r="B73" s="6" t="s">
        <v>7</v>
      </c>
      <c r="C73" s="13">
        <f>C65</f>
        <v>500000</v>
      </c>
      <c r="D73" s="13">
        <f t="shared" ref="D73:E73" si="29">D65</f>
        <v>720725</v>
      </c>
      <c r="E73" s="13">
        <f t="shared" si="29"/>
        <v>1021674.5</v>
      </c>
    </row>
    <row r="74" spans="1:5" x14ac:dyDescent="0.25">
      <c r="A74" s="4" t="s">
        <v>48</v>
      </c>
      <c r="B74" s="13">
        <v>5000000</v>
      </c>
      <c r="C74" s="13">
        <f>C71+C72-C73</f>
        <v>7207250</v>
      </c>
      <c r="D74" s="13">
        <f t="shared" ref="D74:E74" si="30">D71+D72-D73</f>
        <v>10216745</v>
      </c>
      <c r="E74" s="13">
        <f t="shared" si="30"/>
        <v>14139758.549999997</v>
      </c>
    </row>
  </sheetData>
  <scenarios current="3" sqref="E24:E26">
    <scenario name="Optmistic1" locked="1" count="10" user="AppState User" comment="Created by AppState User on 10/20/2022_x000a_Modified by AppState User on 10/20/2022">
      <inputCells r="B21" val="N"/>
      <inputCells r="C18" val="0" numFmtId="9"/>
      <inputCells r="D18" val="0" numFmtId="9"/>
      <inputCells r="E18" val="0" numFmtId="9"/>
      <inputCells r="C19" val="0" numFmtId="9"/>
      <inputCells r="D19" val="0" numFmtId="9"/>
      <inputCells r="E19" val="0" numFmtId="9"/>
      <inputCells r="C20" val="0" numFmtId="9"/>
      <inputCells r="D20" val="0" numFmtId="9"/>
      <inputCells r="E20" val="0" numFmtId="9"/>
    </scenario>
    <scenario name="Optmistic2" locked="1" count="10" user="AppState User" comment="Created by AppState User on 10/20/2022_x000a_Modified by AppState User on 10/20/2022">
      <inputCells r="B21" val="Y"/>
      <inputCells r="C18" val="0" numFmtId="9"/>
      <inputCells r="D18" val="0" numFmtId="9"/>
      <inputCells r="E18" val="0" numFmtId="9"/>
      <inputCells r="C19" val="0" numFmtId="9"/>
      <inputCells r="D19" val="0" numFmtId="9"/>
      <inputCells r="E19" val="0" numFmtId="9"/>
      <inputCells r="C20" val="0" numFmtId="9"/>
      <inputCells r="D20" val="0" numFmtId="9"/>
      <inputCells r="E20" val="0" numFmtId="9"/>
    </scenario>
    <scenario name="Increase1" locked="1" count="10" user="AppState User" comment="Created by AppState User on 10/20/2022_x000a_Modified by AppState User on 10/20/2022">
      <inputCells r="B21" val="N"/>
      <inputCells r="C18" val="0" numFmtId="9"/>
      <inputCells r="D18" val="0.01" numFmtId="9"/>
      <inputCells r="E18" val="0.01" numFmtId="9"/>
      <inputCells r="C19" val="0" numFmtId="9"/>
      <inputCells r="D19" val="0.01" numFmtId="9"/>
      <inputCells r="E19" val="0.01" numFmtId="9"/>
      <inputCells r="C20" val="0.01" numFmtId="9"/>
      <inputCells r="D20" val="0" numFmtId="9"/>
      <inputCells r="E20" val="0" numFmtId="9"/>
    </scenario>
    <scenario name="Increase2" locked="1" count="10" user="AppState User" comment="Created by AppState User on 10/20/2022_x000a_Modified by AppState User on 10/20/2022">
      <inputCells r="B21" val="Y"/>
      <inputCells r="C18" val="0" numFmtId="9"/>
      <inputCells r="D18" val="0.01" numFmtId="9"/>
      <inputCells r="E18" val="0.01" numFmtId="9"/>
      <inputCells r="C19" val="0" numFmtId="9"/>
      <inputCells r="D19" val="0.01" numFmtId="9"/>
      <inputCells r="E19" val="0.01" numFmtId="9"/>
      <inputCells r="C20" val="0.01" numFmtId="9"/>
      <inputCells r="D20" val="0" numFmtId="9"/>
      <inputCells r="E20" val="0" numFmtId="9"/>
    </scenario>
  </scenario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0321-437D-42A7-AFA7-86EC9206C649}">
  <sheetPr>
    <outlinePr summaryBelow="0"/>
  </sheetPr>
  <dimension ref="B1:H22"/>
  <sheetViews>
    <sheetView showGridLines="0" workbookViewId="0">
      <selection activeCell="H23" sqref="H22:H23"/>
    </sheetView>
  </sheetViews>
  <sheetFormatPr defaultColWidth="8.85546875" defaultRowHeight="15" outlineLevelRow="1" outlineLevelCol="1" x14ac:dyDescent="0.25"/>
  <cols>
    <col min="3" max="3" width="29.42578125" bestFit="1" customWidth="1"/>
    <col min="4" max="8" width="13.140625" bestFit="1" customWidth="1" outlineLevel="1"/>
  </cols>
  <sheetData>
    <row r="1" spans="2:8" ht="15.75" thickBot="1" x14ac:dyDescent="0.3"/>
    <row r="2" spans="2:8" ht="15.75" x14ac:dyDescent="0.25">
      <c r="B2" s="30" t="s">
        <v>80</v>
      </c>
      <c r="C2" s="30"/>
      <c r="D2" s="35"/>
      <c r="E2" s="35"/>
      <c r="F2" s="35"/>
      <c r="G2" s="35"/>
      <c r="H2" s="35"/>
    </row>
    <row r="3" spans="2:8" ht="15.75" collapsed="1" x14ac:dyDescent="0.25">
      <c r="B3" s="29"/>
      <c r="C3" s="29"/>
      <c r="D3" s="36" t="s">
        <v>82</v>
      </c>
      <c r="E3" s="36" t="s">
        <v>74</v>
      </c>
      <c r="F3" s="36" t="s">
        <v>76</v>
      </c>
      <c r="G3" s="36" t="s">
        <v>78</v>
      </c>
      <c r="H3" s="36" t="s">
        <v>79</v>
      </c>
    </row>
    <row r="4" spans="2:8" ht="67.5" hidden="1" outlineLevel="1" x14ac:dyDescent="0.25">
      <c r="B4" s="32"/>
      <c r="C4" s="32"/>
      <c r="D4" s="27"/>
      <c r="E4" s="39" t="s">
        <v>75</v>
      </c>
      <c r="F4" s="39" t="s">
        <v>75</v>
      </c>
      <c r="G4" s="39" t="s">
        <v>75</v>
      </c>
      <c r="H4" s="39" t="s">
        <v>75</v>
      </c>
    </row>
    <row r="5" spans="2:8" x14ac:dyDescent="0.25">
      <c r="B5" s="33" t="s">
        <v>81</v>
      </c>
      <c r="C5" s="33"/>
      <c r="D5" s="31"/>
      <c r="E5" s="31"/>
      <c r="F5" s="31"/>
      <c r="G5" s="31"/>
      <c r="H5" s="31"/>
    </row>
    <row r="6" spans="2:8" outlineLevel="1" x14ac:dyDescent="0.25">
      <c r="B6" s="32"/>
      <c r="C6" s="32" t="s">
        <v>64</v>
      </c>
      <c r="D6" s="27" t="s">
        <v>60</v>
      </c>
      <c r="E6" s="37" t="s">
        <v>60</v>
      </c>
      <c r="F6" s="37" t="s">
        <v>77</v>
      </c>
      <c r="G6" s="37" t="s">
        <v>60</v>
      </c>
      <c r="H6" s="37" t="s">
        <v>77</v>
      </c>
    </row>
    <row r="7" spans="2:8" outlineLevel="1" x14ac:dyDescent="0.25">
      <c r="B7" s="32"/>
      <c r="C7" s="32" t="s">
        <v>65</v>
      </c>
      <c r="D7" s="28">
        <v>0</v>
      </c>
      <c r="E7" s="38">
        <v>0</v>
      </c>
      <c r="F7" s="38">
        <v>0</v>
      </c>
      <c r="G7" s="38">
        <v>0</v>
      </c>
      <c r="H7" s="38">
        <v>0</v>
      </c>
    </row>
    <row r="8" spans="2:8" outlineLevel="1" x14ac:dyDescent="0.25">
      <c r="B8" s="32"/>
      <c r="C8" s="32" t="s">
        <v>66</v>
      </c>
      <c r="D8" s="28">
        <v>0</v>
      </c>
      <c r="E8" s="38">
        <v>0</v>
      </c>
      <c r="F8" s="38">
        <v>0</v>
      </c>
      <c r="G8" s="38">
        <v>0.01</v>
      </c>
      <c r="H8" s="38">
        <v>0.01</v>
      </c>
    </row>
    <row r="9" spans="2:8" outlineLevel="1" x14ac:dyDescent="0.25">
      <c r="B9" s="32"/>
      <c r="C9" s="32" t="s">
        <v>67</v>
      </c>
      <c r="D9" s="28">
        <v>0</v>
      </c>
      <c r="E9" s="38">
        <v>0</v>
      </c>
      <c r="F9" s="38">
        <v>0</v>
      </c>
      <c r="G9" s="38">
        <v>0.01</v>
      </c>
      <c r="H9" s="38">
        <v>0.01</v>
      </c>
    </row>
    <row r="10" spans="2:8" outlineLevel="1" x14ac:dyDescent="0.25">
      <c r="B10" s="32"/>
      <c r="C10" s="32" t="s">
        <v>68</v>
      </c>
      <c r="D10" s="28">
        <v>0</v>
      </c>
      <c r="E10" s="38">
        <v>0</v>
      </c>
      <c r="F10" s="38">
        <v>0</v>
      </c>
      <c r="G10" s="38">
        <v>0</v>
      </c>
      <c r="H10" s="38">
        <v>0</v>
      </c>
    </row>
    <row r="11" spans="2:8" outlineLevel="1" x14ac:dyDescent="0.25">
      <c r="B11" s="32"/>
      <c r="C11" s="32" t="s">
        <v>69</v>
      </c>
      <c r="D11" s="28">
        <v>0</v>
      </c>
      <c r="E11" s="38">
        <v>0</v>
      </c>
      <c r="F11" s="38">
        <v>0</v>
      </c>
      <c r="G11" s="38">
        <v>0.01</v>
      </c>
      <c r="H11" s="38">
        <v>0.01</v>
      </c>
    </row>
    <row r="12" spans="2:8" outlineLevel="1" x14ac:dyDescent="0.25">
      <c r="B12" s="32"/>
      <c r="C12" s="32" t="s">
        <v>70</v>
      </c>
      <c r="D12" s="28">
        <v>0</v>
      </c>
      <c r="E12" s="38">
        <v>0</v>
      </c>
      <c r="F12" s="38">
        <v>0</v>
      </c>
      <c r="G12" s="38">
        <v>0.01</v>
      </c>
      <c r="H12" s="38">
        <v>0.01</v>
      </c>
    </row>
    <row r="13" spans="2:8" outlineLevel="1" x14ac:dyDescent="0.25">
      <c r="B13" s="32"/>
      <c r="C13" s="32" t="s">
        <v>71</v>
      </c>
      <c r="D13" s="28">
        <v>0</v>
      </c>
      <c r="E13" s="38">
        <v>0</v>
      </c>
      <c r="F13" s="38">
        <v>0</v>
      </c>
      <c r="G13" s="38">
        <v>0.01</v>
      </c>
      <c r="H13" s="38">
        <v>0.01</v>
      </c>
    </row>
    <row r="14" spans="2:8" outlineLevel="1" x14ac:dyDescent="0.25">
      <c r="B14" s="32"/>
      <c r="C14" s="32" t="s">
        <v>72</v>
      </c>
      <c r="D14" s="28">
        <v>0</v>
      </c>
      <c r="E14" s="38">
        <v>0</v>
      </c>
      <c r="F14" s="38">
        <v>0</v>
      </c>
      <c r="G14" s="38">
        <v>0</v>
      </c>
      <c r="H14" s="38">
        <v>0</v>
      </c>
    </row>
    <row r="15" spans="2:8" outlineLevel="1" x14ac:dyDescent="0.25">
      <c r="B15" s="32"/>
      <c r="C15" s="32" t="s">
        <v>73</v>
      </c>
      <c r="D15" s="28">
        <v>0</v>
      </c>
      <c r="E15" s="38">
        <v>0</v>
      </c>
      <c r="F15" s="38">
        <v>0</v>
      </c>
      <c r="G15" s="38">
        <v>0</v>
      </c>
      <c r="H15" s="38">
        <v>0</v>
      </c>
    </row>
    <row r="16" spans="2:8" x14ac:dyDescent="0.25">
      <c r="B16" s="33" t="s">
        <v>83</v>
      </c>
      <c r="C16" s="33"/>
      <c r="D16" s="31"/>
      <c r="E16" s="31"/>
      <c r="F16" s="31"/>
      <c r="G16" s="31"/>
      <c r="H16" s="31"/>
    </row>
    <row r="17" spans="2:8" outlineLevel="1" x14ac:dyDescent="0.25">
      <c r="B17" s="32"/>
      <c r="C17" s="32" t="s">
        <v>87</v>
      </c>
      <c r="D17" s="40">
        <v>76986.450000002995</v>
      </c>
      <c r="E17" s="40">
        <v>76986.450000002995</v>
      </c>
      <c r="F17" s="40">
        <v>2066246.8999999899</v>
      </c>
      <c r="G17" s="40">
        <v>1504927.8499999901</v>
      </c>
      <c r="H17" s="40">
        <v>3592313.6999999899</v>
      </c>
    </row>
    <row r="18" spans="2:8" outlineLevel="1" x14ac:dyDescent="0.25">
      <c r="B18" s="32"/>
      <c r="C18" s="32" t="s">
        <v>88</v>
      </c>
      <c r="D18" s="40">
        <v>3000000</v>
      </c>
      <c r="E18" s="40">
        <v>3000000</v>
      </c>
      <c r="F18" s="40">
        <v>3000000</v>
      </c>
      <c r="G18" s="40">
        <v>3000000</v>
      </c>
      <c r="H18" s="40">
        <v>3000000</v>
      </c>
    </row>
    <row r="19" spans="2:8" ht="15.75" outlineLevel="1" thickBot="1" x14ac:dyDescent="0.3">
      <c r="B19" s="34"/>
      <c r="C19" s="34" t="s">
        <v>89</v>
      </c>
      <c r="D19" s="41">
        <v>14139758.550000001</v>
      </c>
      <c r="E19" s="41">
        <v>14139758.550000001</v>
      </c>
      <c r="F19" s="41">
        <v>10411843.1</v>
      </c>
      <c r="G19" s="41">
        <v>11941612.15</v>
      </c>
      <c r="H19" s="41">
        <v>8080566.3000000101</v>
      </c>
    </row>
    <row r="20" spans="2:8" x14ac:dyDescent="0.25">
      <c r="B20" t="s">
        <v>84</v>
      </c>
    </row>
    <row r="21" spans="2:8" x14ac:dyDescent="0.25">
      <c r="B21" t="s">
        <v>85</v>
      </c>
    </row>
    <row r="22" spans="2:8" x14ac:dyDescent="0.25">
      <c r="B22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225C-46F8-4036-A797-47D8719D6D83}">
  <dimension ref="A1:Q74"/>
  <sheetViews>
    <sheetView topLeftCell="H1" workbookViewId="0">
      <selection activeCell="J31" sqref="J31"/>
    </sheetView>
  </sheetViews>
  <sheetFormatPr defaultColWidth="8.85546875" defaultRowHeight="15.75" x14ac:dyDescent="0.25"/>
  <cols>
    <col min="1" max="1" width="54.28515625" style="4" customWidth="1"/>
    <col min="2" max="2" width="13.7109375" style="4" customWidth="1"/>
    <col min="3" max="5" width="16.85546875" style="4" bestFit="1" customWidth="1"/>
    <col min="6" max="9" width="9.140625" style="4"/>
    <col min="10" max="10" width="10.28515625" style="4" bestFit="1" customWidth="1"/>
    <col min="11" max="13" width="14" style="4" bestFit="1" customWidth="1"/>
    <col min="14" max="17" width="13.85546875" bestFit="1" customWidth="1"/>
  </cols>
  <sheetData>
    <row r="1" spans="1:17" ht="18.75" x14ac:dyDescent="0.3">
      <c r="A1" s="1" t="s">
        <v>54</v>
      </c>
    </row>
    <row r="2" spans="1:17" x14ac:dyDescent="0.25">
      <c r="J2" s="69" t="s">
        <v>94</v>
      </c>
      <c r="K2" s="69"/>
      <c r="L2" s="69"/>
    </row>
    <row r="3" spans="1:17" x14ac:dyDescent="0.25">
      <c r="A3" s="2" t="s">
        <v>0</v>
      </c>
      <c r="B3" s="5">
        <v>2019</v>
      </c>
      <c r="C3" s="5">
        <v>2020</v>
      </c>
      <c r="D3" s="5">
        <v>2021</v>
      </c>
      <c r="E3" s="5">
        <v>2022</v>
      </c>
      <c r="K3" s="68" t="s">
        <v>95</v>
      </c>
      <c r="L3" s="68"/>
      <c r="M3" s="68"/>
      <c r="N3" s="68"/>
      <c r="O3" s="68"/>
      <c r="P3" s="68"/>
      <c r="Q3" s="68"/>
    </row>
    <row r="4" spans="1:17" x14ac:dyDescent="0.25">
      <c r="A4" s="4" t="s">
        <v>53</v>
      </c>
      <c r="B4" s="6" t="s">
        <v>7</v>
      </c>
      <c r="C4" s="8">
        <v>3000000</v>
      </c>
      <c r="D4" s="8">
        <v>3000000</v>
      </c>
      <c r="E4" s="8">
        <v>3000000</v>
      </c>
      <c r="J4" s="45">
        <f>Net_Income_2022</f>
        <v>2066246.8999999911</v>
      </c>
      <c r="K4" s="42">
        <v>0</v>
      </c>
      <c r="L4" s="42">
        <v>5.0000000000000001E-3</v>
      </c>
      <c r="M4" s="42">
        <v>0.01</v>
      </c>
      <c r="N4" s="42">
        <v>1.4999999999999999E-2</v>
      </c>
      <c r="O4" s="42">
        <v>0.02</v>
      </c>
      <c r="P4" s="42">
        <v>2.5000000000000001E-2</v>
      </c>
      <c r="Q4" s="42">
        <v>0.03</v>
      </c>
    </row>
    <row r="5" spans="1:17" x14ac:dyDescent="0.25">
      <c r="A5" s="4" t="s">
        <v>6</v>
      </c>
      <c r="B5" s="6" t="s">
        <v>7</v>
      </c>
      <c r="C5" s="4">
        <v>250</v>
      </c>
      <c r="D5" s="4">
        <v>250</v>
      </c>
      <c r="E5" s="4">
        <v>250</v>
      </c>
      <c r="I5" s="4" t="s">
        <v>90</v>
      </c>
      <c r="J5" s="42">
        <v>0</v>
      </c>
      <c r="K5" s="44">
        <f t="dataTable" ref="K5:Q9" dt2D="1" dtr="1" r1="D18" r2="C20" ca="1"/>
        <v>2066246.8999999911</v>
      </c>
      <c r="L5" s="44">
        <v>2784371.8999999911</v>
      </c>
      <c r="M5" s="44">
        <v>3505946.8999999911</v>
      </c>
      <c r="N5" s="44">
        <v>4230971.8999999911</v>
      </c>
      <c r="O5" s="44">
        <v>4959446.8999999911</v>
      </c>
      <c r="P5" s="44">
        <v>5691371.8999999911</v>
      </c>
      <c r="Q5" s="44">
        <v>6426746.8999999911</v>
      </c>
    </row>
    <row r="6" spans="1:17" x14ac:dyDescent="0.25">
      <c r="A6" s="4" t="s">
        <v>55</v>
      </c>
      <c r="B6" s="6" t="s">
        <v>7</v>
      </c>
      <c r="C6" s="10">
        <v>100</v>
      </c>
      <c r="D6" s="10">
        <v>100</v>
      </c>
      <c r="E6" s="10">
        <v>100</v>
      </c>
      <c r="I6" s="4" t="s">
        <v>91</v>
      </c>
      <c r="J6" s="42">
        <v>5.0000000000000001E-3</v>
      </c>
      <c r="K6" s="44">
        <v>2109430.299999997</v>
      </c>
      <c r="L6" s="44">
        <v>2827555.299999997</v>
      </c>
      <c r="M6" s="44">
        <v>3549130.299999997</v>
      </c>
      <c r="N6" s="44">
        <v>4274155.299999997</v>
      </c>
      <c r="O6" s="44">
        <v>5002630.299999997</v>
      </c>
      <c r="P6" s="44">
        <v>5734555.299999997</v>
      </c>
      <c r="Q6" s="44">
        <v>6469930.299999997</v>
      </c>
    </row>
    <row r="7" spans="1:17" x14ac:dyDescent="0.25">
      <c r="A7" s="4" t="s">
        <v>56</v>
      </c>
      <c r="B7" s="6" t="s">
        <v>7</v>
      </c>
      <c r="C7" s="17">
        <v>42.5</v>
      </c>
      <c r="D7" s="17">
        <v>42.5</v>
      </c>
      <c r="E7" s="17">
        <v>42.5</v>
      </c>
      <c r="I7" s="4" t="s">
        <v>92</v>
      </c>
      <c r="J7" s="42">
        <v>0.01</v>
      </c>
      <c r="K7" s="44">
        <v>2152613.6999999881</v>
      </c>
      <c r="L7" s="44">
        <v>2870738.6999999881</v>
      </c>
      <c r="M7" s="44">
        <v>3592313.6999999881</v>
      </c>
      <c r="N7" s="44">
        <v>4317338.6999999881</v>
      </c>
      <c r="O7" s="44">
        <v>5045813.6999999881</v>
      </c>
      <c r="P7" s="44">
        <v>5777738.6999999881</v>
      </c>
      <c r="Q7" s="44">
        <v>6513113.6999999881</v>
      </c>
    </row>
    <row r="8" spans="1:17" x14ac:dyDescent="0.25">
      <c r="A8" s="4" t="s">
        <v>16</v>
      </c>
      <c r="B8" s="6" t="s">
        <v>7</v>
      </c>
      <c r="C8" s="8">
        <v>3000000</v>
      </c>
      <c r="D8" s="8">
        <v>3000000</v>
      </c>
      <c r="E8" s="8">
        <v>3000000</v>
      </c>
      <c r="I8" s="4" t="s">
        <v>93</v>
      </c>
      <c r="J8" s="42">
        <v>1.4999999999999999E-2</v>
      </c>
      <c r="K8" s="44">
        <v>2195797.099999994</v>
      </c>
      <c r="L8" s="44">
        <v>2913922.099999994</v>
      </c>
      <c r="M8" s="44">
        <v>3635497.099999994</v>
      </c>
      <c r="N8" s="44">
        <v>4360522.099999994</v>
      </c>
      <c r="O8" s="44">
        <v>5088997.099999994</v>
      </c>
      <c r="P8" s="44">
        <v>5820922.099999994</v>
      </c>
      <c r="Q8" s="44">
        <v>6556297.099999994</v>
      </c>
    </row>
    <row r="9" spans="1:17" x14ac:dyDescent="0.25">
      <c r="A9" s="4" t="s">
        <v>17</v>
      </c>
      <c r="B9" s="6" t="s">
        <v>7</v>
      </c>
      <c r="C9" s="8">
        <v>1500000</v>
      </c>
      <c r="D9" s="8">
        <v>1500000</v>
      </c>
      <c r="E9" s="8">
        <v>1500000</v>
      </c>
      <c r="J9" s="42">
        <v>0.02</v>
      </c>
      <c r="K9" s="44">
        <v>2238980.5</v>
      </c>
      <c r="L9" s="44">
        <v>2957105.5</v>
      </c>
      <c r="M9" s="44">
        <v>3678680.5</v>
      </c>
      <c r="N9" s="44">
        <v>4403705.5</v>
      </c>
      <c r="O9" s="44">
        <v>5132180.5</v>
      </c>
      <c r="P9" s="44">
        <v>5864105.5</v>
      </c>
      <c r="Q9" s="44">
        <v>6599480.5</v>
      </c>
    </row>
    <row r="10" spans="1:17" x14ac:dyDescent="0.25">
      <c r="A10" s="4" t="s">
        <v>21</v>
      </c>
      <c r="B10" s="6" t="s">
        <v>7</v>
      </c>
      <c r="C10" s="9">
        <v>0.01</v>
      </c>
      <c r="D10" s="9">
        <v>0.01</v>
      </c>
      <c r="E10" s="9">
        <v>0.01</v>
      </c>
    </row>
    <row r="11" spans="1:17" x14ac:dyDescent="0.25">
      <c r="A11" s="4" t="s">
        <v>36</v>
      </c>
      <c r="B11" s="6" t="s">
        <v>7</v>
      </c>
      <c r="C11" s="9">
        <v>0.02</v>
      </c>
      <c r="D11" s="9">
        <v>0.02</v>
      </c>
      <c r="E11" s="9">
        <v>0.02</v>
      </c>
    </row>
    <row r="12" spans="1:17" x14ac:dyDescent="0.25">
      <c r="A12" s="4" t="s">
        <v>57</v>
      </c>
      <c r="B12" s="6" t="s">
        <v>7</v>
      </c>
      <c r="C12" s="9">
        <v>0.02</v>
      </c>
      <c r="D12" s="9">
        <v>0.02</v>
      </c>
      <c r="E12" s="9">
        <v>0.02</v>
      </c>
    </row>
    <row r="13" spans="1:17" x14ac:dyDescent="0.25">
      <c r="A13" s="4" t="s">
        <v>28</v>
      </c>
      <c r="B13" s="6" t="s">
        <v>7</v>
      </c>
      <c r="C13" s="8">
        <v>100</v>
      </c>
      <c r="D13" s="8">
        <v>110</v>
      </c>
      <c r="E13" s="8">
        <v>120</v>
      </c>
    </row>
    <row r="14" spans="1:17" x14ac:dyDescent="0.25">
      <c r="A14" s="4" t="s">
        <v>40</v>
      </c>
      <c r="B14" s="6" t="s">
        <v>7</v>
      </c>
      <c r="C14" s="8">
        <v>3000000</v>
      </c>
      <c r="D14" s="8">
        <v>3500000</v>
      </c>
      <c r="E14" s="8">
        <v>4000000</v>
      </c>
    </row>
    <row r="15" spans="1:17" x14ac:dyDescent="0.25">
      <c r="A15" s="4" t="s">
        <v>51</v>
      </c>
      <c r="B15" s="6" t="s">
        <v>7</v>
      </c>
      <c r="C15" s="9">
        <v>0.08</v>
      </c>
      <c r="D15" s="9">
        <v>0.08</v>
      </c>
      <c r="E15" s="9">
        <v>0.08</v>
      </c>
    </row>
    <row r="16" spans="1:17" x14ac:dyDescent="0.25">
      <c r="A16"/>
      <c r="B16" s="6"/>
      <c r="J16" s="69" t="s">
        <v>96</v>
      </c>
      <c r="K16" s="69"/>
      <c r="L16" s="69"/>
      <c r="M16" s="69"/>
      <c r="N16" s="69"/>
    </row>
    <row r="17" spans="1:17" x14ac:dyDescent="0.25">
      <c r="A17" s="2" t="s">
        <v>1</v>
      </c>
      <c r="B17" s="5">
        <v>2019</v>
      </c>
      <c r="C17" s="5">
        <v>2020</v>
      </c>
      <c r="D17" s="5">
        <v>2021</v>
      </c>
      <c r="E17" s="5">
        <v>2022</v>
      </c>
      <c r="K17" s="68" t="s">
        <v>95</v>
      </c>
      <c r="L17" s="68"/>
      <c r="M17" s="68"/>
      <c r="N17" s="68"/>
      <c r="O17" s="68"/>
      <c r="P17" s="68"/>
      <c r="Q17" s="68"/>
    </row>
    <row r="18" spans="1:17" x14ac:dyDescent="0.25">
      <c r="A18" s="4" t="s">
        <v>14</v>
      </c>
      <c r="B18" s="6" t="s">
        <v>7</v>
      </c>
      <c r="C18" s="18">
        <v>0</v>
      </c>
      <c r="D18" s="18">
        <v>0</v>
      </c>
      <c r="E18" s="18">
        <f>D19</f>
        <v>0</v>
      </c>
      <c r="J18" s="45">
        <f>Cash_2022</f>
        <v>3000000</v>
      </c>
      <c r="K18" s="42">
        <v>0</v>
      </c>
      <c r="L18" s="42">
        <v>5.0000000000000001E-3</v>
      </c>
      <c r="M18" s="42">
        <v>0.01</v>
      </c>
      <c r="N18" s="42">
        <v>1.4999999999999999E-2</v>
      </c>
      <c r="O18" s="42">
        <v>0.02</v>
      </c>
      <c r="P18" s="42">
        <v>2.5000000000000001E-2</v>
      </c>
      <c r="Q18" s="42">
        <v>0.03</v>
      </c>
    </row>
    <row r="19" spans="1:17" x14ac:dyDescent="0.25">
      <c r="A19" s="4" t="s">
        <v>15</v>
      </c>
      <c r="B19" s="6" t="s">
        <v>7</v>
      </c>
      <c r="C19" s="18">
        <v>0</v>
      </c>
      <c r="D19" s="18">
        <f>D18</f>
        <v>0</v>
      </c>
      <c r="E19" s="18">
        <f>D19</f>
        <v>0</v>
      </c>
      <c r="I19" s="4" t="s">
        <v>90</v>
      </c>
      <c r="J19" s="42">
        <v>0</v>
      </c>
      <c r="K19" s="13">
        <f t="dataTable" ref="K19:Q23" dt2D="1" dtr="1" r1="D18" r2="C20"/>
        <v>3000000</v>
      </c>
      <c r="L19" s="13">
        <v>3000000</v>
      </c>
      <c r="M19" s="13">
        <v>3000000</v>
      </c>
      <c r="N19" s="43">
        <v>3000000</v>
      </c>
      <c r="O19" s="43">
        <v>3243637.8999999911</v>
      </c>
      <c r="P19" s="43">
        <v>4008562.8999999911</v>
      </c>
      <c r="Q19" s="43">
        <v>4776937.8999999911</v>
      </c>
    </row>
    <row r="20" spans="1:17" x14ac:dyDescent="0.25">
      <c r="A20" s="4" t="s">
        <v>18</v>
      </c>
      <c r="B20" s="6" t="s">
        <v>7</v>
      </c>
      <c r="C20" s="18">
        <v>0</v>
      </c>
      <c r="D20" s="18">
        <v>0</v>
      </c>
      <c r="E20" s="18">
        <v>0</v>
      </c>
      <c r="I20" s="4" t="s">
        <v>91</v>
      </c>
      <c r="J20" s="42">
        <v>5.0000000000000001E-3</v>
      </c>
      <c r="K20" s="13">
        <v>3000000</v>
      </c>
      <c r="L20" s="13">
        <v>3000000</v>
      </c>
      <c r="M20" s="13">
        <v>3000000</v>
      </c>
      <c r="N20" s="43">
        <v>3000000</v>
      </c>
      <c r="O20" s="43">
        <v>3294081.799999997</v>
      </c>
      <c r="P20" s="43">
        <v>4059006.799999997</v>
      </c>
      <c r="Q20" s="43">
        <v>4827381.799999997</v>
      </c>
    </row>
    <row r="21" spans="1:17" x14ac:dyDescent="0.25">
      <c r="A21" s="4" t="s">
        <v>29</v>
      </c>
      <c r="B21" s="19" t="s">
        <v>77</v>
      </c>
      <c r="C21" s="6" t="s">
        <v>7</v>
      </c>
      <c r="D21" s="6" t="s">
        <v>7</v>
      </c>
      <c r="E21" s="6" t="s">
        <v>7</v>
      </c>
      <c r="I21" s="4" t="s">
        <v>92</v>
      </c>
      <c r="J21" s="42">
        <v>0.01</v>
      </c>
      <c r="K21" s="13">
        <v>3000000</v>
      </c>
      <c r="L21" s="13">
        <v>3000000</v>
      </c>
      <c r="M21" s="13">
        <v>3000000</v>
      </c>
      <c r="N21" s="43">
        <v>3000000</v>
      </c>
      <c r="O21" s="43">
        <v>3344525.6999999881</v>
      </c>
      <c r="P21" s="43">
        <v>4109450.6999999881</v>
      </c>
      <c r="Q21" s="43">
        <v>4877825.6999999881</v>
      </c>
    </row>
    <row r="22" spans="1:17" x14ac:dyDescent="0.25">
      <c r="I22" s="4" t="s">
        <v>93</v>
      </c>
      <c r="J22" s="42">
        <v>1.4999999999999999E-2</v>
      </c>
      <c r="K22" s="13">
        <v>3000000</v>
      </c>
      <c r="L22" s="13">
        <v>3000000</v>
      </c>
      <c r="M22" s="13">
        <v>3000000</v>
      </c>
      <c r="N22" s="43">
        <v>3000000</v>
      </c>
      <c r="O22" s="43">
        <v>3394969.599999994</v>
      </c>
      <c r="P22" s="43">
        <v>4159894.599999994</v>
      </c>
      <c r="Q22" s="43">
        <v>4928269.599999994</v>
      </c>
    </row>
    <row r="23" spans="1:17" x14ac:dyDescent="0.25">
      <c r="A23" s="2" t="s">
        <v>2</v>
      </c>
      <c r="B23" s="5">
        <v>2019</v>
      </c>
      <c r="C23" s="5">
        <v>2020</v>
      </c>
      <c r="D23" s="5">
        <v>2021</v>
      </c>
      <c r="E23" s="5">
        <v>2022</v>
      </c>
      <c r="J23" s="42">
        <v>0.02</v>
      </c>
      <c r="K23" s="13">
        <v>3000000</v>
      </c>
      <c r="L23" s="13">
        <v>3000000</v>
      </c>
      <c r="M23" s="13">
        <v>3000000</v>
      </c>
      <c r="N23" s="43">
        <v>3000000</v>
      </c>
      <c r="O23" s="43">
        <v>3445413.5</v>
      </c>
      <c r="P23" s="43">
        <v>4210338.5</v>
      </c>
      <c r="Q23" s="43">
        <v>4978713.5</v>
      </c>
    </row>
    <row r="24" spans="1:17" x14ac:dyDescent="0.25">
      <c r="A24" s="4" t="s">
        <v>39</v>
      </c>
      <c r="B24" s="15" t="s">
        <v>7</v>
      </c>
      <c r="C24" s="13">
        <f>C62</f>
        <v>1295500</v>
      </c>
      <c r="D24" s="13">
        <f>D62</f>
        <v>1726410</v>
      </c>
      <c r="E24" s="13">
        <f>E62</f>
        <v>2066246.8999999911</v>
      </c>
    </row>
    <row r="25" spans="1:17" x14ac:dyDescent="0.25">
      <c r="A25" s="4" t="s">
        <v>37</v>
      </c>
      <c r="B25" s="15" t="s">
        <v>7</v>
      </c>
      <c r="C25" s="13">
        <f>C68</f>
        <v>3000000</v>
      </c>
      <c r="D25" s="13">
        <f t="shared" ref="D25:E25" si="0">D68</f>
        <v>3000000</v>
      </c>
      <c r="E25" s="13">
        <f t="shared" si="0"/>
        <v>3000000</v>
      </c>
    </row>
    <row r="26" spans="1:17" x14ac:dyDescent="0.25">
      <c r="A26" s="4" t="s">
        <v>38</v>
      </c>
      <c r="B26" s="15" t="s">
        <v>7</v>
      </c>
      <c r="C26" s="13">
        <f>C74</f>
        <v>6704500</v>
      </c>
      <c r="D26" s="13">
        <f t="shared" ref="D26:E26" si="1">D74</f>
        <v>8478090</v>
      </c>
      <c r="E26" s="13">
        <f t="shared" si="1"/>
        <v>10411843.100000009</v>
      </c>
    </row>
    <row r="27" spans="1:17" x14ac:dyDescent="0.25">
      <c r="C27" s="5"/>
      <c r="D27" s="5"/>
      <c r="E27" s="5"/>
    </row>
    <row r="28" spans="1:17" x14ac:dyDescent="0.25">
      <c r="A28" s="2" t="s">
        <v>3</v>
      </c>
      <c r="B28" s="5">
        <v>2019</v>
      </c>
      <c r="C28" s="5">
        <v>2020</v>
      </c>
      <c r="D28" s="5">
        <v>2021</v>
      </c>
      <c r="E28" s="5">
        <v>2022</v>
      </c>
    </row>
    <row r="29" spans="1:17" x14ac:dyDescent="0.25">
      <c r="A29" s="4" t="s">
        <v>6</v>
      </c>
      <c r="B29" s="6" t="s">
        <v>7</v>
      </c>
      <c r="C29" s="14">
        <f>IF(Accelerated_Apt_Construction="Y", C5+2,C5)</f>
        <v>252</v>
      </c>
      <c r="D29" s="14">
        <f>IF(Accelerated_Apt_Construction="Y", D5+2,D5)</f>
        <v>252</v>
      </c>
      <c r="E29" s="14">
        <f>IF(Accelerated_Apt_Construction="Y", E5+2,E5)</f>
        <v>252</v>
      </c>
      <c r="J29" s="69" t="s">
        <v>97</v>
      </c>
      <c r="K29" s="69"/>
      <c r="L29" s="69"/>
      <c r="M29" s="69"/>
      <c r="N29" s="69"/>
    </row>
    <row r="30" spans="1:17" x14ac:dyDescent="0.25">
      <c r="A30" s="4" t="s">
        <v>9</v>
      </c>
      <c r="B30" s="7">
        <v>650</v>
      </c>
      <c r="C30" s="7">
        <f>B30*(1+C20)</f>
        <v>650</v>
      </c>
      <c r="D30" s="7">
        <f t="shared" ref="D30:E30" si="2">C30*(1+D20)</f>
        <v>650</v>
      </c>
      <c r="E30" s="7">
        <f t="shared" si="2"/>
        <v>650</v>
      </c>
      <c r="K30" s="68" t="s">
        <v>95</v>
      </c>
      <c r="L30" s="68"/>
      <c r="M30" s="68"/>
      <c r="N30" s="68"/>
      <c r="O30" s="68"/>
      <c r="P30" s="68"/>
      <c r="Q30" s="68"/>
    </row>
    <row r="31" spans="1:17" x14ac:dyDescent="0.25">
      <c r="A31" s="4" t="s">
        <v>59</v>
      </c>
      <c r="B31" s="8">
        <v>125000</v>
      </c>
      <c r="C31" s="8">
        <f>B31+(B31*C10)</f>
        <v>126250</v>
      </c>
      <c r="D31" s="8">
        <f t="shared" ref="D31:E31" si="3">C31+(C31*D10)</f>
        <v>127512.5</v>
      </c>
      <c r="E31" s="8">
        <f t="shared" si="3"/>
        <v>128787.625</v>
      </c>
      <c r="J31" s="45">
        <f>Debt_2022</f>
        <v>10411843.100000009</v>
      </c>
      <c r="K31" s="42">
        <v>0</v>
      </c>
      <c r="L31" s="42">
        <v>5.0000000000000001E-3</v>
      </c>
      <c r="M31" s="42">
        <v>0.01</v>
      </c>
      <c r="N31" s="42">
        <v>1.4999999999999999E-2</v>
      </c>
      <c r="O31" s="42">
        <v>0.02</v>
      </c>
      <c r="P31" s="42">
        <v>2.5000000000000001E-2</v>
      </c>
      <c r="Q31" s="42">
        <v>0.03</v>
      </c>
    </row>
    <row r="32" spans="1:17" x14ac:dyDescent="0.25">
      <c r="A32" s="4" t="s">
        <v>35</v>
      </c>
      <c r="B32" s="6" t="s">
        <v>7</v>
      </c>
      <c r="C32" s="10">
        <f>IF(Accelerated_Apt_Construction="y",500,250)</f>
        <v>500</v>
      </c>
      <c r="D32" s="10">
        <f>IF(Accelerated_Apt_Construction="y",500,250)</f>
        <v>500</v>
      </c>
      <c r="E32" s="10">
        <f>IF(Accelerated_Apt_Construction="y",500,250)</f>
        <v>500</v>
      </c>
      <c r="I32" s="4" t="s">
        <v>90</v>
      </c>
      <c r="J32" s="42">
        <v>0</v>
      </c>
      <c r="K32" s="13">
        <f t="dataTable" ref="K32:Q36" dt2D="1" dtr="1" r1="D18" r2="C20" ca="1"/>
        <v>10411843.100000009</v>
      </c>
      <c r="L32" s="13">
        <v>9363718.1000000089</v>
      </c>
      <c r="M32" s="13">
        <v>8312143.1000000089</v>
      </c>
      <c r="N32" s="43">
        <v>7257118.1000000089</v>
      </c>
      <c r="O32" s="43">
        <v>6442281</v>
      </c>
      <c r="P32" s="43">
        <v>6145281</v>
      </c>
      <c r="Q32" s="43">
        <v>5848281</v>
      </c>
    </row>
    <row r="33" spans="1:17" x14ac:dyDescent="0.25">
      <c r="A33" s="4" t="s">
        <v>8</v>
      </c>
      <c r="B33" s="10">
        <v>10000</v>
      </c>
      <c r="C33" s="10">
        <f>IF(C32=500,B33+500,B33+250)</f>
        <v>10500</v>
      </c>
      <c r="D33" s="10">
        <f t="shared" ref="D33:E33" si="4">IF(D32=500,C33+500,C33+250)</f>
        <v>11000</v>
      </c>
      <c r="E33" s="10">
        <f t="shared" si="4"/>
        <v>11500</v>
      </c>
      <c r="I33" s="4" t="s">
        <v>91</v>
      </c>
      <c r="J33" s="42">
        <v>5.0000000000000001E-3</v>
      </c>
      <c r="K33" s="13">
        <v>10296054.700000003</v>
      </c>
      <c r="L33" s="13">
        <v>9247929.700000003</v>
      </c>
      <c r="M33" s="13">
        <v>8196354.700000003</v>
      </c>
      <c r="N33" s="43">
        <v>7141329.700000003</v>
      </c>
      <c r="O33" s="43">
        <v>6376936.5</v>
      </c>
      <c r="P33" s="43">
        <v>6079936.5</v>
      </c>
      <c r="Q33" s="43">
        <v>5782936.5</v>
      </c>
    </row>
    <row r="34" spans="1:17" x14ac:dyDescent="0.25">
      <c r="A34" s="4" t="s">
        <v>10</v>
      </c>
      <c r="B34" s="7">
        <v>4</v>
      </c>
      <c r="C34" s="7">
        <f>B34+(B34*C11)</f>
        <v>4.08</v>
      </c>
      <c r="D34" s="7">
        <f t="shared" ref="D34:E34" si="5">C34+(C34*D11)</f>
        <v>4.1616</v>
      </c>
      <c r="E34" s="7">
        <f t="shared" si="5"/>
        <v>4.2448319999999997</v>
      </c>
      <c r="I34" s="4" t="s">
        <v>92</v>
      </c>
      <c r="J34" s="42">
        <v>0.01</v>
      </c>
      <c r="K34" s="13">
        <v>10180266.300000012</v>
      </c>
      <c r="L34" s="13">
        <v>9132141.3000000119</v>
      </c>
      <c r="M34" s="13">
        <v>8080566.3000000119</v>
      </c>
      <c r="N34" s="43">
        <v>7025541.3000000119</v>
      </c>
      <c r="O34" s="43">
        <v>6311592</v>
      </c>
      <c r="P34" s="43">
        <v>6014592</v>
      </c>
      <c r="Q34" s="43">
        <v>5717592</v>
      </c>
    </row>
    <row r="35" spans="1:17" x14ac:dyDescent="0.25">
      <c r="A35" s="4" t="s">
        <v>11</v>
      </c>
      <c r="B35" s="7">
        <v>60</v>
      </c>
      <c r="C35" s="7">
        <f>B35+(B35*C12)</f>
        <v>61.2</v>
      </c>
      <c r="D35" s="7">
        <f>C35+(C35*D12)</f>
        <v>62.423999999999999</v>
      </c>
      <c r="E35" s="7">
        <f>D35+(D35*E12)</f>
        <v>63.67248</v>
      </c>
      <c r="I35" s="4" t="s">
        <v>93</v>
      </c>
      <c r="J35" s="42">
        <v>1.4999999999999999E-2</v>
      </c>
      <c r="K35" s="13">
        <v>10064477.900000006</v>
      </c>
      <c r="L35" s="13">
        <v>9016352.900000006</v>
      </c>
      <c r="M35" s="13">
        <v>7964777.900000006</v>
      </c>
      <c r="N35" s="43">
        <v>6909752.900000006</v>
      </c>
      <c r="O35" s="43">
        <v>6246247.5</v>
      </c>
      <c r="P35" s="43">
        <v>5949247.5</v>
      </c>
      <c r="Q35" s="43">
        <v>5652247.5</v>
      </c>
    </row>
    <row r="36" spans="1:17" x14ac:dyDescent="0.25">
      <c r="A36" s="4" t="s">
        <v>12</v>
      </c>
      <c r="B36" s="7">
        <v>9</v>
      </c>
      <c r="C36" s="7">
        <f>B36+(B36*Increase_Water_Selling_2020)</f>
        <v>9</v>
      </c>
      <c r="D36" s="7">
        <f>C36+(C36*Increase_Water_Selling_2021)</f>
        <v>9</v>
      </c>
      <c r="E36" s="7">
        <f>D36+(D36*Increase_Water_Selling_2022)</f>
        <v>9</v>
      </c>
      <c r="J36" s="42">
        <v>0.02</v>
      </c>
      <c r="K36" s="13">
        <v>9948689.5</v>
      </c>
      <c r="L36" s="13">
        <v>8900564.5</v>
      </c>
      <c r="M36" s="13">
        <v>7848989.5</v>
      </c>
      <c r="N36" s="43">
        <v>6793964.5</v>
      </c>
      <c r="O36" s="43">
        <v>6180903</v>
      </c>
      <c r="P36" s="43">
        <v>5883903</v>
      </c>
      <c r="Q36" s="43">
        <v>5586903</v>
      </c>
    </row>
    <row r="37" spans="1:17" x14ac:dyDescent="0.25">
      <c r="A37" s="4" t="s">
        <v>13</v>
      </c>
      <c r="B37" s="7">
        <v>120</v>
      </c>
      <c r="C37" s="7">
        <f>B37+(B37*Increase_Kilowatt_Selling_2020)</f>
        <v>120</v>
      </c>
      <c r="D37" s="7">
        <f>C37+(C37*Increase_Kilowatt_Selling_2021)</f>
        <v>120</v>
      </c>
      <c r="E37" s="7">
        <f>D37+(D37*Increase_Kilowatt_Selling_2022)</f>
        <v>120</v>
      </c>
    </row>
    <row r="38" spans="1:17" x14ac:dyDescent="0.25">
      <c r="A38" s="4" t="s">
        <v>33</v>
      </c>
      <c r="B38" s="6" t="s">
        <v>7</v>
      </c>
      <c r="C38" s="20">
        <f>C33*C6</f>
        <v>1050000</v>
      </c>
      <c r="D38" s="20">
        <f t="shared" ref="D38:E38" si="6">D33*D6</f>
        <v>1100000</v>
      </c>
      <c r="E38" s="20">
        <f t="shared" si="6"/>
        <v>1150000</v>
      </c>
    </row>
    <row r="39" spans="1:17" x14ac:dyDescent="0.25">
      <c r="A39" s="4" t="s">
        <v>34</v>
      </c>
      <c r="B39" s="6" t="s">
        <v>7</v>
      </c>
      <c r="C39" s="14">
        <f>C33*C7</f>
        <v>446250</v>
      </c>
      <c r="D39" s="14">
        <f t="shared" ref="D39:E39" si="7">D33*D7</f>
        <v>467500</v>
      </c>
      <c r="E39" s="14">
        <f t="shared" si="7"/>
        <v>488750</v>
      </c>
    </row>
    <row r="40" spans="1:17" x14ac:dyDescent="0.25">
      <c r="A40" s="4" t="s">
        <v>41</v>
      </c>
      <c r="B40" s="8">
        <v>9000000</v>
      </c>
      <c r="C40" s="8">
        <f>IF(Accelerated_Apt_Construction="y",B40+(B40*0.03),B40+(B40*0.01))</f>
        <v>9270000</v>
      </c>
      <c r="D40" s="8">
        <f>IF(Accelerated_Apt_Construction="y",C40+(C40*0.03),C40+(C40*0.01))</f>
        <v>9548100</v>
      </c>
      <c r="E40" s="8">
        <f>IF(Accelerated_Apt_Construction="y",D40+(D40*0.03),D40+(D40*0.01))</f>
        <v>9834543</v>
      </c>
    </row>
    <row r="41" spans="1:17" x14ac:dyDescent="0.25">
      <c r="B41" s="8"/>
      <c r="C41" s="8"/>
      <c r="D41" s="8"/>
      <c r="E41" s="8"/>
    </row>
    <row r="42" spans="1:17" ht="31.5" x14ac:dyDescent="0.25">
      <c r="A42" s="3" t="s">
        <v>5</v>
      </c>
      <c r="B42" s="5">
        <v>2019</v>
      </c>
      <c r="C42" s="5">
        <v>2020</v>
      </c>
      <c r="D42" s="5">
        <v>2021</v>
      </c>
      <c r="E42" s="5">
        <v>2022</v>
      </c>
    </row>
    <row r="43" spans="1:17" x14ac:dyDescent="0.25">
      <c r="A43" s="4" t="s">
        <v>42</v>
      </c>
      <c r="B43" s="6" t="s">
        <v>7</v>
      </c>
      <c r="C43" s="22">
        <f>C4</f>
        <v>3000000</v>
      </c>
      <c r="D43" s="22">
        <f t="shared" ref="D43:E43" si="8">D4</f>
        <v>3000000</v>
      </c>
      <c r="E43" s="22">
        <f t="shared" si="8"/>
        <v>3000000</v>
      </c>
    </row>
    <row r="44" spans="1:17" x14ac:dyDescent="0.25">
      <c r="B44" s="5"/>
      <c r="C44" s="23"/>
      <c r="D44" s="23"/>
      <c r="E44" s="23"/>
    </row>
    <row r="45" spans="1:17" x14ac:dyDescent="0.25">
      <c r="A45" s="11" t="s">
        <v>24</v>
      </c>
      <c r="B45" s="5"/>
      <c r="C45" s="23"/>
      <c r="D45" s="23"/>
      <c r="E45" s="23"/>
    </row>
    <row r="46" spans="1:17" x14ac:dyDescent="0.25">
      <c r="A46" s="4" t="s">
        <v>19</v>
      </c>
      <c r="B46" s="6" t="s">
        <v>7</v>
      </c>
      <c r="C46" s="22">
        <f>C38*C36</f>
        <v>9450000</v>
      </c>
      <c r="D46" s="22">
        <f t="shared" ref="D46:E47" si="9">D38*D36</f>
        <v>9900000</v>
      </c>
      <c r="E46" s="22">
        <f t="shared" si="9"/>
        <v>10350000</v>
      </c>
    </row>
    <row r="47" spans="1:17" x14ac:dyDescent="0.25">
      <c r="A47" s="4" t="s">
        <v>20</v>
      </c>
      <c r="B47" s="6" t="s">
        <v>7</v>
      </c>
      <c r="C47" s="22">
        <f>C39*C37</f>
        <v>53550000</v>
      </c>
      <c r="D47" s="22">
        <f t="shared" si="9"/>
        <v>56100000</v>
      </c>
      <c r="E47" s="22">
        <f t="shared" si="9"/>
        <v>58650000</v>
      </c>
    </row>
    <row r="48" spans="1:17" x14ac:dyDescent="0.25">
      <c r="A48" s="4" t="s">
        <v>22</v>
      </c>
      <c r="B48" s="6" t="s">
        <v>7</v>
      </c>
      <c r="C48" s="22">
        <f>C33*C30</f>
        <v>6825000</v>
      </c>
      <c r="D48" s="22">
        <f t="shared" ref="D48:E48" si="10">D33*D30</f>
        <v>7150000</v>
      </c>
      <c r="E48" s="22">
        <f t="shared" si="10"/>
        <v>7475000</v>
      </c>
    </row>
    <row r="49" spans="1:5" x14ac:dyDescent="0.25">
      <c r="A49" s="4" t="s">
        <v>23</v>
      </c>
      <c r="B49" s="6" t="s">
        <v>7</v>
      </c>
      <c r="C49" s="22">
        <f>C8</f>
        <v>3000000</v>
      </c>
      <c r="D49" s="22">
        <f t="shared" ref="D49:E50" si="11">D8</f>
        <v>3000000</v>
      </c>
      <c r="E49" s="22">
        <f t="shared" si="11"/>
        <v>3000000</v>
      </c>
    </row>
    <row r="50" spans="1:5" x14ac:dyDescent="0.25">
      <c r="A50" s="4" t="s">
        <v>17</v>
      </c>
      <c r="B50" s="6" t="s">
        <v>7</v>
      </c>
      <c r="C50" s="22">
        <f>C9</f>
        <v>1500000</v>
      </c>
      <c r="D50" s="22">
        <f t="shared" si="11"/>
        <v>1500000</v>
      </c>
      <c r="E50" s="22">
        <f t="shared" si="11"/>
        <v>1500000</v>
      </c>
    </row>
    <row r="51" spans="1:5" ht="18" x14ac:dyDescent="0.4">
      <c r="A51" s="4" t="s">
        <v>30</v>
      </c>
      <c r="B51" s="6" t="s">
        <v>7</v>
      </c>
      <c r="C51" s="24">
        <f>C32*C13</f>
        <v>50000</v>
      </c>
      <c r="D51" s="24">
        <f t="shared" ref="D51:E51" si="12">D32*D13</f>
        <v>55000</v>
      </c>
      <c r="E51" s="24">
        <f t="shared" si="12"/>
        <v>60000</v>
      </c>
    </row>
    <row r="52" spans="1:5" x14ac:dyDescent="0.25">
      <c r="A52" s="4" t="s">
        <v>31</v>
      </c>
      <c r="B52" s="6" t="s">
        <v>7</v>
      </c>
      <c r="C52" s="22">
        <f>SUM(C46:C51)</f>
        <v>74375000</v>
      </c>
      <c r="D52" s="22">
        <f t="shared" ref="D52:E52" si="13">SUM(D46:D51)</f>
        <v>77705000</v>
      </c>
      <c r="E52" s="22">
        <f t="shared" si="13"/>
        <v>81035000</v>
      </c>
    </row>
    <row r="53" spans="1:5" x14ac:dyDescent="0.25">
      <c r="C53" s="21"/>
      <c r="D53" s="21"/>
      <c r="E53" s="21"/>
    </row>
    <row r="54" spans="1:5" x14ac:dyDescent="0.25">
      <c r="A54" s="12" t="s">
        <v>25</v>
      </c>
      <c r="C54" s="21"/>
      <c r="D54" s="21"/>
      <c r="E54" s="21"/>
    </row>
    <row r="55" spans="1:5" x14ac:dyDescent="0.25">
      <c r="A55" s="4" t="s">
        <v>26</v>
      </c>
      <c r="B55" s="6" t="s">
        <v>7</v>
      </c>
      <c r="C55" s="25">
        <f>C34*C38</f>
        <v>4284000</v>
      </c>
      <c r="D55" s="25">
        <f t="shared" ref="D55:E56" si="14">D34*D38</f>
        <v>4577760</v>
      </c>
      <c r="E55" s="25">
        <f t="shared" si="14"/>
        <v>4881556.8</v>
      </c>
    </row>
    <row r="56" spans="1:5" x14ac:dyDescent="0.25">
      <c r="A56" s="4" t="s">
        <v>27</v>
      </c>
      <c r="B56" s="6" t="s">
        <v>7</v>
      </c>
      <c r="C56" s="25">
        <f>C35*C39</f>
        <v>27310500</v>
      </c>
      <c r="D56" s="25">
        <f t="shared" si="14"/>
        <v>29183220</v>
      </c>
      <c r="E56" s="25">
        <f t="shared" si="14"/>
        <v>31119924.600000001</v>
      </c>
    </row>
    <row r="57" spans="1:5" x14ac:dyDescent="0.25">
      <c r="A57" s="4" t="s">
        <v>32</v>
      </c>
      <c r="B57" s="6" t="s">
        <v>7</v>
      </c>
      <c r="C57" s="25">
        <f>C29*C31</f>
        <v>31815000</v>
      </c>
      <c r="D57" s="25">
        <f>D29*D31</f>
        <v>32133150</v>
      </c>
      <c r="E57" s="25">
        <f>E29*E31</f>
        <v>32454481.5</v>
      </c>
    </row>
    <row r="58" spans="1:5" x14ac:dyDescent="0.25">
      <c r="A58" s="4" t="s">
        <v>41</v>
      </c>
      <c r="B58" s="6" t="s">
        <v>7</v>
      </c>
      <c r="C58" s="25">
        <f>C40</f>
        <v>9270000</v>
      </c>
      <c r="D58" s="25">
        <f t="shared" ref="D58:E58" si="15">D40</f>
        <v>9548100</v>
      </c>
      <c r="E58" s="25">
        <f t="shared" si="15"/>
        <v>9834543</v>
      </c>
    </row>
    <row r="59" spans="1:5" ht="18" x14ac:dyDescent="0.4">
      <c r="A59" s="4" t="s">
        <v>43</v>
      </c>
      <c r="B59" s="6" t="s">
        <v>7</v>
      </c>
      <c r="C59" s="26">
        <f>B74*C15</f>
        <v>400000</v>
      </c>
      <c r="D59" s="26">
        <f t="shared" ref="D59:E59" si="16">C74*D15</f>
        <v>536360</v>
      </c>
      <c r="E59" s="26">
        <f t="shared" si="16"/>
        <v>678247.20000000007</v>
      </c>
    </row>
    <row r="60" spans="1:5" x14ac:dyDescent="0.25">
      <c r="A60" s="4" t="s">
        <v>50</v>
      </c>
      <c r="B60" s="6" t="s">
        <v>7</v>
      </c>
      <c r="C60" s="25">
        <f>SUM(C55:C59)</f>
        <v>73079500</v>
      </c>
      <c r="D60" s="25">
        <f t="shared" ref="D60:E60" si="17">SUM(D55:D59)</f>
        <v>75978590</v>
      </c>
      <c r="E60" s="25">
        <f t="shared" si="17"/>
        <v>78968753.100000009</v>
      </c>
    </row>
    <row r="61" spans="1:5" x14ac:dyDescent="0.25">
      <c r="C61" s="21"/>
      <c r="D61" s="21"/>
      <c r="E61" s="21"/>
    </row>
    <row r="62" spans="1:5" x14ac:dyDescent="0.25">
      <c r="A62" s="4" t="s">
        <v>52</v>
      </c>
      <c r="B62" s="6" t="s">
        <v>7</v>
      </c>
      <c r="C62" s="21">
        <f>C52-C60</f>
        <v>1295500</v>
      </c>
      <c r="D62" s="21">
        <f>D52-D60</f>
        <v>1726410</v>
      </c>
      <c r="E62" s="21">
        <f t="shared" ref="E62" si="18">E52-E60</f>
        <v>2066246.8999999911</v>
      </c>
    </row>
    <row r="64" spans="1:5" x14ac:dyDescent="0.25">
      <c r="A64" s="4" t="s">
        <v>40</v>
      </c>
      <c r="B64" s="6" t="s">
        <v>7</v>
      </c>
      <c r="C64" s="13">
        <f>C14</f>
        <v>3000000</v>
      </c>
      <c r="D64" s="13">
        <f t="shared" ref="D64:E64" si="19">D14</f>
        <v>3500000</v>
      </c>
      <c r="E64" s="13">
        <f t="shared" si="19"/>
        <v>4000000</v>
      </c>
    </row>
    <row r="65" spans="1:5" x14ac:dyDescent="0.25">
      <c r="A65" s="4" t="s">
        <v>44</v>
      </c>
      <c r="B65" s="6" t="s">
        <v>7</v>
      </c>
      <c r="C65" s="13">
        <f>B74*0.1</f>
        <v>500000</v>
      </c>
      <c r="D65" s="13">
        <f t="shared" ref="D65:E65" si="20">C74*0.1</f>
        <v>670450</v>
      </c>
      <c r="E65" s="13">
        <f t="shared" si="20"/>
        <v>847809</v>
      </c>
    </row>
    <row r="66" spans="1:5" ht="31.5" x14ac:dyDescent="0.25">
      <c r="A66" s="16" t="s">
        <v>49</v>
      </c>
      <c r="B66" s="6" t="s">
        <v>7</v>
      </c>
      <c r="C66" s="13">
        <f>C43+C62-C64-C65</f>
        <v>795500</v>
      </c>
      <c r="D66" s="13">
        <f t="shared" ref="D66:E66" si="21">D43+D62-D64-D65</f>
        <v>555960</v>
      </c>
      <c r="E66" s="13">
        <f t="shared" si="21"/>
        <v>218437.89999999106</v>
      </c>
    </row>
    <row r="67" spans="1:5" x14ac:dyDescent="0.25">
      <c r="A67" s="4" t="s">
        <v>45</v>
      </c>
      <c r="B67" s="6" t="s">
        <v>7</v>
      </c>
      <c r="C67" s="13">
        <f>IF(C66&lt;=C4,C4-C66,0)</f>
        <v>2204500</v>
      </c>
      <c r="D67" s="13">
        <f t="shared" ref="D67:E67" si="22">IF(D66&lt;=D4,D4-D66,0)</f>
        <v>2444040</v>
      </c>
      <c r="E67" s="13">
        <f t="shared" si="22"/>
        <v>2781562.1000000089</v>
      </c>
    </row>
    <row r="68" spans="1:5" x14ac:dyDescent="0.25">
      <c r="A68" s="4" t="s">
        <v>46</v>
      </c>
      <c r="B68" s="13">
        <v>3000000</v>
      </c>
      <c r="C68" s="13">
        <f>C66+C67</f>
        <v>3000000</v>
      </c>
      <c r="D68" s="13">
        <f t="shared" ref="D68:E68" si="23">D66+D67</f>
        <v>3000000</v>
      </c>
      <c r="E68" s="13">
        <f t="shared" si="23"/>
        <v>3000000</v>
      </c>
    </row>
    <row r="70" spans="1:5" x14ac:dyDescent="0.25">
      <c r="A70" s="2" t="s">
        <v>4</v>
      </c>
    </row>
    <row r="71" spans="1:5" x14ac:dyDescent="0.25">
      <c r="A71" s="4" t="s">
        <v>47</v>
      </c>
      <c r="B71" s="6" t="s">
        <v>7</v>
      </c>
      <c r="C71" s="13">
        <f>B74</f>
        <v>5000000</v>
      </c>
      <c r="D71" s="13">
        <f t="shared" ref="D71:E71" si="24">C74</f>
        <v>6704500</v>
      </c>
      <c r="E71" s="13">
        <f t="shared" si="24"/>
        <v>8478090</v>
      </c>
    </row>
    <row r="72" spans="1:5" x14ac:dyDescent="0.25">
      <c r="A72" s="4" t="s">
        <v>45</v>
      </c>
      <c r="B72" s="6" t="s">
        <v>7</v>
      </c>
      <c r="C72" s="13">
        <f>C67</f>
        <v>2204500</v>
      </c>
      <c r="D72" s="13">
        <f t="shared" ref="D72:E72" si="25">D67</f>
        <v>2444040</v>
      </c>
      <c r="E72" s="13">
        <f t="shared" si="25"/>
        <v>2781562.1000000089</v>
      </c>
    </row>
    <row r="73" spans="1:5" x14ac:dyDescent="0.25">
      <c r="A73" s="4" t="s">
        <v>58</v>
      </c>
      <c r="B73" s="6" t="s">
        <v>7</v>
      </c>
      <c r="C73" s="13">
        <f>C65</f>
        <v>500000</v>
      </c>
      <c r="D73" s="13">
        <f t="shared" ref="D73:E73" si="26">D65</f>
        <v>670450</v>
      </c>
      <c r="E73" s="13">
        <f t="shared" si="26"/>
        <v>847809</v>
      </c>
    </row>
    <row r="74" spans="1:5" x14ac:dyDescent="0.25">
      <c r="A74" s="4" t="s">
        <v>48</v>
      </c>
      <c r="B74" s="13">
        <v>5000000</v>
      </c>
      <c r="C74" s="13">
        <f>C71+C72-C73</f>
        <v>6704500</v>
      </c>
      <c r="D74" s="13">
        <f t="shared" ref="D74:E74" si="27">D71+D72-D73</f>
        <v>8478090</v>
      </c>
      <c r="E74" s="13">
        <f t="shared" si="27"/>
        <v>10411843.100000009</v>
      </c>
    </row>
  </sheetData>
  <scenarios current="3" sqref="E24:E26">
    <scenario name="Optmistic1" locked="1" count="10" user="AppState User" comment="Created by AppState User on 10/20/2022_x000a_Modified by AppState User on 10/20/2022">
      <inputCells r="B21" val="N"/>
      <inputCells r="C18" val="0" numFmtId="9"/>
      <inputCells r="D18" val="0" numFmtId="9"/>
      <inputCells r="E18" val="0" numFmtId="9"/>
      <inputCells r="C19" val="0" numFmtId="9"/>
      <inputCells r="D19" val="0" numFmtId="9"/>
      <inputCells r="E19" val="0" numFmtId="9"/>
      <inputCells r="C20" val="0" numFmtId="9"/>
      <inputCells r="D20" val="0" numFmtId="9"/>
      <inputCells r="E20" val="0" numFmtId="9"/>
    </scenario>
    <scenario name="Optmistic2" locked="1" count="10" user="AppState User" comment="Created by AppState User on 10/20/2022_x000a_Modified by AppState User on 10/20/2022">
      <inputCells r="B21" val="Y"/>
      <inputCells r="C18" val="0" numFmtId="9"/>
      <inputCells r="D18" val="0" numFmtId="9"/>
      <inputCells r="E18" val="0" numFmtId="9"/>
      <inputCells r="C19" val="0" numFmtId="9"/>
      <inputCells r="D19" val="0" numFmtId="9"/>
      <inputCells r="E19" val="0" numFmtId="9"/>
      <inputCells r="C20" val="0" numFmtId="9"/>
      <inputCells r="D20" val="0" numFmtId="9"/>
      <inputCells r="E20" val="0" numFmtId="9"/>
    </scenario>
    <scenario name="Increase1" locked="1" count="10" user="AppState User" comment="Created by AppState User on 10/20/2022_x000a_Modified by AppState User on 10/20/2022">
      <inputCells r="B21" val="N"/>
      <inputCells r="C18" val="0" numFmtId="9"/>
      <inputCells r="D18" val="0.01" numFmtId="9"/>
      <inputCells r="E18" val="0.01" numFmtId="9"/>
      <inputCells r="C19" val="0" numFmtId="9"/>
      <inputCells r="D19" val="0.01" numFmtId="9"/>
      <inputCells r="E19" val="0.01" numFmtId="9"/>
      <inputCells r="C20" val="0.01" numFmtId="9"/>
      <inputCells r="D20" val="0" numFmtId="9"/>
      <inputCells r="E20" val="0" numFmtId="9"/>
    </scenario>
    <scenario name="Increase2" locked="1" count="10" user="AppState User" comment="Created by AppState User on 10/20/2022_x000a_Modified by AppState User on 10/20/2022">
      <inputCells r="B21" val="Y"/>
      <inputCells r="C18" val="0" numFmtId="9"/>
      <inputCells r="D18" val="0.01" numFmtId="9"/>
      <inputCells r="E18" val="0.01" numFmtId="9"/>
      <inputCells r="C19" val="0" numFmtId="9"/>
      <inputCells r="D19" val="0.01" numFmtId="9"/>
      <inputCells r="E19" val="0.01" numFmtId="9"/>
      <inputCells r="C20" val="0.01" numFmtId="9"/>
      <inputCells r="D20" val="0" numFmtId="9"/>
      <inputCells r="E20" val="0" numFmtId="9"/>
    </scenario>
  </scenarios>
  <mergeCells count="6">
    <mergeCell ref="K30:Q30"/>
    <mergeCell ref="J2:L2"/>
    <mergeCell ref="K3:Q3"/>
    <mergeCell ref="K17:Q17"/>
    <mergeCell ref="J16:N16"/>
    <mergeCell ref="J29:N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B1E9-63EA-364C-A4AB-C4E8763C649F}">
  <dimension ref="A1:Q74"/>
  <sheetViews>
    <sheetView topLeftCell="I4" workbookViewId="0">
      <selection activeCell="J32" sqref="J32"/>
    </sheetView>
  </sheetViews>
  <sheetFormatPr defaultColWidth="8.85546875" defaultRowHeight="15.75" x14ac:dyDescent="0.25"/>
  <cols>
    <col min="1" max="1" width="54.28515625" style="4" customWidth="1"/>
    <col min="2" max="2" width="13.7109375" style="4" customWidth="1"/>
    <col min="3" max="5" width="16.85546875" style="4" bestFit="1" customWidth="1"/>
    <col min="6" max="9" width="8.85546875" style="4"/>
    <col min="10" max="10" width="10.28515625" style="4" bestFit="1" customWidth="1"/>
    <col min="11" max="13" width="14" style="4" bestFit="1" customWidth="1"/>
    <col min="14" max="17" width="13.85546875" bestFit="1" customWidth="1"/>
  </cols>
  <sheetData>
    <row r="1" spans="1:17" ht="18.75" x14ac:dyDescent="0.3">
      <c r="A1" s="1" t="s">
        <v>54</v>
      </c>
    </row>
    <row r="2" spans="1:17" x14ac:dyDescent="0.25">
      <c r="J2" s="69" t="s">
        <v>94</v>
      </c>
      <c r="K2" s="69"/>
      <c r="L2" s="69"/>
    </row>
    <row r="3" spans="1:17" x14ac:dyDescent="0.25">
      <c r="A3" s="2" t="s">
        <v>0</v>
      </c>
      <c r="B3" s="5">
        <v>2019</v>
      </c>
      <c r="C3" s="5">
        <v>2020</v>
      </c>
      <c r="D3" s="5">
        <v>2021</v>
      </c>
      <c r="E3" s="5">
        <v>2022</v>
      </c>
      <c r="K3" s="68" t="s">
        <v>95</v>
      </c>
      <c r="L3" s="68"/>
      <c r="M3" s="68"/>
      <c r="N3" s="68"/>
      <c r="O3" s="68"/>
      <c r="P3" s="68"/>
      <c r="Q3" s="68"/>
    </row>
    <row r="4" spans="1:17" x14ac:dyDescent="0.25">
      <c r="A4" s="4" t="s">
        <v>53</v>
      </c>
      <c r="B4" s="6" t="s">
        <v>7</v>
      </c>
      <c r="C4" s="8">
        <v>3000000</v>
      </c>
      <c r="D4" s="8">
        <v>3000000</v>
      </c>
      <c r="E4" s="8">
        <v>3000000</v>
      </c>
      <c r="J4" s="45">
        <f>Net_Income_2022</f>
        <v>76986.45000000298</v>
      </c>
      <c r="K4" s="42">
        <v>0</v>
      </c>
      <c r="L4" s="42">
        <v>5.0000000000000001E-3</v>
      </c>
      <c r="M4" s="42">
        <v>0.01</v>
      </c>
      <c r="N4" s="42">
        <v>1.4999999999999999E-2</v>
      </c>
      <c r="O4" s="42">
        <v>0.02</v>
      </c>
      <c r="P4" s="42">
        <v>2.5000000000000001E-2</v>
      </c>
      <c r="Q4" s="42">
        <v>0.03</v>
      </c>
    </row>
    <row r="5" spans="1:17" x14ac:dyDescent="0.25">
      <c r="A5" s="4" t="s">
        <v>6</v>
      </c>
      <c r="B5" s="6" t="s">
        <v>7</v>
      </c>
      <c r="C5" s="4">
        <v>250</v>
      </c>
      <c r="D5" s="4">
        <v>250</v>
      </c>
      <c r="E5" s="4">
        <v>250</v>
      </c>
      <c r="I5" s="4" t="s">
        <v>90</v>
      </c>
      <c r="J5" s="42">
        <v>0</v>
      </c>
      <c r="K5" s="44">
        <f t="dataTable" ref="K5:Q9" dt2D="1" dtr="1" r1="D18" r2="C20" ca="1"/>
        <v>76986.45000000298</v>
      </c>
      <c r="L5" s="44">
        <v>748798.95000000298</v>
      </c>
      <c r="M5" s="44">
        <v>1423836.450000003</v>
      </c>
      <c r="N5" s="44">
        <v>2102098.950000003</v>
      </c>
      <c r="O5" s="44">
        <v>2783586.450000003</v>
      </c>
      <c r="P5" s="44">
        <v>3468298.950000003</v>
      </c>
      <c r="Q5" s="44">
        <v>4156236.450000003</v>
      </c>
    </row>
    <row r="6" spans="1:17" x14ac:dyDescent="0.25">
      <c r="A6" s="4" t="s">
        <v>55</v>
      </c>
      <c r="B6" s="6" t="s">
        <v>7</v>
      </c>
      <c r="C6" s="10">
        <v>100</v>
      </c>
      <c r="D6" s="10">
        <v>100</v>
      </c>
      <c r="E6" s="10">
        <v>100</v>
      </c>
      <c r="I6" s="4" t="s">
        <v>91</v>
      </c>
      <c r="J6" s="42">
        <v>5.0000000000000001E-3</v>
      </c>
      <c r="K6" s="44">
        <v>117532.14999999106</v>
      </c>
      <c r="L6" s="44">
        <v>789344.64999997616</v>
      </c>
      <c r="M6" s="44">
        <v>1464382.1499999911</v>
      </c>
      <c r="N6" s="44">
        <v>2142644.6499999911</v>
      </c>
      <c r="O6" s="44">
        <v>2824132.1499999911</v>
      </c>
      <c r="P6" s="44">
        <v>3508844.6499999911</v>
      </c>
      <c r="Q6" s="44">
        <v>4196782.1499999911</v>
      </c>
    </row>
    <row r="7" spans="1:17" x14ac:dyDescent="0.25">
      <c r="A7" s="4" t="s">
        <v>56</v>
      </c>
      <c r="B7" s="6" t="s">
        <v>7</v>
      </c>
      <c r="C7" s="17">
        <v>42.5</v>
      </c>
      <c r="D7" s="17">
        <v>42.5</v>
      </c>
      <c r="E7" s="17">
        <v>42.5</v>
      </c>
      <c r="I7" s="4" t="s">
        <v>92</v>
      </c>
      <c r="J7" s="42">
        <v>0.01</v>
      </c>
      <c r="K7" s="44">
        <v>158077.84999999404</v>
      </c>
      <c r="L7" s="44">
        <v>829890.34999999404</v>
      </c>
      <c r="M7" s="44">
        <v>1504927.849999994</v>
      </c>
      <c r="N7" s="44">
        <v>2183190.349999994</v>
      </c>
      <c r="O7" s="44">
        <v>2864677.849999994</v>
      </c>
      <c r="P7" s="44">
        <v>3549390.349999994</v>
      </c>
      <c r="Q7" s="44">
        <v>4237327.849999994</v>
      </c>
    </row>
    <row r="8" spans="1:17" x14ac:dyDescent="0.25">
      <c r="A8" s="4" t="s">
        <v>16</v>
      </c>
      <c r="B8" s="6" t="s">
        <v>7</v>
      </c>
      <c r="C8" s="8">
        <v>3000000</v>
      </c>
      <c r="D8" s="8">
        <v>3000000</v>
      </c>
      <c r="E8" s="8">
        <v>3000000</v>
      </c>
      <c r="I8" s="4" t="s">
        <v>93</v>
      </c>
      <c r="J8" s="42">
        <v>1.4999999999999999E-2</v>
      </c>
      <c r="K8" s="44">
        <v>198623.54999999702</v>
      </c>
      <c r="L8" s="44">
        <v>870436.04999998212</v>
      </c>
      <c r="M8" s="44">
        <v>1545473.549999997</v>
      </c>
      <c r="N8" s="44">
        <v>2223736.049999997</v>
      </c>
      <c r="O8" s="44">
        <v>2905223.549999997</v>
      </c>
      <c r="P8" s="44">
        <v>3589936.049999997</v>
      </c>
      <c r="Q8" s="44">
        <v>4277873.549999997</v>
      </c>
    </row>
    <row r="9" spans="1:17" x14ac:dyDescent="0.25">
      <c r="A9" s="4" t="s">
        <v>17</v>
      </c>
      <c r="B9" s="6" t="s">
        <v>7</v>
      </c>
      <c r="C9" s="8">
        <v>1500000</v>
      </c>
      <c r="D9" s="8">
        <v>1500000</v>
      </c>
      <c r="E9" s="8">
        <v>1500000</v>
      </c>
      <c r="J9" s="42">
        <v>0.02</v>
      </c>
      <c r="K9" s="44">
        <v>239169.25</v>
      </c>
      <c r="L9" s="44">
        <v>910981.75</v>
      </c>
      <c r="M9" s="44">
        <v>1586019.25</v>
      </c>
      <c r="N9" s="44">
        <v>2264281.75</v>
      </c>
      <c r="O9" s="44">
        <v>2945769.25</v>
      </c>
      <c r="P9" s="44">
        <v>3630481.75</v>
      </c>
      <c r="Q9" s="44">
        <v>4318419.25</v>
      </c>
    </row>
    <row r="10" spans="1:17" x14ac:dyDescent="0.25">
      <c r="A10" s="4" t="s">
        <v>21</v>
      </c>
      <c r="B10" s="6" t="s">
        <v>7</v>
      </c>
      <c r="C10" s="9">
        <v>0.01</v>
      </c>
      <c r="D10" s="9">
        <v>0.01</v>
      </c>
      <c r="E10" s="9">
        <v>0.01</v>
      </c>
    </row>
    <row r="11" spans="1:17" x14ac:dyDescent="0.25">
      <c r="A11" s="4" t="s">
        <v>36</v>
      </c>
      <c r="B11" s="6" t="s">
        <v>7</v>
      </c>
      <c r="C11" s="9">
        <v>0.02</v>
      </c>
      <c r="D11" s="9">
        <v>0.02</v>
      </c>
      <c r="E11" s="9">
        <v>0.02</v>
      </c>
    </row>
    <row r="12" spans="1:17" x14ac:dyDescent="0.25">
      <c r="A12" s="4" t="s">
        <v>57</v>
      </c>
      <c r="B12" s="6" t="s">
        <v>7</v>
      </c>
      <c r="C12" s="9">
        <v>0.02</v>
      </c>
      <c r="D12" s="9">
        <v>0.02</v>
      </c>
      <c r="E12" s="9">
        <v>0.02</v>
      </c>
    </row>
    <row r="13" spans="1:17" x14ac:dyDescent="0.25">
      <c r="A13" s="4" t="s">
        <v>28</v>
      </c>
      <c r="B13" s="6" t="s">
        <v>7</v>
      </c>
      <c r="C13" s="8">
        <v>100</v>
      </c>
      <c r="D13" s="8">
        <v>110</v>
      </c>
      <c r="E13" s="8">
        <v>120</v>
      </c>
    </row>
    <row r="14" spans="1:17" x14ac:dyDescent="0.25">
      <c r="A14" s="4" t="s">
        <v>40</v>
      </c>
      <c r="B14" s="6" t="s">
        <v>7</v>
      </c>
      <c r="C14" s="8">
        <v>3000000</v>
      </c>
      <c r="D14" s="8">
        <v>3500000</v>
      </c>
      <c r="E14" s="8">
        <v>4000000</v>
      </c>
    </row>
    <row r="15" spans="1:17" x14ac:dyDescent="0.25">
      <c r="A15" s="4" t="s">
        <v>51</v>
      </c>
      <c r="B15" s="6" t="s">
        <v>7</v>
      </c>
      <c r="C15" s="9">
        <v>0.08</v>
      </c>
      <c r="D15" s="9">
        <v>0.08</v>
      </c>
      <c r="E15" s="9">
        <v>0.08</v>
      </c>
    </row>
    <row r="16" spans="1:17" x14ac:dyDescent="0.25">
      <c r="A16"/>
      <c r="B16" s="6"/>
      <c r="J16" s="69" t="s">
        <v>96</v>
      </c>
      <c r="K16" s="69"/>
      <c r="L16" s="69"/>
      <c r="M16" s="69"/>
      <c r="N16" s="69"/>
    </row>
    <row r="17" spans="1:17" x14ac:dyDescent="0.25">
      <c r="A17" s="2" t="s">
        <v>1</v>
      </c>
      <c r="B17" s="5">
        <v>2019</v>
      </c>
      <c r="C17" s="5">
        <v>2020</v>
      </c>
      <c r="D17" s="5">
        <v>2021</v>
      </c>
      <c r="E17" s="5">
        <v>2022</v>
      </c>
      <c r="K17" s="68" t="s">
        <v>95</v>
      </c>
      <c r="L17" s="68"/>
      <c r="M17" s="68"/>
      <c r="N17" s="68"/>
      <c r="O17" s="68"/>
      <c r="P17" s="68"/>
      <c r="Q17" s="68"/>
    </row>
    <row r="18" spans="1:17" x14ac:dyDescent="0.25">
      <c r="A18" s="4" t="s">
        <v>14</v>
      </c>
      <c r="B18" s="6" t="s">
        <v>7</v>
      </c>
      <c r="C18" s="18">
        <v>0</v>
      </c>
      <c r="D18" s="18">
        <v>0</v>
      </c>
      <c r="E18" s="18">
        <f>D19</f>
        <v>0</v>
      </c>
      <c r="J18" s="45">
        <f>Cash_2022</f>
        <v>3000000</v>
      </c>
      <c r="K18" s="42">
        <v>0</v>
      </c>
      <c r="L18" s="42">
        <v>5.0000000000000001E-3</v>
      </c>
      <c r="M18" s="42">
        <v>0.01</v>
      </c>
      <c r="N18" s="42">
        <v>1.4999999999999999E-2</v>
      </c>
      <c r="O18" s="42">
        <v>0.02</v>
      </c>
      <c r="P18" s="42">
        <v>2.5000000000000001E-2</v>
      </c>
      <c r="Q18" s="42">
        <v>0.03</v>
      </c>
    </row>
    <row r="19" spans="1:17" x14ac:dyDescent="0.25">
      <c r="A19" s="4" t="s">
        <v>15</v>
      </c>
      <c r="B19" s="6" t="s">
        <v>7</v>
      </c>
      <c r="C19" s="18">
        <v>0</v>
      </c>
      <c r="D19" s="18">
        <f>D18</f>
        <v>0</v>
      </c>
      <c r="E19" s="18">
        <f>D19</f>
        <v>0</v>
      </c>
      <c r="I19" s="4" t="s">
        <v>90</v>
      </c>
      <c r="J19" s="42">
        <v>0</v>
      </c>
      <c r="K19" s="13">
        <f t="dataTable" ref="K19:Q23" dt2D="1" dtr="1" r1="D18" r2="C20"/>
        <v>3000000</v>
      </c>
      <c r="L19" s="13">
        <v>3000000</v>
      </c>
      <c r="M19" s="13">
        <v>3000000</v>
      </c>
      <c r="N19" s="43">
        <v>3000000</v>
      </c>
      <c r="O19" s="43">
        <v>3000000</v>
      </c>
      <c r="P19" s="43">
        <v>3000000</v>
      </c>
      <c r="Q19" s="43">
        <v>3000000</v>
      </c>
    </row>
    <row r="20" spans="1:17" x14ac:dyDescent="0.25">
      <c r="A20" s="4" t="s">
        <v>18</v>
      </c>
      <c r="B20" s="6" t="s">
        <v>7</v>
      </c>
      <c r="C20" s="18">
        <v>0</v>
      </c>
      <c r="D20" s="18">
        <v>0</v>
      </c>
      <c r="E20" s="18">
        <v>0</v>
      </c>
      <c r="I20" s="4" t="s">
        <v>91</v>
      </c>
      <c r="J20" s="42">
        <v>5.0000000000000001E-3</v>
      </c>
      <c r="K20" s="13">
        <v>3000000</v>
      </c>
      <c r="L20" s="13">
        <v>3000000</v>
      </c>
      <c r="M20" s="13">
        <v>3000000</v>
      </c>
      <c r="N20" s="43">
        <v>3000000</v>
      </c>
      <c r="O20" s="43">
        <v>3000000</v>
      </c>
      <c r="P20" s="43">
        <v>3000000</v>
      </c>
      <c r="Q20" s="43">
        <v>3000000</v>
      </c>
    </row>
    <row r="21" spans="1:17" x14ac:dyDescent="0.25">
      <c r="A21" s="4" t="s">
        <v>29</v>
      </c>
      <c r="B21" s="19" t="s">
        <v>60</v>
      </c>
      <c r="C21" s="6" t="s">
        <v>7</v>
      </c>
      <c r="D21" s="6" t="s">
        <v>7</v>
      </c>
      <c r="E21" s="6" t="s">
        <v>7</v>
      </c>
      <c r="I21" s="4" t="s">
        <v>92</v>
      </c>
      <c r="J21" s="42">
        <v>0.01</v>
      </c>
      <c r="K21" s="13">
        <v>3000000</v>
      </c>
      <c r="L21" s="13">
        <v>3000000</v>
      </c>
      <c r="M21" s="13">
        <v>3000000</v>
      </c>
      <c r="N21" s="43">
        <v>3000000</v>
      </c>
      <c r="O21" s="43">
        <v>3000000</v>
      </c>
      <c r="P21" s="43">
        <v>3000000</v>
      </c>
      <c r="Q21" s="43">
        <v>3000000</v>
      </c>
    </row>
    <row r="22" spans="1:17" x14ac:dyDescent="0.25">
      <c r="I22" s="4" t="s">
        <v>93</v>
      </c>
      <c r="J22" s="42">
        <v>1.4999999999999999E-2</v>
      </c>
      <c r="K22" s="13">
        <v>3000000</v>
      </c>
      <c r="L22" s="13">
        <v>3000000</v>
      </c>
      <c r="M22" s="13">
        <v>3000000</v>
      </c>
      <c r="N22" s="43">
        <v>3000000</v>
      </c>
      <c r="O22" s="43">
        <v>3000000</v>
      </c>
      <c r="P22" s="43">
        <v>3000000</v>
      </c>
      <c r="Q22" s="43">
        <v>3000000</v>
      </c>
    </row>
    <row r="23" spans="1:17" x14ac:dyDescent="0.25">
      <c r="A23" s="2" t="s">
        <v>2</v>
      </c>
      <c r="B23" s="5">
        <v>2019</v>
      </c>
      <c r="C23" s="5">
        <v>2020</v>
      </c>
      <c r="D23" s="5">
        <v>2021</v>
      </c>
      <c r="E23" s="5">
        <v>2022</v>
      </c>
      <c r="J23" s="42">
        <v>0.02</v>
      </c>
      <c r="K23" s="13">
        <v>3000000</v>
      </c>
      <c r="L23" s="13">
        <v>3000000</v>
      </c>
      <c r="M23" s="13">
        <v>3000000</v>
      </c>
      <c r="N23" s="43">
        <v>3000000</v>
      </c>
      <c r="O23" s="43">
        <v>3000000</v>
      </c>
      <c r="P23" s="43">
        <v>3000000</v>
      </c>
      <c r="Q23" s="43">
        <v>3000000</v>
      </c>
    </row>
    <row r="24" spans="1:17" x14ac:dyDescent="0.25">
      <c r="A24" s="4" t="s">
        <v>39</v>
      </c>
      <c r="B24" s="15" t="s">
        <v>7</v>
      </c>
      <c r="C24" s="13">
        <f>C62</f>
        <v>792750</v>
      </c>
      <c r="D24" s="13">
        <f>D62</f>
        <v>490505</v>
      </c>
      <c r="E24" s="13">
        <f>E62</f>
        <v>76986.45000000298</v>
      </c>
    </row>
    <row r="25" spans="1:17" x14ac:dyDescent="0.25">
      <c r="A25" s="4" t="s">
        <v>37</v>
      </c>
      <c r="B25" s="15" t="s">
        <v>7</v>
      </c>
      <c r="C25" s="13">
        <f>C68</f>
        <v>3000000</v>
      </c>
      <c r="D25" s="13">
        <f t="shared" ref="D25:E25" si="0">D68</f>
        <v>3000000</v>
      </c>
      <c r="E25" s="13">
        <f t="shared" si="0"/>
        <v>3000000</v>
      </c>
    </row>
    <row r="26" spans="1:17" x14ac:dyDescent="0.25">
      <c r="A26" s="4" t="s">
        <v>38</v>
      </c>
      <c r="B26" s="15" t="s">
        <v>7</v>
      </c>
      <c r="C26" s="13">
        <f>C74</f>
        <v>7207250</v>
      </c>
      <c r="D26" s="13">
        <f t="shared" ref="D26:E26" si="1">D74</f>
        <v>10216745</v>
      </c>
      <c r="E26" s="13">
        <f t="shared" si="1"/>
        <v>14139758.549999997</v>
      </c>
    </row>
    <row r="27" spans="1:17" x14ac:dyDescent="0.25">
      <c r="C27" s="5"/>
      <c r="D27" s="5"/>
      <c r="E27" s="5"/>
    </row>
    <row r="28" spans="1:17" x14ac:dyDescent="0.25">
      <c r="A28" s="2" t="s">
        <v>3</v>
      </c>
      <c r="B28" s="5">
        <v>2019</v>
      </c>
      <c r="C28" s="5">
        <v>2020</v>
      </c>
      <c r="D28" s="5">
        <v>2021</v>
      </c>
      <c r="E28" s="5">
        <v>2022</v>
      </c>
    </row>
    <row r="29" spans="1:17" x14ac:dyDescent="0.25">
      <c r="A29" s="4" t="s">
        <v>6</v>
      </c>
      <c r="B29" s="6" t="s">
        <v>7</v>
      </c>
      <c r="C29" s="14">
        <f>IF(Accelerated_Apt_Construction="Y", C5+2,C5)</f>
        <v>250</v>
      </c>
      <c r="D29" s="14">
        <f>IF(Accelerated_Apt_Construction="Y", D5+2,D5)</f>
        <v>250</v>
      </c>
      <c r="E29" s="14">
        <f>IF(Accelerated_Apt_Construction="Y", E5+2,E5)</f>
        <v>250</v>
      </c>
      <c r="J29" s="69" t="s">
        <v>97</v>
      </c>
      <c r="K29" s="69"/>
      <c r="L29" s="69"/>
      <c r="M29" s="69"/>
      <c r="N29" s="69"/>
    </row>
    <row r="30" spans="1:17" x14ac:dyDescent="0.25">
      <c r="A30" s="4" t="s">
        <v>9</v>
      </c>
      <c r="B30" s="7">
        <v>650</v>
      </c>
      <c r="C30" s="7">
        <f>B30*(1+C20)</f>
        <v>650</v>
      </c>
      <c r="D30" s="7">
        <f t="shared" ref="D30:E30" si="2">C30*(1+D20)</f>
        <v>650</v>
      </c>
      <c r="E30" s="7">
        <f t="shared" si="2"/>
        <v>650</v>
      </c>
      <c r="K30" s="68" t="s">
        <v>95</v>
      </c>
      <c r="L30" s="68"/>
      <c r="M30" s="68"/>
      <c r="N30" s="68"/>
      <c r="O30" s="68"/>
      <c r="P30" s="68"/>
      <c r="Q30" s="68"/>
    </row>
    <row r="31" spans="1:17" x14ac:dyDescent="0.25">
      <c r="A31" s="4" t="s">
        <v>59</v>
      </c>
      <c r="B31" s="8">
        <v>125000</v>
      </c>
      <c r="C31" s="8">
        <f>B31+(B31*C10)</f>
        <v>126250</v>
      </c>
      <c r="D31" s="8">
        <f t="shared" ref="D31:E31" si="3">C31+(C31*D10)</f>
        <v>127512.5</v>
      </c>
      <c r="E31" s="8">
        <f t="shared" si="3"/>
        <v>128787.625</v>
      </c>
      <c r="J31" s="45">
        <f>Debt_2022</f>
        <v>14139758.549999997</v>
      </c>
      <c r="K31" s="42">
        <v>0</v>
      </c>
      <c r="L31" s="42">
        <v>5.0000000000000001E-3</v>
      </c>
      <c r="M31" s="42">
        <v>0.01</v>
      </c>
      <c r="N31" s="42">
        <v>1.4999999999999999E-2</v>
      </c>
      <c r="O31" s="42">
        <v>0.02</v>
      </c>
      <c r="P31" s="42">
        <v>2.5000000000000001E-2</v>
      </c>
      <c r="Q31" s="42">
        <v>0.03</v>
      </c>
    </row>
    <row r="32" spans="1:17" x14ac:dyDescent="0.25">
      <c r="A32" s="4" t="s">
        <v>35</v>
      </c>
      <c r="B32" s="6" t="s">
        <v>7</v>
      </c>
      <c r="C32" s="10">
        <f>IF(Accelerated_Apt_Construction="y",500,250)</f>
        <v>250</v>
      </c>
      <c r="D32" s="10">
        <f>IF(Accelerated_Apt_Construction="y",500,250)</f>
        <v>250</v>
      </c>
      <c r="E32" s="10">
        <f>IF(Accelerated_Apt_Construction="y",500,250)</f>
        <v>250</v>
      </c>
      <c r="I32" s="4" t="s">
        <v>90</v>
      </c>
      <c r="J32" s="42">
        <v>0</v>
      </c>
      <c r="K32" s="13">
        <f t="dataTable" ref="K32:Q36" dt2D="1" dtr="1" r1="D18" r2="C20" ca="1"/>
        <v>14139758.549999997</v>
      </c>
      <c r="L32" s="13">
        <v>13152946.049999997</v>
      </c>
      <c r="M32" s="13">
        <v>12162908.549999997</v>
      </c>
      <c r="N32" s="43">
        <v>11169646.049999997</v>
      </c>
      <c r="O32" s="43">
        <v>10173158.549999997</v>
      </c>
      <c r="P32" s="43">
        <v>9173446.049999997</v>
      </c>
      <c r="Q32" s="43">
        <v>8170508.549999997</v>
      </c>
    </row>
    <row r="33" spans="1:17" x14ac:dyDescent="0.25">
      <c r="A33" s="4" t="s">
        <v>8</v>
      </c>
      <c r="B33" s="10">
        <v>10000</v>
      </c>
      <c r="C33" s="10">
        <f>IF(C32=500,B33+500,B33+250)</f>
        <v>10250</v>
      </c>
      <c r="D33" s="10">
        <f t="shared" ref="D33:E33" si="4">IF(D32=500,C33+500,C33+250)</f>
        <v>10500</v>
      </c>
      <c r="E33" s="10">
        <f t="shared" si="4"/>
        <v>10750</v>
      </c>
      <c r="I33" s="4" t="s">
        <v>91</v>
      </c>
      <c r="J33" s="42">
        <v>5.0000000000000001E-3</v>
      </c>
      <c r="K33" s="13">
        <v>14029110.350000009</v>
      </c>
      <c r="L33" s="13">
        <v>13042297.850000024</v>
      </c>
      <c r="M33" s="13">
        <v>12052260.350000009</v>
      </c>
      <c r="N33" s="43">
        <v>11058997.850000009</v>
      </c>
      <c r="O33" s="43">
        <v>10062510.350000009</v>
      </c>
      <c r="P33" s="43">
        <v>9062797.8500000089</v>
      </c>
      <c r="Q33" s="43">
        <v>8059860.3500000089</v>
      </c>
    </row>
    <row r="34" spans="1:17" x14ac:dyDescent="0.25">
      <c r="A34" s="4" t="s">
        <v>10</v>
      </c>
      <c r="B34" s="7">
        <v>4</v>
      </c>
      <c r="C34" s="7">
        <f>B34+(B34*C11)</f>
        <v>4.08</v>
      </c>
      <c r="D34" s="7">
        <f t="shared" ref="D34:E34" si="5">C34+(C34*D11)</f>
        <v>4.1616</v>
      </c>
      <c r="E34" s="7">
        <f t="shared" si="5"/>
        <v>4.2448319999999997</v>
      </c>
      <c r="I34" s="4" t="s">
        <v>92</v>
      </c>
      <c r="J34" s="42">
        <v>0.01</v>
      </c>
      <c r="K34" s="13">
        <v>13918462.150000006</v>
      </c>
      <c r="L34" s="13">
        <v>12931649.650000006</v>
      </c>
      <c r="M34" s="13">
        <v>11941612.150000006</v>
      </c>
      <c r="N34" s="43">
        <v>10948349.650000006</v>
      </c>
      <c r="O34" s="43">
        <v>9951862.150000006</v>
      </c>
      <c r="P34" s="43">
        <v>8952149.650000006</v>
      </c>
      <c r="Q34" s="43">
        <v>7949212.150000006</v>
      </c>
    </row>
    <row r="35" spans="1:17" x14ac:dyDescent="0.25">
      <c r="A35" s="4" t="s">
        <v>11</v>
      </c>
      <c r="B35" s="7">
        <v>60</v>
      </c>
      <c r="C35" s="7">
        <f>B35+(B35*C12)</f>
        <v>61.2</v>
      </c>
      <c r="D35" s="7">
        <f>C35+(C35*D12)</f>
        <v>62.423999999999999</v>
      </c>
      <c r="E35" s="7">
        <f>D35+(D35*E12)</f>
        <v>63.67248</v>
      </c>
      <c r="I35" s="4" t="s">
        <v>93</v>
      </c>
      <c r="J35" s="42">
        <v>1.4999999999999999E-2</v>
      </c>
      <c r="K35" s="13">
        <v>13807813.950000003</v>
      </c>
      <c r="L35" s="13">
        <v>12821001.450000018</v>
      </c>
      <c r="M35" s="13">
        <v>11830963.950000003</v>
      </c>
      <c r="N35" s="43">
        <v>10837701.450000003</v>
      </c>
      <c r="O35" s="43">
        <v>9841213.950000003</v>
      </c>
      <c r="P35" s="43">
        <v>8841501.450000003</v>
      </c>
      <c r="Q35" s="43">
        <v>7838563.950000003</v>
      </c>
    </row>
    <row r="36" spans="1:17" x14ac:dyDescent="0.25">
      <c r="A36" s="4" t="s">
        <v>12</v>
      </c>
      <c r="B36" s="7">
        <v>9</v>
      </c>
      <c r="C36" s="7">
        <f>B36+(B36*Increase_Water_Selling_2020)</f>
        <v>9</v>
      </c>
      <c r="D36" s="7">
        <f>C36+(C36*Increase_Water_Selling_2021)</f>
        <v>9</v>
      </c>
      <c r="E36" s="7">
        <f>D36+(D36*Increase_Water_Selling_2022)</f>
        <v>9</v>
      </c>
      <c r="J36" s="42">
        <v>0.02</v>
      </c>
      <c r="K36" s="13">
        <v>13697165.75</v>
      </c>
      <c r="L36" s="13">
        <v>12710353.25</v>
      </c>
      <c r="M36" s="13">
        <v>11720315.75</v>
      </c>
      <c r="N36" s="43">
        <v>10727053.25</v>
      </c>
      <c r="O36" s="43">
        <v>9730565.75</v>
      </c>
      <c r="P36" s="43">
        <v>8730853.25</v>
      </c>
      <c r="Q36" s="43">
        <v>7727915.75</v>
      </c>
    </row>
    <row r="37" spans="1:17" x14ac:dyDescent="0.25">
      <c r="A37" s="4" t="s">
        <v>13</v>
      </c>
      <c r="B37" s="7">
        <v>120</v>
      </c>
      <c r="C37" s="7">
        <f>B37+(B37*Increase_Kilowatt_Selling_2020)</f>
        <v>120</v>
      </c>
      <c r="D37" s="7">
        <f>C37+(C37*Increase_Kilowatt_Selling_2021)</f>
        <v>120</v>
      </c>
      <c r="E37" s="7">
        <f>D37+(D37*Increase_Kilowatt_Selling_2022)</f>
        <v>120</v>
      </c>
    </row>
    <row r="38" spans="1:17" x14ac:dyDescent="0.25">
      <c r="A38" s="4" t="s">
        <v>33</v>
      </c>
      <c r="B38" s="6" t="s">
        <v>7</v>
      </c>
      <c r="C38" s="20">
        <f>C33*C6</f>
        <v>1025000</v>
      </c>
      <c r="D38" s="20">
        <f t="shared" ref="D38:E38" si="6">D33*D6</f>
        <v>1050000</v>
      </c>
      <c r="E38" s="20">
        <f t="shared" si="6"/>
        <v>1075000</v>
      </c>
    </row>
    <row r="39" spans="1:17" x14ac:dyDescent="0.25">
      <c r="A39" s="4" t="s">
        <v>34</v>
      </c>
      <c r="B39" s="6" t="s">
        <v>7</v>
      </c>
      <c r="C39" s="14">
        <f>C33*C7</f>
        <v>435625</v>
      </c>
      <c r="D39" s="14">
        <f t="shared" ref="D39:E39" si="7">D33*D7</f>
        <v>446250</v>
      </c>
      <c r="E39" s="14">
        <f t="shared" si="7"/>
        <v>456875</v>
      </c>
    </row>
    <row r="40" spans="1:17" x14ac:dyDescent="0.25">
      <c r="A40" s="4" t="s">
        <v>41</v>
      </c>
      <c r="B40" s="8">
        <v>9000000</v>
      </c>
      <c r="C40" s="8">
        <f>IF(Accelerated_Apt_Construction="y",B40+(B40*0.03),B40+(B40*0.01))</f>
        <v>9090000</v>
      </c>
      <c r="D40" s="8">
        <f>IF(Accelerated_Apt_Construction="y",C40+(C40*0.03),C40+(C40*0.01))</f>
        <v>9180900</v>
      </c>
      <c r="E40" s="8">
        <f>IF(Accelerated_Apt_Construction="y",D40+(D40*0.03),D40+(D40*0.01))</f>
        <v>9272709</v>
      </c>
    </row>
    <row r="41" spans="1:17" x14ac:dyDescent="0.25">
      <c r="B41" s="8"/>
      <c r="C41" s="8"/>
      <c r="D41" s="8"/>
      <c r="E41" s="8"/>
    </row>
    <row r="42" spans="1:17" ht="31.5" x14ac:dyDescent="0.25">
      <c r="A42" s="3" t="s">
        <v>5</v>
      </c>
      <c r="B42" s="5">
        <v>2019</v>
      </c>
      <c r="C42" s="5">
        <v>2020</v>
      </c>
      <c r="D42" s="5">
        <v>2021</v>
      </c>
      <c r="E42" s="5">
        <v>2022</v>
      </c>
    </row>
    <row r="43" spans="1:17" x14ac:dyDescent="0.25">
      <c r="A43" s="4" t="s">
        <v>42</v>
      </c>
      <c r="B43" s="6" t="s">
        <v>7</v>
      </c>
      <c r="C43" s="22">
        <f>C4</f>
        <v>3000000</v>
      </c>
      <c r="D43" s="22">
        <f t="shared" ref="D43:E43" si="8">D4</f>
        <v>3000000</v>
      </c>
      <c r="E43" s="22">
        <f t="shared" si="8"/>
        <v>3000000</v>
      </c>
    </row>
    <row r="44" spans="1:17" x14ac:dyDescent="0.25">
      <c r="B44" s="5"/>
      <c r="C44" s="23"/>
      <c r="D44" s="23"/>
      <c r="E44" s="23"/>
    </row>
    <row r="45" spans="1:17" x14ac:dyDescent="0.25">
      <c r="A45" s="11" t="s">
        <v>24</v>
      </c>
      <c r="B45" s="5"/>
      <c r="C45" s="23"/>
      <c r="D45" s="23"/>
      <c r="E45" s="23"/>
    </row>
    <row r="46" spans="1:17" x14ac:dyDescent="0.25">
      <c r="A46" s="4" t="s">
        <v>19</v>
      </c>
      <c r="B46" s="6" t="s">
        <v>7</v>
      </c>
      <c r="C46" s="22">
        <f>C38*C36</f>
        <v>9225000</v>
      </c>
      <c r="D46" s="22">
        <f t="shared" ref="D46:E47" si="9">D38*D36</f>
        <v>9450000</v>
      </c>
      <c r="E46" s="22">
        <f t="shared" si="9"/>
        <v>9675000</v>
      </c>
    </row>
    <row r="47" spans="1:17" x14ac:dyDescent="0.25">
      <c r="A47" s="4" t="s">
        <v>20</v>
      </c>
      <c r="B47" s="6" t="s">
        <v>7</v>
      </c>
      <c r="C47" s="22">
        <f>C39*C37</f>
        <v>52275000</v>
      </c>
      <c r="D47" s="22">
        <f t="shared" si="9"/>
        <v>53550000</v>
      </c>
      <c r="E47" s="22">
        <f t="shared" si="9"/>
        <v>54825000</v>
      </c>
    </row>
    <row r="48" spans="1:17" x14ac:dyDescent="0.25">
      <c r="A48" s="4" t="s">
        <v>22</v>
      </c>
      <c r="B48" s="6" t="s">
        <v>7</v>
      </c>
      <c r="C48" s="22">
        <f>C33*C30</f>
        <v>6662500</v>
      </c>
      <c r="D48" s="22">
        <f t="shared" ref="D48:E48" si="10">D33*D30</f>
        <v>6825000</v>
      </c>
      <c r="E48" s="22">
        <f t="shared" si="10"/>
        <v>6987500</v>
      </c>
    </row>
    <row r="49" spans="1:5" x14ac:dyDescent="0.25">
      <c r="A49" s="4" t="s">
        <v>23</v>
      </c>
      <c r="B49" s="6" t="s">
        <v>7</v>
      </c>
      <c r="C49" s="22">
        <f>C8</f>
        <v>3000000</v>
      </c>
      <c r="D49" s="22">
        <f t="shared" ref="D49:E50" si="11">D8</f>
        <v>3000000</v>
      </c>
      <c r="E49" s="22">
        <f t="shared" si="11"/>
        <v>3000000</v>
      </c>
    </row>
    <row r="50" spans="1:5" x14ac:dyDescent="0.25">
      <c r="A50" s="4" t="s">
        <v>17</v>
      </c>
      <c r="B50" s="6" t="s">
        <v>7</v>
      </c>
      <c r="C50" s="22">
        <f>C9</f>
        <v>1500000</v>
      </c>
      <c r="D50" s="22">
        <f t="shared" si="11"/>
        <v>1500000</v>
      </c>
      <c r="E50" s="22">
        <f t="shared" si="11"/>
        <v>1500000</v>
      </c>
    </row>
    <row r="51" spans="1:5" ht="18" x14ac:dyDescent="0.4">
      <c r="A51" s="4" t="s">
        <v>30</v>
      </c>
      <c r="B51" s="6" t="s">
        <v>7</v>
      </c>
      <c r="C51" s="24">
        <f>C32*C13</f>
        <v>25000</v>
      </c>
      <c r="D51" s="24">
        <f t="shared" ref="D51:E51" si="12">D32*D13</f>
        <v>27500</v>
      </c>
      <c r="E51" s="24">
        <f t="shared" si="12"/>
        <v>30000</v>
      </c>
    </row>
    <row r="52" spans="1:5" x14ac:dyDescent="0.25">
      <c r="A52" s="4" t="s">
        <v>31</v>
      </c>
      <c r="B52" s="6" t="s">
        <v>7</v>
      </c>
      <c r="C52" s="22">
        <f>SUM(C46:C51)</f>
        <v>72687500</v>
      </c>
      <c r="D52" s="22">
        <f t="shared" ref="D52:E52" si="13">SUM(D46:D51)</f>
        <v>74352500</v>
      </c>
      <c r="E52" s="22">
        <f t="shared" si="13"/>
        <v>76017500</v>
      </c>
    </row>
    <row r="53" spans="1:5" x14ac:dyDescent="0.25">
      <c r="C53" s="21"/>
      <c r="D53" s="21"/>
      <c r="E53" s="21"/>
    </row>
    <row r="54" spans="1:5" x14ac:dyDescent="0.25">
      <c r="A54" s="12" t="s">
        <v>25</v>
      </c>
      <c r="C54" s="21"/>
      <c r="D54" s="21"/>
      <c r="E54" s="21"/>
    </row>
    <row r="55" spans="1:5" x14ac:dyDescent="0.25">
      <c r="A55" s="4" t="s">
        <v>26</v>
      </c>
      <c r="B55" s="6" t="s">
        <v>7</v>
      </c>
      <c r="C55" s="25">
        <f>C34*C38</f>
        <v>4182000</v>
      </c>
      <c r="D55" s="25">
        <f t="shared" ref="D55:E56" si="14">D34*D38</f>
        <v>4369680</v>
      </c>
      <c r="E55" s="25">
        <f t="shared" si="14"/>
        <v>4563194.3999999994</v>
      </c>
    </row>
    <row r="56" spans="1:5" x14ac:dyDescent="0.25">
      <c r="A56" s="4" t="s">
        <v>27</v>
      </c>
      <c r="B56" s="6" t="s">
        <v>7</v>
      </c>
      <c r="C56" s="25">
        <f>C35*C39</f>
        <v>26660250</v>
      </c>
      <c r="D56" s="25">
        <f t="shared" si="14"/>
        <v>27856710</v>
      </c>
      <c r="E56" s="25">
        <f t="shared" si="14"/>
        <v>29090364.300000001</v>
      </c>
    </row>
    <row r="57" spans="1:5" x14ac:dyDescent="0.25">
      <c r="A57" s="4" t="s">
        <v>32</v>
      </c>
      <c r="B57" s="6" t="s">
        <v>7</v>
      </c>
      <c r="C57" s="25">
        <f>C29*C31</f>
        <v>31562500</v>
      </c>
      <c r="D57" s="25">
        <f>D29*D31</f>
        <v>31878125</v>
      </c>
      <c r="E57" s="25">
        <f>E29*E31</f>
        <v>32196906.25</v>
      </c>
    </row>
    <row r="58" spans="1:5" x14ac:dyDescent="0.25">
      <c r="A58" s="4" t="s">
        <v>41</v>
      </c>
      <c r="B58" s="6" t="s">
        <v>7</v>
      </c>
      <c r="C58" s="25">
        <f>C40</f>
        <v>9090000</v>
      </c>
      <c r="D58" s="25">
        <f t="shared" ref="D58:E58" si="15">D40</f>
        <v>9180900</v>
      </c>
      <c r="E58" s="25">
        <f t="shared" si="15"/>
        <v>9272709</v>
      </c>
    </row>
    <row r="59" spans="1:5" ht="18" x14ac:dyDescent="0.4">
      <c r="A59" s="4" t="s">
        <v>43</v>
      </c>
      <c r="B59" s="6" t="s">
        <v>7</v>
      </c>
      <c r="C59" s="26">
        <f>B74*C15</f>
        <v>400000</v>
      </c>
      <c r="D59" s="26">
        <f t="shared" ref="D59:E59" si="16">C74*D15</f>
        <v>576580</v>
      </c>
      <c r="E59" s="26">
        <f t="shared" si="16"/>
        <v>817339.6</v>
      </c>
    </row>
    <row r="60" spans="1:5" x14ac:dyDescent="0.25">
      <c r="A60" s="4" t="s">
        <v>50</v>
      </c>
      <c r="B60" s="6" t="s">
        <v>7</v>
      </c>
      <c r="C60" s="25">
        <f>SUM(C55:C59)</f>
        <v>71894750</v>
      </c>
      <c r="D60" s="25">
        <f t="shared" ref="D60:E60" si="17">SUM(D55:D59)</f>
        <v>73861995</v>
      </c>
      <c r="E60" s="25">
        <f t="shared" si="17"/>
        <v>75940513.549999997</v>
      </c>
    </row>
    <row r="61" spans="1:5" x14ac:dyDescent="0.25">
      <c r="C61" s="21"/>
      <c r="D61" s="21"/>
      <c r="E61" s="21"/>
    </row>
    <row r="62" spans="1:5" x14ac:dyDescent="0.25">
      <c r="A62" s="4" t="s">
        <v>52</v>
      </c>
      <c r="B62" s="6" t="s">
        <v>7</v>
      </c>
      <c r="C62" s="21">
        <f>C52-C60</f>
        <v>792750</v>
      </c>
      <c r="D62" s="21">
        <f>D52-D60</f>
        <v>490505</v>
      </c>
      <c r="E62" s="21">
        <f t="shared" ref="E62" si="18">E52-E60</f>
        <v>76986.45000000298</v>
      </c>
    </row>
    <row r="64" spans="1:5" x14ac:dyDescent="0.25">
      <c r="A64" s="4" t="s">
        <v>40</v>
      </c>
      <c r="B64" s="6" t="s">
        <v>7</v>
      </c>
      <c r="C64" s="13">
        <f>C14</f>
        <v>3000000</v>
      </c>
      <c r="D64" s="13">
        <f t="shared" ref="D64:E64" si="19">D14</f>
        <v>3500000</v>
      </c>
      <c r="E64" s="13">
        <f t="shared" si="19"/>
        <v>4000000</v>
      </c>
    </row>
    <row r="65" spans="1:5" x14ac:dyDescent="0.25">
      <c r="A65" s="4" t="s">
        <v>44</v>
      </c>
      <c r="B65" s="6" t="s">
        <v>7</v>
      </c>
      <c r="C65" s="13">
        <f>B74*0.1</f>
        <v>500000</v>
      </c>
      <c r="D65" s="13">
        <f t="shared" ref="D65:E65" si="20">C74*0.1</f>
        <v>720725</v>
      </c>
      <c r="E65" s="13">
        <f t="shared" si="20"/>
        <v>1021674.5</v>
      </c>
    </row>
    <row r="66" spans="1:5" ht="31.5" x14ac:dyDescent="0.25">
      <c r="A66" s="16" t="s">
        <v>49</v>
      </c>
      <c r="B66" s="6" t="s">
        <v>7</v>
      </c>
      <c r="C66" s="13">
        <f>C43+C62-C64-C65</f>
        <v>292750</v>
      </c>
      <c r="D66" s="13">
        <f t="shared" ref="D66:E66" si="21">D43+D62-D64-D65</f>
        <v>-730220</v>
      </c>
      <c r="E66" s="13">
        <f t="shared" si="21"/>
        <v>-1944688.049999997</v>
      </c>
    </row>
    <row r="67" spans="1:5" x14ac:dyDescent="0.25">
      <c r="A67" s="4" t="s">
        <v>45</v>
      </c>
      <c r="B67" s="6" t="s">
        <v>7</v>
      </c>
      <c r="C67" s="13">
        <f>IF(C66&lt;=C4,C4-C66,0)</f>
        <v>2707250</v>
      </c>
      <c r="D67" s="13">
        <f t="shared" ref="D67:E67" si="22">IF(D66&lt;=D4,D4-D66,0)</f>
        <v>3730220</v>
      </c>
      <c r="E67" s="13">
        <f t="shared" si="22"/>
        <v>4944688.049999997</v>
      </c>
    </row>
    <row r="68" spans="1:5" x14ac:dyDescent="0.25">
      <c r="A68" s="4" t="s">
        <v>46</v>
      </c>
      <c r="B68" s="13">
        <v>3000000</v>
      </c>
      <c r="C68" s="13">
        <f>C66+C67</f>
        <v>3000000</v>
      </c>
      <c r="D68" s="13">
        <f t="shared" ref="D68:E68" si="23">D66+D67</f>
        <v>3000000</v>
      </c>
      <c r="E68" s="13">
        <f t="shared" si="23"/>
        <v>3000000</v>
      </c>
    </row>
    <row r="70" spans="1:5" x14ac:dyDescent="0.25">
      <c r="A70" s="2" t="s">
        <v>4</v>
      </c>
    </row>
    <row r="71" spans="1:5" x14ac:dyDescent="0.25">
      <c r="A71" s="4" t="s">
        <v>47</v>
      </c>
      <c r="B71" s="6" t="s">
        <v>7</v>
      </c>
      <c r="C71" s="13">
        <f>B74</f>
        <v>5000000</v>
      </c>
      <c r="D71" s="13">
        <f t="shared" ref="D71:E71" si="24">C74</f>
        <v>7207250</v>
      </c>
      <c r="E71" s="13">
        <f t="shared" si="24"/>
        <v>10216745</v>
      </c>
    </row>
    <row r="72" spans="1:5" x14ac:dyDescent="0.25">
      <c r="A72" s="4" t="s">
        <v>45</v>
      </c>
      <c r="B72" s="6" t="s">
        <v>7</v>
      </c>
      <c r="C72" s="13">
        <f>C67</f>
        <v>2707250</v>
      </c>
      <c r="D72" s="13">
        <f t="shared" ref="D72:E72" si="25">D67</f>
        <v>3730220</v>
      </c>
      <c r="E72" s="13">
        <f t="shared" si="25"/>
        <v>4944688.049999997</v>
      </c>
    </row>
    <row r="73" spans="1:5" x14ac:dyDescent="0.25">
      <c r="A73" s="4" t="s">
        <v>58</v>
      </c>
      <c r="B73" s="6" t="s">
        <v>7</v>
      </c>
      <c r="C73" s="13">
        <f>C65</f>
        <v>500000</v>
      </c>
      <c r="D73" s="13">
        <f t="shared" ref="D73:E73" si="26">D65</f>
        <v>720725</v>
      </c>
      <c r="E73" s="13">
        <f t="shared" si="26"/>
        <v>1021674.5</v>
      </c>
    </row>
    <row r="74" spans="1:5" x14ac:dyDescent="0.25">
      <c r="A74" s="4" t="s">
        <v>48</v>
      </c>
      <c r="B74" s="13">
        <v>5000000</v>
      </c>
      <c r="C74" s="13">
        <f>C71+C72-C73</f>
        <v>7207250</v>
      </c>
      <c r="D74" s="13">
        <f t="shared" ref="D74:E74" si="27">D71+D72-D73</f>
        <v>10216745</v>
      </c>
      <c r="E74" s="13">
        <f t="shared" si="27"/>
        <v>14139758.549999997</v>
      </c>
    </row>
  </sheetData>
  <scenarios current="3" sqref="E24:E26">
    <scenario name="Optmistic1" locked="1" count="10" user="AppState User" comment="Created by AppState User on 10/20/2022_x000a_Modified by AppState User on 10/20/2022">
      <inputCells r="B21" val="N"/>
      <inputCells r="C18" val="0" numFmtId="9"/>
      <inputCells r="D18" val="0" numFmtId="9"/>
      <inputCells r="E18" val="0" numFmtId="9"/>
      <inputCells r="C19" val="0" numFmtId="9"/>
      <inputCells r="D19" val="0" numFmtId="9"/>
      <inputCells r="E19" val="0" numFmtId="9"/>
      <inputCells r="C20" val="0" numFmtId="9"/>
      <inputCells r="D20" val="0" numFmtId="9"/>
      <inputCells r="E20" val="0" numFmtId="9"/>
    </scenario>
    <scenario name="Optmistic2" locked="1" count="10" user="AppState User" comment="Created by AppState User on 10/20/2022_x000a_Modified by AppState User on 10/20/2022">
      <inputCells r="B21" val="Y"/>
      <inputCells r="C18" val="0" numFmtId="9"/>
      <inputCells r="D18" val="0" numFmtId="9"/>
      <inputCells r="E18" val="0" numFmtId="9"/>
      <inputCells r="C19" val="0" numFmtId="9"/>
      <inputCells r="D19" val="0" numFmtId="9"/>
      <inputCells r="E19" val="0" numFmtId="9"/>
      <inputCells r="C20" val="0" numFmtId="9"/>
      <inputCells r="D20" val="0" numFmtId="9"/>
      <inputCells r="E20" val="0" numFmtId="9"/>
    </scenario>
    <scenario name="Increase1" locked="1" count="10" user="AppState User" comment="Created by AppState User on 10/20/2022_x000a_Modified by AppState User on 10/20/2022">
      <inputCells r="B21" val="N"/>
      <inputCells r="C18" val="0" numFmtId="9"/>
      <inputCells r="D18" val="0.01" numFmtId="9"/>
      <inputCells r="E18" val="0.01" numFmtId="9"/>
      <inputCells r="C19" val="0" numFmtId="9"/>
      <inputCells r="D19" val="0.01" numFmtId="9"/>
      <inputCells r="E19" val="0.01" numFmtId="9"/>
      <inputCells r="C20" val="0.01" numFmtId="9"/>
      <inputCells r="D20" val="0" numFmtId="9"/>
      <inputCells r="E20" val="0" numFmtId="9"/>
    </scenario>
    <scenario name="Increase2" locked="1" count="10" user="AppState User" comment="Created by AppState User on 10/20/2022_x000a_Modified by AppState User on 10/20/2022">
      <inputCells r="B21" val="Y"/>
      <inputCells r="C18" val="0" numFmtId="9"/>
      <inputCells r="D18" val="0.01" numFmtId="9"/>
      <inputCells r="E18" val="0.01" numFmtId="9"/>
      <inputCells r="C19" val="0" numFmtId="9"/>
      <inputCells r="D19" val="0.01" numFmtId="9"/>
      <inputCells r="E19" val="0.01" numFmtId="9"/>
      <inputCells r="C20" val="0.01" numFmtId="9"/>
      <inputCells r="D20" val="0" numFmtId="9"/>
      <inputCells r="E20" val="0" numFmtId="9"/>
    </scenario>
  </scenarios>
  <mergeCells count="6">
    <mergeCell ref="K30:Q30"/>
    <mergeCell ref="J2:L2"/>
    <mergeCell ref="K3:Q3"/>
    <mergeCell ref="J16:N16"/>
    <mergeCell ref="K17:Q17"/>
    <mergeCell ref="J29:N2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581F-3565-9944-A20B-6EC7601139F7}">
  <dimension ref="A1:M11"/>
  <sheetViews>
    <sheetView tabSelected="1" workbookViewId="0">
      <selection activeCell="E5" sqref="E5"/>
    </sheetView>
  </sheetViews>
  <sheetFormatPr defaultColWidth="11.42578125" defaultRowHeight="15" x14ac:dyDescent="0.25"/>
  <cols>
    <col min="3" max="3" width="22.140625" customWidth="1"/>
    <col min="4" max="8" width="16.28515625" bestFit="1" customWidth="1"/>
    <col min="9" max="10" width="15.28515625" bestFit="1" customWidth="1"/>
  </cols>
  <sheetData>
    <row r="1" spans="1:13" ht="26.25" x14ac:dyDescent="0.4">
      <c r="A1" s="70" t="s">
        <v>98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3" spans="1:13" ht="15.75" thickBot="1" x14ac:dyDescent="0.3">
      <c r="B3" s="47" t="s">
        <v>99</v>
      </c>
      <c r="C3" s="46"/>
      <c r="D3" s="46"/>
      <c r="E3" s="49">
        <v>2020</v>
      </c>
      <c r="F3" s="49">
        <v>2021</v>
      </c>
      <c r="G3" s="49">
        <v>2022</v>
      </c>
    </row>
    <row r="4" spans="1:13" x14ac:dyDescent="0.25">
      <c r="B4" s="48" t="s">
        <v>100</v>
      </c>
      <c r="E4" s="52">
        <v>0.01</v>
      </c>
      <c r="F4" s="50">
        <v>0</v>
      </c>
      <c r="G4" s="50">
        <v>0</v>
      </c>
    </row>
    <row r="5" spans="1:13" x14ac:dyDescent="0.25">
      <c r="B5" s="48" t="s">
        <v>101</v>
      </c>
      <c r="E5" s="42" t="s">
        <v>77</v>
      </c>
      <c r="F5" s="51" t="s">
        <v>77</v>
      </c>
      <c r="G5" s="51" t="s">
        <v>77</v>
      </c>
    </row>
    <row r="7" spans="1:13" x14ac:dyDescent="0.25">
      <c r="B7" s="53"/>
      <c r="C7" s="53"/>
      <c r="D7" s="78" t="s">
        <v>104</v>
      </c>
      <c r="E7" s="78"/>
      <c r="F7" s="78"/>
      <c r="G7" s="78"/>
      <c r="H7" s="78"/>
      <c r="I7" s="78"/>
      <c r="J7" s="78"/>
    </row>
    <row r="8" spans="1:13" ht="15.75" thickBot="1" x14ac:dyDescent="0.3">
      <c r="B8" s="71" t="s">
        <v>102</v>
      </c>
      <c r="C8" s="71"/>
      <c r="D8" s="54">
        <v>0</v>
      </c>
      <c r="E8" s="54">
        <v>5.0000000000000001E-3</v>
      </c>
      <c r="F8" s="54">
        <v>0.01</v>
      </c>
      <c r="G8" s="54">
        <v>1.4999999999999999E-2</v>
      </c>
      <c r="H8" s="54">
        <v>0.02</v>
      </c>
      <c r="I8" s="54">
        <v>2.5000000000000001E-2</v>
      </c>
      <c r="J8" s="55">
        <v>0.03</v>
      </c>
    </row>
    <row r="9" spans="1:13" x14ac:dyDescent="0.25">
      <c r="B9" s="72" t="s">
        <v>52</v>
      </c>
      <c r="C9" s="73"/>
      <c r="D9" s="56">
        <f>IF(E5="Y",VLOOKUP(E4,'Accelerated Growth Data Tables'!J5:Q9,2,TRUE),VLOOKUP(E4,'Slow Growth Data Tables'!J5:Q9,2,TRUE))</f>
        <v>2152613.6999999881</v>
      </c>
      <c r="E9" s="57">
        <f>IF(E5="Y",VLOOKUP(E4,'Accelerated Growth Data Tables'!J5:Q9,3,TRUE),VLOOKUP(E4,'Slow Growth Data Tables'!J5:Q9,3,TRUE))</f>
        <v>2870738.6999999881</v>
      </c>
      <c r="F9" s="57">
        <f>IF(E5="Y",VLOOKUP(E4,'Accelerated Growth Data Tables'!J5:Q9,4,TRUE),VLOOKUP(E4,'Slow Growth Data Tables'!J5:Q9,4,TRUE))</f>
        <v>3592313.6999999881</v>
      </c>
      <c r="G9" s="57">
        <f>IF(E5="Y",VLOOKUP(E4,'Accelerated Growth Data Tables'!J5:Q9,5,TRUE),VLOOKUP(E4,'Slow Growth Data Tables'!J5:Q9,5,TRUE))</f>
        <v>4317338.6999999881</v>
      </c>
      <c r="H9" s="58">
        <f>IF(E5="Y",VLOOKUP(E4,'Accelerated Growth Data Tables'!J5:Q9,6,TRUE),VLOOKUP(E4,'Slow Growth Data Tables'!J5:Q9,6,TRUE))</f>
        <v>5045813.6999999881</v>
      </c>
      <c r="I9" s="57">
        <f>IF(E5="Y",VLOOKUP(E4,'Accelerated Growth Data Tables'!J5:Q9,7,TRUE),VLOOKUP(E4,'Slow Growth Data Tables'!J5:Q9,7,TRUE))</f>
        <v>5777738.6999999881</v>
      </c>
      <c r="J9" s="59">
        <f>IF(E5="Y",VLOOKUP(E4,'Accelerated Growth Data Tables'!J5:Q9,8,TRUE),VLOOKUP(E4,'Slow Growth Data Tables'!J5:Q9,8,TRUE))</f>
        <v>6513113.6999999881</v>
      </c>
    </row>
    <row r="10" spans="1:13" x14ac:dyDescent="0.25">
      <c r="B10" s="74" t="s">
        <v>103</v>
      </c>
      <c r="C10" s="75"/>
      <c r="D10" s="60">
        <f>IF(E5="Y",VLOOKUP(E4,'Accelerated Growth Data Tables'!J19:Q23,2,TRUE),VLOOKUP(E4,'Slow Growth Data Tables'!J19:Q23,2,TRUE))</f>
        <v>3000000</v>
      </c>
      <c r="E10" s="60">
        <f>IF(E5="Y",VLOOKUP(E4,'Accelerated Growth Data Tables'!J19:Q23,3,TRUE),VLOOKUP(E4,'Slow Growth Data Tables'!J19:Q23,3,TRUE))</f>
        <v>3000000</v>
      </c>
      <c r="F10" s="61">
        <f>IF(E5="Y",VLOOKUP(E4,'Accelerated Growth Data Tables'!J19:Q23,4,TRUE),VLOOKUP(E4,'Slow Growth Data Tables'!J19:Q23,4,TRUE))</f>
        <v>3000000</v>
      </c>
      <c r="G10" s="61">
        <f>IF(E5="Y",VLOOKUP(E4,'Accelerated Growth Data Tables'!J19:Q23,5,TRUE),VLOOKUP(E4,'Slow Growth Data Tables'!J19:Q23,5,TRUE))</f>
        <v>3000000</v>
      </c>
      <c r="H10" s="62">
        <f>IF(E5="Y",VLOOKUP(E4,'Accelerated Growth Data Tables'!J19:Q23,6,TRUE),VLOOKUP(E4,'Slow Growth Data Tables'!J19:Q23,6,TRUE))</f>
        <v>3344525.6999999881</v>
      </c>
      <c r="I10" s="61">
        <f>IF(E5="Y",VLOOKUP(E4,'Accelerated Growth Data Tables'!J19:Q23,7,TRUE),VLOOKUP(E4,'Slow Growth Data Tables'!J19:Q23,7,TRUE))</f>
        <v>4109450.6999999881</v>
      </c>
      <c r="J10" s="59">
        <f>IF(E5="Y",VLOOKUP(E4,'Accelerated Growth Data Tables'!J19:Q23,8,TRUE),VLOOKUP(E4,'Slow Growth Data Tables'!J19:Q23,8,TRUE))</f>
        <v>4877825.6999999881</v>
      </c>
    </row>
    <row r="11" spans="1:13" x14ac:dyDescent="0.25">
      <c r="B11" s="76" t="s">
        <v>38</v>
      </c>
      <c r="C11" s="77"/>
      <c r="D11" s="63">
        <f>IF(E5="Y",VLOOKUP(E4,'Accelerated Growth Data Tables'!J32:Q36,2,TRUE),VLOOKUP(E4,'Slow Growth Data Tables'!J32:Q36,2,TRUE))</f>
        <v>10180266.300000012</v>
      </c>
      <c r="E11" s="64">
        <f>IF(E5="Y",VLOOKUP(E4,'Accelerated Growth Data Tables'!J32:Q36,3,TRUE),VLOOKUP(E4,'Slow Growth Data Tables'!J32:Q36,3,TRUE))</f>
        <v>9132141.3000000119</v>
      </c>
      <c r="F11" s="64">
        <f>IF(E5="Y",VLOOKUP(E4,'Accelerated Growth Data Tables'!J32:Q36,4,TRUE),VLOOKUP(E4,'Slow Growth Data Tables'!J32:Q36,4,TRUE))</f>
        <v>8080566.3000000119</v>
      </c>
      <c r="G11" s="64">
        <f>IF(E5="Y",VLOOKUP(E4,'Accelerated Growth Data Tables'!J32:Q36,5,TRUE),VLOOKUP(E4,'Slow Growth Data Tables'!J32:Q36,5,TRUE))</f>
        <v>7025541.3000000119</v>
      </c>
      <c r="H11" s="65">
        <f>IF(E5="Y",VLOOKUP(E4,'Accelerated Growth Data Tables'!J32:Q36,6,TRUE),VLOOKUP(E4,'Slow Growth Data Tables'!J32:Q36,6,TRUE))</f>
        <v>6311592</v>
      </c>
      <c r="I11" s="64">
        <f>IF(E5="Y",VLOOKUP(E4,'Accelerated Growth Data Tables'!J32:Q36,7,TRUE),VLOOKUP(E4,'Slow Growth Data Tables'!J32:Q36,7,TRUE))</f>
        <v>6014592</v>
      </c>
      <c r="J11" s="66">
        <f>IF(E5="Y",VLOOKUP(E4,'Accelerated Growth Data Tables'!J32:Q36,8,TRUE),VLOOKUP(E4,'Slow Growth Data Tables'!J32:Q36,8,TRUE))</f>
        <v>5717592</v>
      </c>
    </row>
  </sheetData>
  <mergeCells count="6">
    <mergeCell ref="A1:M1"/>
    <mergeCell ref="B8:C8"/>
    <mergeCell ref="B9:C9"/>
    <mergeCell ref="B10:C10"/>
    <mergeCell ref="B11:C11"/>
    <mergeCell ref="D7:J7"/>
  </mergeCells>
  <dataValidations count="3">
    <dataValidation type="decimal" allowBlank="1" showInputMessage="1" showErrorMessage="1" sqref="F4:G4" xr:uid="{831DF652-AFD3-5542-8DD3-902A16A69BC3}">
      <formula1>0</formula1>
      <formula2>3</formula2>
    </dataValidation>
    <dataValidation type="list" allowBlank="1" showInputMessage="1" showErrorMessage="1" sqref="E5" xr:uid="{2FB1B8E3-BC05-4FFC-A0EE-4EAE97714B0D}">
      <formula1>"Y,N"</formula1>
    </dataValidation>
    <dataValidation type="list" allowBlank="1" showInputMessage="1" showErrorMessage="1" sqref="E4" xr:uid="{C406DC31-470F-4FCF-981B-33E726C7DF0F}">
      <formula1>"0.0, 0.005, 0.01,0.015,0.02,0.025,0.03"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size="45" baseType="lpstr">
      <vt:lpstr>Documentation</vt:lpstr>
      <vt:lpstr>Town Budget Calculations</vt:lpstr>
      <vt:lpstr>Scenario Summary</vt:lpstr>
      <vt:lpstr>Accelerated Growth Data Tables</vt:lpstr>
      <vt:lpstr>Slow Growth Data Tables</vt:lpstr>
      <vt:lpstr>Key Results Dashboard</vt:lpstr>
      <vt:lpstr>'Accelerated Growth Data Tables'!Accelerated_Apt_Construction</vt:lpstr>
      <vt:lpstr>'Slow Growth Data Tables'!Accelerated_Apt_Construction</vt:lpstr>
      <vt:lpstr>Accelerated_Apt_Construction</vt:lpstr>
      <vt:lpstr>'Accelerated Growth Data Tables'!Cash_2022</vt:lpstr>
      <vt:lpstr>'Slow Growth Data Tables'!Cash_2022</vt:lpstr>
      <vt:lpstr>Cash_2022</vt:lpstr>
      <vt:lpstr>'Accelerated Growth Data Tables'!Debt_2022</vt:lpstr>
      <vt:lpstr>'Slow Growth Data Tables'!Debt_2022</vt:lpstr>
      <vt:lpstr>Debt_2022</vt:lpstr>
      <vt:lpstr>'Accelerated Growth Data Tables'!Increase_Kilowatt_Selling_2020</vt:lpstr>
      <vt:lpstr>'Slow Growth Data Tables'!Increase_Kilowatt_Selling_2020</vt:lpstr>
      <vt:lpstr>Increase_Kilowatt_Selling_2020</vt:lpstr>
      <vt:lpstr>'Accelerated Growth Data Tables'!Increase_Kilowatt_Selling_2021</vt:lpstr>
      <vt:lpstr>'Slow Growth Data Tables'!Increase_Kilowatt_Selling_2021</vt:lpstr>
      <vt:lpstr>Increase_Kilowatt_Selling_2021</vt:lpstr>
      <vt:lpstr>'Accelerated Growth Data Tables'!Increase_Kilowatt_Selling_2022</vt:lpstr>
      <vt:lpstr>'Slow Growth Data Tables'!Increase_Kilowatt_Selling_2022</vt:lpstr>
      <vt:lpstr>Increase_Kilowatt_Selling_2022</vt:lpstr>
      <vt:lpstr>'Accelerated Growth Data Tables'!Increase_Water_Selling_2020</vt:lpstr>
      <vt:lpstr>'Slow Growth Data Tables'!Increase_Water_Selling_2020</vt:lpstr>
      <vt:lpstr>Increase_Water_Selling_2020</vt:lpstr>
      <vt:lpstr>'Accelerated Growth Data Tables'!Increase_Water_Selling_2021</vt:lpstr>
      <vt:lpstr>'Slow Growth Data Tables'!Increase_Water_Selling_2021</vt:lpstr>
      <vt:lpstr>Increase_Water_Selling_2021</vt:lpstr>
      <vt:lpstr>'Accelerated Growth Data Tables'!Increase_Water_Selling_2022</vt:lpstr>
      <vt:lpstr>'Slow Growth Data Tables'!Increase_Water_Selling_2022</vt:lpstr>
      <vt:lpstr>Increase_Water_Selling_2022</vt:lpstr>
      <vt:lpstr>'Accelerated Growth Data Tables'!Net_Income_2022</vt:lpstr>
      <vt:lpstr>'Slow Growth Data Tables'!Net_Income_2022</vt:lpstr>
      <vt:lpstr>Net_Income_2022</vt:lpstr>
      <vt:lpstr>'Accelerated Growth Data Tables'!Property_Tax_Increase_2020</vt:lpstr>
      <vt:lpstr>'Slow Growth Data Tables'!Property_Tax_Increase_2020</vt:lpstr>
      <vt:lpstr>Property_Tax_Increase_2020</vt:lpstr>
      <vt:lpstr>'Accelerated Growth Data Tables'!Property_Tax_Increase_2021</vt:lpstr>
      <vt:lpstr>'Slow Growth Data Tables'!Property_Tax_Increase_2021</vt:lpstr>
      <vt:lpstr>Property_Tax_Increase_2021</vt:lpstr>
      <vt:lpstr>'Accelerated Growth Data Tables'!Property_Tax_Increase_2022</vt:lpstr>
      <vt:lpstr>'Slow Growth Data Tables'!Property_Tax_Increase_2022</vt:lpstr>
      <vt:lpstr>Property_Tax_Increase_2022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</dc:creator>
  <cp:lastModifiedBy>Alex Pettis</cp:lastModifiedBy>
  <dcterms:created xsi:type="dcterms:W3CDTF">2018-12-20T20:19:31Z</dcterms:created>
  <dcterms:modified xsi:type="dcterms:W3CDTF">2022-10-24T19:35:58Z</dcterms:modified>
</cp:coreProperties>
</file>