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lxDR\Excel\Clase_4\"/>
    </mc:Choice>
  </mc:AlternateContent>
  <xr:revisionPtr revIDLastSave="0" documentId="13_ncr:1_{795A3EE3-C517-41EA-A0EC-A4166FE09B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B13" i="2"/>
  <c r="B14" i="2"/>
  <c r="B12" i="2"/>
  <c r="C19" i="2"/>
  <c r="B19" i="2"/>
  <c r="D11" i="2"/>
  <c r="E5" i="2"/>
  <c r="E6" i="2"/>
  <c r="E4" i="2"/>
  <c r="B5" i="2"/>
  <c r="B6" i="2"/>
  <c r="B4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K15" i="1" s="1"/>
  <c r="I16" i="1"/>
  <c r="I17" i="1"/>
  <c r="K17" i="1" s="1"/>
  <c r="I18" i="1"/>
  <c r="I19" i="1"/>
  <c r="K19" i="1" s="1"/>
  <c r="I20" i="1"/>
  <c r="I21" i="1"/>
  <c r="I22" i="1"/>
  <c r="J17" i="1"/>
  <c r="J15" i="2"/>
  <c r="M2" i="1"/>
  <c r="H3" i="1" s="1"/>
  <c r="J20" i="1" l="1"/>
  <c r="K20" i="1"/>
  <c r="J18" i="1"/>
  <c r="K18" i="1"/>
  <c r="J16" i="1"/>
  <c r="K16" i="1"/>
  <c r="J21" i="1"/>
  <c r="K21" i="1"/>
  <c r="J14" i="1"/>
  <c r="K14" i="1"/>
  <c r="J22" i="1"/>
  <c r="K22" i="1"/>
  <c r="J13" i="1"/>
  <c r="K13" i="1"/>
  <c r="J12" i="1"/>
  <c r="K12" i="1"/>
  <c r="J11" i="1"/>
  <c r="K11" i="1"/>
  <c r="J10" i="1"/>
  <c r="K10" i="1"/>
  <c r="J9" i="1"/>
  <c r="K9" i="1"/>
  <c r="J8" i="1"/>
  <c r="K8" i="1"/>
  <c r="J19" i="1"/>
  <c r="J15" i="1"/>
  <c r="J7" i="1"/>
  <c r="K7" i="1"/>
  <c r="J6" i="1"/>
  <c r="D19" i="2"/>
  <c r="K6" i="1"/>
  <c r="J5" i="1"/>
  <c r="J19" i="2" s="1"/>
  <c r="K5" i="1"/>
  <c r="J4" i="1"/>
  <c r="K4" i="1"/>
  <c r="J3" i="1"/>
  <c r="K3" i="1"/>
  <c r="N15" i="2"/>
  <c r="O15" i="2"/>
  <c r="I19" i="2"/>
  <c r="H19" i="2" s="1"/>
  <c r="H5" i="1"/>
  <c r="H12" i="1"/>
  <c r="H21" i="1"/>
  <c r="H20" i="1"/>
  <c r="H4" i="1"/>
  <c r="H19" i="1"/>
  <c r="H18" i="1"/>
  <c r="H17" i="1"/>
  <c r="H16" i="1"/>
  <c r="H15" i="1"/>
  <c r="H14" i="1"/>
  <c r="H13" i="1"/>
  <c r="H11" i="1"/>
  <c r="H10" i="1"/>
  <c r="H9" i="1"/>
  <c r="H8" i="1"/>
  <c r="H7" i="1"/>
  <c r="H22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<sst xmlns="http://schemas.openxmlformats.org/spreadsheetml/2006/main" count="143" uniqueCount="72">
  <si>
    <t>LEGAJO</t>
  </si>
  <si>
    <t>NOMBRE</t>
  </si>
  <si>
    <t>FECHA DE NAC.</t>
  </si>
  <si>
    <t>LOCALIDAD</t>
  </si>
  <si>
    <t>PROVINCIA</t>
  </si>
  <si>
    <t>Ana</t>
  </si>
  <si>
    <t>Luís</t>
  </si>
  <si>
    <t>Juan</t>
  </si>
  <si>
    <t>María</t>
  </si>
  <si>
    <t>Mercedes</t>
  </si>
  <si>
    <t>Olga</t>
  </si>
  <si>
    <t>José</t>
  </si>
  <si>
    <t>David</t>
  </si>
  <si>
    <t>Teresa</t>
  </si>
  <si>
    <t>Manuel</t>
  </si>
  <si>
    <t>Agustín</t>
  </si>
  <si>
    <t>Antonia</t>
  </si>
  <si>
    <t>Pedro</t>
  </si>
  <si>
    <t>Esther</t>
  </si>
  <si>
    <t>Javier</t>
  </si>
  <si>
    <t>Nuria</t>
  </si>
  <si>
    <t>Ramiro</t>
  </si>
  <si>
    <t>Pilar</t>
  </si>
  <si>
    <t>Ramón</t>
  </si>
  <si>
    <t>Dolores</t>
  </si>
  <si>
    <t>AÑOS DE TRABAJO</t>
  </si>
  <si>
    <t>Carlos Paz</t>
  </si>
  <si>
    <t>Clorinda</t>
  </si>
  <si>
    <t>flores</t>
  </si>
  <si>
    <t>pilar</t>
  </si>
  <si>
    <t>Villa maria</t>
  </si>
  <si>
    <t>Cordoba</t>
  </si>
  <si>
    <t>Santa Fe</t>
  </si>
  <si>
    <t>Buenos Aires</t>
  </si>
  <si>
    <t>Administrativo</t>
  </si>
  <si>
    <t>Gerente</t>
  </si>
  <si>
    <t>Abogado</t>
  </si>
  <si>
    <t>CARGO</t>
  </si>
  <si>
    <t>SUELDO</t>
  </si>
  <si>
    <t>Punto Nº 4</t>
  </si>
  <si>
    <t>Punto Nº 6</t>
  </si>
  <si>
    <t>Ocupación</t>
  </si>
  <si>
    <t>cantidad</t>
  </si>
  <si>
    <t>Provincia</t>
  </si>
  <si>
    <t>Punto Nº 9</t>
  </si>
  <si>
    <t>Mejor Recaudacion</t>
  </si>
  <si>
    <t>Punto Nº 10</t>
  </si>
  <si>
    <t>Legajo</t>
  </si>
  <si>
    <t>nombre</t>
  </si>
  <si>
    <t>ocupacion</t>
  </si>
  <si>
    <t>sueldo</t>
  </si>
  <si>
    <t>Cantidad Empleados</t>
  </si>
  <si>
    <t>inversion en Pesos por provincia</t>
  </si>
  <si>
    <t>Punto Nº 5</t>
  </si>
  <si>
    <t>Sueldo En Dolares</t>
  </si>
  <si>
    <t>dólar hoy</t>
  </si>
  <si>
    <t>a quien pertenece ?</t>
  </si>
  <si>
    <t>sobre el Punto 9</t>
  </si>
  <si>
    <t>Edad del empleado</t>
  </si>
  <si>
    <t>Sueldo en Pesos</t>
  </si>
  <si>
    <t>Punto Nº 1</t>
  </si>
  <si>
    <t>Cargo</t>
  </si>
  <si>
    <t>Cantidad</t>
  </si>
  <si>
    <t>Punto Nº 2</t>
  </si>
  <si>
    <t>Inversion en Pesos</t>
  </si>
  <si>
    <t>Inversion en Dolares</t>
  </si>
  <si>
    <t>Punto Nº 3</t>
  </si>
  <si>
    <t>Max Recaudado en Pesos</t>
  </si>
  <si>
    <t>Max Recaudado en Dolares</t>
  </si>
  <si>
    <t>Preguntar como sacar el nombre de Bs As</t>
  </si>
  <si>
    <t>Euro hoy</t>
  </si>
  <si>
    <t>Sueldo en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</si>
</sst>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  <numFmt numFmtId="167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1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3" borderId="11" xfId="0" applyFill="1" applyBorder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9" fillId="0" borderId="0" xfId="0" applyFont="1"/>
    <xf numFmtId="1" fontId="0" fillId="3" borderId="11" xfId="0" applyNumberFormat="1" applyFill="1" applyBorder="1"/>
    <xf numFmtId="0" fontId="2" fillId="2" borderId="15" xfId="0" applyFont="1" applyFill="1" applyBorder="1" applyAlignment="1">
      <alignment horizontal="center" vertical="center" wrapText="1"/>
    </xf>
    <xf numFmtId="44" fontId="0" fillId="3" borderId="11" xfId="1" applyFont="1" applyFill="1" applyBorder="1"/>
    <xf numFmtId="164" fontId="0" fillId="3" borderId="11" xfId="0" applyNumberFormat="1" applyFill="1" applyBorder="1"/>
    <xf numFmtId="166" fontId="0" fillId="3" borderId="12" xfId="2" applyNumberFormat="1" applyFont="1" applyFill="1" applyBorder="1"/>
    <xf numFmtId="0" fontId="12" fillId="0" borderId="0" xfId="0" applyFont="1"/>
    <xf numFmtId="0" fontId="10" fillId="4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44" fontId="13" fillId="4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1" xfId="0" applyBorder="1"/>
    <xf numFmtId="0" fontId="14" fillId="3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wrapText="1"/>
    </xf>
    <xf numFmtId="0" fontId="2" fillId="2" borderId="23" xfId="0" applyFont="1" applyFill="1" applyBorder="1" applyAlignment="1">
      <alignment wrapText="1"/>
    </xf>
    <xf numFmtId="0" fontId="15" fillId="3" borderId="22" xfId="0" applyFont="1" applyFill="1" applyBorder="1" applyAlignment="1">
      <alignment horizontal="center" vertical="center"/>
    </xf>
    <xf numFmtId="166" fontId="16" fillId="3" borderId="21" xfId="2" applyNumberFormat="1" applyFont="1" applyFill="1" applyBorder="1"/>
    <xf numFmtId="1" fontId="0" fillId="3" borderId="12" xfId="2" applyNumberFormat="1" applyFont="1" applyFill="1" applyBorder="1"/>
    <xf numFmtId="0" fontId="15" fillId="3" borderId="22" xfId="0" applyFont="1" applyFill="1" applyBorder="1" applyAlignment="1">
      <alignment horizontal="center" vertical="center" wrapText="1"/>
    </xf>
    <xf numFmtId="44" fontId="0" fillId="3" borderId="12" xfId="1" applyFont="1" applyFill="1" applyBorder="1"/>
    <xf numFmtId="0" fontId="8" fillId="0" borderId="22" xfId="0" applyNumberFormat="1" applyFont="1" applyBorder="1" applyAlignment="1"/>
    <xf numFmtId="167" fontId="16" fillId="3" borderId="25" xfId="2" applyNumberFormat="1" applyFont="1" applyFill="1" applyBorder="1"/>
    <xf numFmtId="44" fontId="0" fillId="3" borderId="26" xfId="1" applyFont="1" applyFill="1" applyBorder="1"/>
    <xf numFmtId="0" fontId="2" fillId="5" borderId="30" xfId="0" applyFont="1" applyFill="1" applyBorder="1" applyAlignment="1">
      <alignment horizontal="center" vertical="center" wrapText="1"/>
    </xf>
    <xf numFmtId="164" fontId="0" fillId="5" borderId="30" xfId="0" applyNumberFormat="1" applyFill="1" applyBorder="1"/>
    <xf numFmtId="0" fontId="2" fillId="2" borderId="24" xfId="0" applyFont="1" applyFill="1" applyBorder="1" applyAlignment="1">
      <alignment horizontal="center" vertical="center" wrapText="1"/>
    </xf>
    <xf numFmtId="44" fontId="0" fillId="0" borderId="11" xfId="1" applyFont="1" applyBorder="1"/>
    <xf numFmtId="0" fontId="0" fillId="0" borderId="11" xfId="0" applyBorder="1" applyAlignment="1">
      <alignment horizontal="left"/>
    </xf>
    <xf numFmtId="0" fontId="11" fillId="4" borderId="16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44" fontId="0" fillId="3" borderId="17" xfId="0" applyNumberForma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8" fillId="5" borderId="27" xfId="0" applyNumberFormat="1" applyFont="1" applyFill="1" applyBorder="1" applyAlignment="1">
      <alignment horizontal="center"/>
    </xf>
    <xf numFmtId="0" fontId="8" fillId="5" borderId="28" xfId="0" applyNumberFormat="1" applyFont="1" applyFill="1" applyBorder="1" applyAlignment="1">
      <alignment horizontal="center"/>
    </xf>
    <xf numFmtId="0" fontId="8" fillId="5" borderId="29" xfId="0" applyNumberFormat="1" applyFont="1" applyFill="1" applyBorder="1" applyAlignment="1">
      <alignment horizontal="center"/>
    </xf>
    <xf numFmtId="44" fontId="0" fillId="3" borderId="11" xfId="1" applyFont="1" applyFill="1" applyBorder="1" applyAlignment="1">
      <alignment horizontal="center" vertical="center"/>
    </xf>
    <xf numFmtId="0" fontId="0" fillId="0" borderId="0" xfId="0" applyAlignment="1"/>
  </cellXfs>
  <cellStyles count="3">
    <cellStyle name="Millares" xfId="2" builtinId="3"/>
    <cellStyle name="Moneda" xfId="1" builtinId="4"/>
    <cellStyle name="Normal" xfId="0" builtinId="0"/>
  </cellStyles>
  <dxfs count="16">
    <dxf>
      <numFmt numFmtId="164" formatCode="_ &quot;$&quot;\ * #,##0.00_ ;_ &quot;$&quot;\ * \-#,##0.00_ ;_ &quot;$&quot;\ * &quot;-&quot;??_ ;_ @_ "/>
      <fill>
        <patternFill patternType="solid">
          <fgColor indexed="64"/>
          <bgColor theme="5" tint="0.3999755851924192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 &quot;$&quot;\ * #,##0.00_ ;_ &quot;$&quot;\ * \-#,##0.00_ ;_ &quot;$&quot;\ * &quot;-&quot;??_ ;_ @_ 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\ * #,##0.00_-;\-&quot;$&quot;\ * #,##0.00_-;_-&quot;$&quot;\ * &quot;-&quot;??_-;_-@_-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/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numFmt numFmtId="168" formatCode="dd/mm/yyyy"/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Punto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resumen!$A$4</c:f>
              <c:strCache>
                <c:ptCount val="1"/>
                <c:pt idx="0">
                  <c:v>Abogado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resumen!$A$3</c:f>
              <c:strCache>
                <c:ptCount val="1"/>
                <c:pt idx="0">
                  <c:v>Ocupación</c:v>
                </c:pt>
              </c:strCache>
            </c:strRef>
          </c:cat>
          <c:val>
            <c:numRef>
              <c:f>resumen!$B$4</c:f>
              <c:numCache>
                <c:formatCode>_ * #,##0_ ;_ * \-#,##0_ ;_ * "-"??_ ;_ @_ 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6-48A0-B27D-4DBF7589ABFE}"/>
            </c:ext>
          </c:extLst>
        </c:ser>
        <c:ser>
          <c:idx val="1"/>
          <c:order val="1"/>
          <c:tx>
            <c:strRef>
              <c:f>resumen!$A$5</c:f>
              <c:strCache>
                <c:ptCount val="1"/>
                <c:pt idx="0">
                  <c:v>Gerente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resumen!$A$3</c:f>
              <c:strCache>
                <c:ptCount val="1"/>
                <c:pt idx="0">
                  <c:v>Ocupación</c:v>
                </c:pt>
              </c:strCache>
            </c:strRef>
          </c:cat>
          <c:val>
            <c:numRef>
              <c:f>resumen!$B$5</c:f>
              <c:numCache>
                <c:formatCode>_ * #,##0_ ;_ * \-#,##0_ ;_ * "-"??_ ;_ @_ 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6-48A0-B27D-4DBF7589ABFE}"/>
            </c:ext>
          </c:extLst>
        </c:ser>
        <c:ser>
          <c:idx val="2"/>
          <c:order val="2"/>
          <c:tx>
            <c:strRef>
              <c:f>resumen!$A$6</c:f>
              <c:strCache>
                <c:ptCount val="1"/>
                <c:pt idx="0">
                  <c:v>Administrativo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resumen!$A$3</c:f>
              <c:strCache>
                <c:ptCount val="1"/>
                <c:pt idx="0">
                  <c:v>Ocupación</c:v>
                </c:pt>
              </c:strCache>
            </c:strRef>
          </c:cat>
          <c:val>
            <c:numRef>
              <c:f>resumen!$B$6</c:f>
              <c:numCache>
                <c:formatCode>_ * #,##0_ ;_ * \-#,##0_ ;_ * "-"??_ ;_ @_ 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6-48A0-B27D-4DBF7589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5026992"/>
        <c:axId val="885027408"/>
      </c:barChart>
      <c:catAx>
        <c:axId val="8850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5027408"/>
        <c:crosses val="autoZero"/>
        <c:auto val="1"/>
        <c:lblAlgn val="ctr"/>
        <c:lblOffset val="100"/>
        <c:noMultiLvlLbl val="0"/>
      </c:catAx>
      <c:valAx>
        <c:axId val="8850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50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 de Empleados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resumen!$E$3</c:f>
              <c:strCache>
                <c:ptCount val="1"/>
                <c:pt idx="0">
                  <c:v>Cantidad Empleados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B6C-4386-AF4D-D9526505FD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B6C-4386-AF4D-D9526505FD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B6C-4386-AF4D-D9526505FDB5}"/>
              </c:ext>
            </c:extLst>
          </c:dPt>
          <c:cat>
            <c:strRef>
              <c:f>resumen!$D$4:$D$6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resumen!$E$4:$E$6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6C-4386-AF4D-D9526505F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Punto</a:t>
            </a:r>
            <a:r>
              <a:rPr lang="es-AR" baseline="0"/>
              <a:t>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9B9-B05E-E1FFDADCA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9B9-B05E-E1FFDADCA7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9B9-B05E-E1FFDADCA7C4}"/>
              </c:ext>
            </c:extLst>
          </c:dPt>
          <c:cat>
            <c:strRef>
              <c:f>resumen!$A$12:$A$14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resumen!$B$12:$B$14</c:f>
              <c:numCache>
                <c:formatCode>_("$"* #,##0.00_);_("$"* \(#,##0.00\);_("$"* "-"??_);_(@_)</c:formatCode>
                <c:ptCount val="3"/>
                <c:pt idx="0">
                  <c:v>10300007</c:v>
                </c:pt>
                <c:pt idx="1">
                  <c:v>4800004</c:v>
                </c:pt>
                <c:pt idx="2">
                  <c:v>8650007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61-49B9-B05E-E1FFDADC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47625</xdr:rowOff>
    </xdr:from>
    <xdr:to>
      <xdr:col>13</xdr:col>
      <xdr:colOff>581024</xdr:colOff>
      <xdr:row>9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invierte en  la Provincia de Buenos Aires  en abogados.</a:t>
          </a:r>
        </a:p>
        <a:p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  <a:endParaRPr lang="es-A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15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17</xdr:row>
      <xdr:rowOff>4762</xdr:rowOff>
    </xdr:from>
    <xdr:to>
      <xdr:col>6</xdr:col>
      <xdr:colOff>19050</xdr:colOff>
      <xdr:row>31</xdr:row>
      <xdr:rowOff>80962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DD463B3-92C0-443B-97CD-3BA7CF044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sueldos" displayName="tabla_sueldos" ref="M4:N7" totalsRowShown="0" headerRowDxfId="15" headerRowBorderDxfId="14" tableBorderDxfId="13">
  <autoFilter ref="M4:N7" xr:uid="{00000000-0009-0000-0100-000001000000}"/>
  <tableColumns count="2">
    <tableColumn id="1" xr3:uid="{00000000-0010-0000-0000-000001000000}" name="CARGO" dataDxfId="12"/>
    <tableColumn id="2" xr3:uid="{00000000-0010-0000-0000-000002000000}" name="SUELDO" dataDxfId="11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mpleados" displayName="Tabla_empleados" ref="A2:K22" totalsRowShown="0" headerRowDxfId="10">
  <tableColumns count="11">
    <tableColumn id="1" xr3:uid="{00000000-0010-0000-0100-000001000000}" name="LEGAJO" dataDxfId="9"/>
    <tableColumn id="2" xr3:uid="{00000000-0010-0000-0100-000002000000}" name="NOMBRE" dataDxfId="8"/>
    <tableColumn id="3" xr3:uid="{00000000-0010-0000-0100-000003000000}" name="FECHA DE NAC." dataDxfId="7"/>
    <tableColumn id="4" xr3:uid="{00000000-0010-0000-0100-000004000000}" name="LOCALIDAD" dataDxfId="6"/>
    <tableColumn id="5" xr3:uid="{00000000-0010-0000-0100-000005000000}" name="PROVINCIA" dataDxfId="5"/>
    <tableColumn id="6" xr3:uid="{00000000-0010-0000-0100-000006000000}" name="CARGO"/>
    <tableColumn id="7" xr3:uid="{00000000-0010-0000-0100-000007000000}" name="AÑOS DE TRABAJO" dataDxfId="4"/>
    <tableColumn id="8" xr3:uid="{00000000-0010-0000-0100-000008000000}" name="Edad del empleado" dataDxfId="3">
      <calculatedColumnFormula>YEAR(M$2)-YEAR(Tabla_empleados[[#This Row],[FECHA DE NAC.]])</calculatedColumnFormula>
    </tableColumn>
    <tableColumn id="9" xr3:uid="{00000000-0010-0000-0100-000009000000}" name="Sueldo en Pesos" dataDxfId="2" dataCellStyle="Moneda">
      <calculatedColumnFormula>VLOOKUP(Tabla_empleados[[#This Row],[CARGO]],tabla_sueldos[],2,FALSE)+1</calculatedColumnFormula>
    </tableColumn>
    <tableColumn id="10" xr3:uid="{00000000-0010-0000-0100-00000A000000}" name="Sueldo En Dolares" dataDxfId="1">
      <calculatedColumnFormula>Tabla_empleados[[#This Row],[Sueldo en Pesos]]/O$3</calculatedColumnFormula>
    </tableColumn>
    <tableColumn id="11" xr3:uid="{00000000-0010-0000-0100-00000B000000}" name="Sueldo en Euros" dataDxfId="0">
      <calculatedColumnFormula>I3/P$3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"/>
  <sheetViews>
    <sheetView zoomScale="70" zoomScaleNormal="70" workbookViewId="0">
      <selection activeCell="F3" sqref="F3:I22"/>
    </sheetView>
  </sheetViews>
  <sheetFormatPr baseColWidth="10" defaultRowHeight="15" x14ac:dyDescent="0.25"/>
  <cols>
    <col min="3" max="3" width="17.28515625" customWidth="1"/>
    <col min="4" max="4" width="13.85546875" customWidth="1"/>
    <col min="5" max="5" width="15.5703125" customWidth="1"/>
    <col min="6" max="6" width="14.5703125" bestFit="1" customWidth="1"/>
    <col min="7" max="7" width="20.7109375" customWidth="1"/>
    <col min="8" max="8" width="20.5703125" customWidth="1"/>
    <col min="9" max="9" width="17.85546875" customWidth="1"/>
    <col min="10" max="10" width="19.85546875" customWidth="1"/>
    <col min="11" max="11" width="16.140625" bestFit="1" customWidth="1"/>
    <col min="12" max="12" width="16.140625" customWidth="1"/>
    <col min="13" max="13" width="14.140625" bestFit="1" customWidth="1"/>
    <col min="14" max="14" width="14.42578125" bestFit="1" customWidth="1"/>
    <col min="15" max="15" width="12.85546875" bestFit="1" customWidth="1"/>
    <col min="16" max="16" width="11.85546875" bestFit="1" customWidth="1"/>
  </cols>
  <sheetData>
    <row r="1" spans="1:16 16383:16383" ht="19.5" customHeight="1" thickBot="1" x14ac:dyDescent="0.3">
      <c r="A1" s="5"/>
      <c r="G1" s="3"/>
      <c r="XFC1">
        <v>9</v>
      </c>
    </row>
    <row r="2" spans="1:16 16383:16383" ht="30" customHeight="1" thickBot="1" x14ac:dyDescent="0.3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37</v>
      </c>
      <c r="G2" s="12" t="s">
        <v>25</v>
      </c>
      <c r="H2" s="35" t="s">
        <v>58</v>
      </c>
      <c r="I2" s="35" t="s">
        <v>59</v>
      </c>
      <c r="J2" s="35" t="s">
        <v>54</v>
      </c>
      <c r="K2" s="50" t="s">
        <v>71</v>
      </c>
      <c r="L2" s="48"/>
      <c r="M2" s="33">
        <f ca="1">TODAY()</f>
        <v>45196</v>
      </c>
      <c r="O2" s="32" t="s">
        <v>55</v>
      </c>
      <c r="P2" s="32" t="s">
        <v>70</v>
      </c>
    </row>
    <row r="3" spans="1:16 16383:16383" ht="24.95" customHeight="1" thickBot="1" x14ac:dyDescent="0.3">
      <c r="A3" s="6">
        <v>1</v>
      </c>
      <c r="B3" s="7" t="s">
        <v>5</v>
      </c>
      <c r="C3" s="8">
        <v>35949</v>
      </c>
      <c r="D3" s="7" t="s">
        <v>26</v>
      </c>
      <c r="E3" s="7" t="s">
        <v>31</v>
      </c>
      <c r="F3" t="s">
        <v>36</v>
      </c>
      <c r="G3" s="22">
        <v>5</v>
      </c>
      <c r="H3" s="26">
        <f ca="1">YEAR(M$2)-YEAR(Tabla_empleados[[#This Row],[FECHA DE NAC.]])</f>
        <v>25</v>
      </c>
      <c r="I3" s="28">
        <f>VLOOKUP(Tabla_empleados[[#This Row],[CARGO]],tabla_sueldos[],2,FALSE)</f>
        <v>3000000</v>
      </c>
      <c r="J3" s="29">
        <f>Tabla_empleados[[#This Row],[Sueldo en Pesos]]/O$3</f>
        <v>4026.8456375838928</v>
      </c>
      <c r="K3" s="29">
        <f t="shared" ref="K3:K22" si="0">I3/P$3</f>
        <v>4054.0540540540542</v>
      </c>
      <c r="L3" s="49"/>
      <c r="O3" s="34">
        <v>745</v>
      </c>
      <c r="P3" s="34">
        <v>740</v>
      </c>
    </row>
    <row r="4" spans="1:16 16383:16383" ht="24.95" customHeight="1" thickBot="1" x14ac:dyDescent="0.3">
      <c r="A4" s="1">
        <v>2</v>
      </c>
      <c r="B4" s="2" t="s">
        <v>6</v>
      </c>
      <c r="C4" s="4">
        <v>20068</v>
      </c>
      <c r="D4" s="2" t="s">
        <v>26</v>
      </c>
      <c r="E4" s="2" t="s">
        <v>31</v>
      </c>
      <c r="F4" t="s">
        <v>35</v>
      </c>
      <c r="G4" s="23">
        <v>23</v>
      </c>
      <c r="H4" s="26">
        <f ca="1">YEAR(M$2)-YEAR(Tabla_empleados[[#This Row],[FECHA DE NAC.]])</f>
        <v>69</v>
      </c>
      <c r="I4" s="28">
        <f>VLOOKUP(Tabla_empleados[[#This Row],[CARGO]],tabla_sueldos[],2,FALSE)+1</f>
        <v>1200001</v>
      </c>
      <c r="J4" s="29">
        <f>Tabla_empleados[[#This Row],[Sueldo en Pesos]]/O$3</f>
        <v>1610.7395973154362</v>
      </c>
      <c r="K4" s="29">
        <f t="shared" si="0"/>
        <v>1621.622972972973</v>
      </c>
      <c r="L4" s="49"/>
      <c r="M4" s="27" t="s">
        <v>37</v>
      </c>
      <c r="N4" s="27" t="s">
        <v>38</v>
      </c>
    </row>
    <row r="5" spans="1:16 16383:16383" ht="24.95" customHeight="1" thickBot="1" x14ac:dyDescent="0.3">
      <c r="A5" s="1">
        <v>3</v>
      </c>
      <c r="B5" s="2" t="s">
        <v>7</v>
      </c>
      <c r="C5" s="4">
        <v>23352</v>
      </c>
      <c r="D5" s="2" t="s">
        <v>26</v>
      </c>
      <c r="E5" s="2" t="s">
        <v>31</v>
      </c>
      <c r="F5" t="s">
        <v>35</v>
      </c>
      <c r="G5" s="23">
        <v>1</v>
      </c>
      <c r="H5" s="26">
        <f ca="1">YEAR(M$2)-YEAR(Tabla_empleados[[#This Row],[FECHA DE NAC.]])</f>
        <v>60</v>
      </c>
      <c r="I5" s="28">
        <f>VLOOKUP(Tabla_empleados[[#This Row],[CARGO]],tabla_sueldos[],2,FALSE)+1</f>
        <v>1200001</v>
      </c>
      <c r="J5" s="29">
        <f>Tabla_empleados[[#This Row],[Sueldo en Pesos]]/O$3</f>
        <v>1610.7395973154362</v>
      </c>
      <c r="K5" s="29">
        <f t="shared" si="0"/>
        <v>1621.622972972973</v>
      </c>
      <c r="L5" s="49"/>
      <c r="M5" s="25" t="s">
        <v>34</v>
      </c>
      <c r="N5" s="13">
        <v>650000</v>
      </c>
    </row>
    <row r="6" spans="1:16 16383:16383" ht="24.95" customHeight="1" thickBot="1" x14ac:dyDescent="0.3">
      <c r="A6" s="1">
        <v>4</v>
      </c>
      <c r="B6" s="2" t="s">
        <v>8</v>
      </c>
      <c r="C6" s="4">
        <v>33156</v>
      </c>
      <c r="D6" s="2" t="s">
        <v>26</v>
      </c>
      <c r="E6" s="2" t="s">
        <v>31</v>
      </c>
      <c r="F6" t="s">
        <v>35</v>
      </c>
      <c r="G6" s="23">
        <v>9</v>
      </c>
      <c r="H6" s="26">
        <f ca="1">YEAR(M$2)-YEAR(Tabla_empleados[[#This Row],[FECHA DE NAC.]])</f>
        <v>33</v>
      </c>
      <c r="I6" s="28">
        <f>VLOOKUP(Tabla_empleados[[#This Row],[CARGO]],tabla_sueldos[],2,FALSE)+1</f>
        <v>1200001</v>
      </c>
      <c r="J6" s="29">
        <f>Tabla_empleados[[#This Row],[Sueldo en Pesos]]/O$3</f>
        <v>1610.7395973154362</v>
      </c>
      <c r="K6" s="29">
        <f t="shared" si="0"/>
        <v>1621.622972972973</v>
      </c>
      <c r="L6" s="49"/>
      <c r="M6" s="25" t="s">
        <v>35</v>
      </c>
      <c r="N6" s="13">
        <v>1200000</v>
      </c>
    </row>
    <row r="7" spans="1:16 16383:16383" ht="24.95" customHeight="1" thickBot="1" x14ac:dyDescent="0.3">
      <c r="A7" s="1">
        <v>5</v>
      </c>
      <c r="B7" s="2" t="s">
        <v>9</v>
      </c>
      <c r="C7" s="4">
        <v>31222</v>
      </c>
      <c r="D7" s="2" t="s">
        <v>27</v>
      </c>
      <c r="E7" s="2" t="s">
        <v>32</v>
      </c>
      <c r="F7" t="s">
        <v>35</v>
      </c>
      <c r="G7" s="23">
        <v>7</v>
      </c>
      <c r="H7" s="26">
        <f ca="1">YEAR(M$2)-YEAR(Tabla_empleados[[#This Row],[FECHA DE NAC.]])</f>
        <v>38</v>
      </c>
      <c r="I7" s="28">
        <f>VLOOKUP(Tabla_empleados[[#This Row],[CARGO]],tabla_sueldos[],2,FALSE)+1</f>
        <v>1200001</v>
      </c>
      <c r="J7" s="29">
        <f>Tabla_empleados[[#This Row],[Sueldo en Pesos]]/O$3</f>
        <v>1610.7395973154362</v>
      </c>
      <c r="K7" s="29">
        <f t="shared" si="0"/>
        <v>1621.622972972973</v>
      </c>
      <c r="L7" s="49"/>
      <c r="M7" s="25" t="s">
        <v>36</v>
      </c>
      <c r="N7" s="13">
        <v>3000000</v>
      </c>
    </row>
    <row r="8" spans="1:16 16383:16383" ht="24.95" customHeight="1" thickBot="1" x14ac:dyDescent="0.3">
      <c r="A8" s="1">
        <v>6</v>
      </c>
      <c r="B8" s="2" t="s">
        <v>10</v>
      </c>
      <c r="C8" s="4">
        <v>26697</v>
      </c>
      <c r="D8" s="2" t="s">
        <v>27</v>
      </c>
      <c r="E8" s="2" t="s">
        <v>32</v>
      </c>
      <c r="F8" t="s">
        <v>35</v>
      </c>
      <c r="G8" s="23">
        <v>5</v>
      </c>
      <c r="H8" s="26">
        <f ca="1">YEAR(M$2)-YEAR(Tabla_empleados[[#This Row],[FECHA DE NAC.]])</f>
        <v>50</v>
      </c>
      <c r="I8" s="28">
        <f>VLOOKUP(Tabla_empleados[[#This Row],[CARGO]],tabla_sueldos[],2,FALSE)+1</f>
        <v>1200001</v>
      </c>
      <c r="J8" s="29">
        <f>Tabla_empleados[[#This Row],[Sueldo en Pesos]]/O$3</f>
        <v>1610.7395973154362</v>
      </c>
      <c r="K8" s="29">
        <f t="shared" si="0"/>
        <v>1621.622972972973</v>
      </c>
      <c r="L8" s="49"/>
    </row>
    <row r="9" spans="1:16 16383:16383" ht="24.95" customHeight="1" thickBot="1" x14ac:dyDescent="0.3">
      <c r="A9" s="1">
        <v>7</v>
      </c>
      <c r="B9" s="2" t="s">
        <v>11</v>
      </c>
      <c r="C9" s="4">
        <v>34952</v>
      </c>
      <c r="D9" s="2" t="s">
        <v>27</v>
      </c>
      <c r="E9" s="2" t="s">
        <v>32</v>
      </c>
      <c r="F9" t="s">
        <v>35</v>
      </c>
      <c r="G9" s="23">
        <v>8</v>
      </c>
      <c r="H9" s="26">
        <f ca="1">YEAR(M$2)-YEAR(Tabla_empleados[[#This Row],[FECHA DE NAC.]])</f>
        <v>28</v>
      </c>
      <c r="I9" s="28">
        <f>VLOOKUP(Tabla_empleados[[#This Row],[CARGO]],tabla_sueldos[],2,FALSE)+1</f>
        <v>1200001</v>
      </c>
      <c r="J9" s="29">
        <f>Tabla_empleados[[#This Row],[Sueldo en Pesos]]/O$3</f>
        <v>1610.7395973154362</v>
      </c>
      <c r="K9" s="29">
        <f t="shared" si="0"/>
        <v>1621.622972972973</v>
      </c>
      <c r="L9" s="49"/>
    </row>
    <row r="10" spans="1:16 16383:16383" ht="24.95" customHeight="1" thickBot="1" x14ac:dyDescent="0.3">
      <c r="A10" s="1">
        <v>8</v>
      </c>
      <c r="B10" s="2" t="s">
        <v>12</v>
      </c>
      <c r="C10" s="4">
        <v>35139</v>
      </c>
      <c r="D10" s="2" t="s">
        <v>27</v>
      </c>
      <c r="E10" s="2" t="s">
        <v>32</v>
      </c>
      <c r="F10" t="s">
        <v>35</v>
      </c>
      <c r="G10" s="23">
        <v>12</v>
      </c>
      <c r="H10" s="26">
        <f ca="1">YEAR(M$2)-YEAR(Tabla_empleados[[#This Row],[FECHA DE NAC.]])</f>
        <v>27</v>
      </c>
      <c r="I10" s="28">
        <f>VLOOKUP(Tabla_empleados[[#This Row],[CARGO]],tabla_sueldos[],2,FALSE)+1</f>
        <v>1200001</v>
      </c>
      <c r="J10" s="29">
        <f>Tabla_empleados[[#This Row],[Sueldo en Pesos]]/O$3</f>
        <v>1610.7395973154362</v>
      </c>
      <c r="K10" s="29">
        <f t="shared" si="0"/>
        <v>1621.622972972973</v>
      </c>
      <c r="L10" s="49"/>
    </row>
    <row r="11" spans="1:16 16383:16383" ht="24.95" customHeight="1" thickBot="1" x14ac:dyDescent="0.3">
      <c r="A11" s="1">
        <v>9</v>
      </c>
      <c r="B11" s="2" t="s">
        <v>13</v>
      </c>
      <c r="C11" s="4">
        <v>30241</v>
      </c>
      <c r="D11" s="2" t="s">
        <v>28</v>
      </c>
      <c r="E11" s="2" t="s">
        <v>33</v>
      </c>
      <c r="F11" t="s">
        <v>34</v>
      </c>
      <c r="G11" s="23">
        <v>10</v>
      </c>
      <c r="H11" s="26">
        <f ca="1">YEAR(M$2)-YEAR(Tabla_empleados[[#This Row],[FECHA DE NAC.]])</f>
        <v>41</v>
      </c>
      <c r="I11" s="28">
        <f>VLOOKUP(Tabla_empleados[[#This Row],[CARGO]],tabla_sueldos[],2,FALSE)+1</f>
        <v>650001</v>
      </c>
      <c r="J11" s="29">
        <f>Tabla_empleados[[#This Row],[Sueldo en Pesos]]/O$3</f>
        <v>872.4845637583893</v>
      </c>
      <c r="K11" s="29">
        <f t="shared" si="0"/>
        <v>878.37972972972977</v>
      </c>
      <c r="L11" s="49"/>
    </row>
    <row r="12" spans="1:16 16383:16383" ht="24.95" customHeight="1" thickBot="1" x14ac:dyDescent="0.3">
      <c r="A12" s="1">
        <v>10</v>
      </c>
      <c r="B12" s="2" t="s">
        <v>14</v>
      </c>
      <c r="C12" s="4">
        <v>31607</v>
      </c>
      <c r="D12" s="2" t="s">
        <v>28</v>
      </c>
      <c r="E12" s="2" t="s">
        <v>33</v>
      </c>
      <c r="F12" t="s">
        <v>34</v>
      </c>
      <c r="G12" s="23">
        <v>2</v>
      </c>
      <c r="H12" s="26">
        <f ca="1">YEAR(M$2)-YEAR(Tabla_empleados[[#This Row],[FECHA DE NAC.]])</f>
        <v>37</v>
      </c>
      <c r="I12" s="28">
        <f>VLOOKUP(Tabla_empleados[[#This Row],[CARGO]],tabla_sueldos[],2,FALSE)+1</f>
        <v>650001</v>
      </c>
      <c r="J12" s="29">
        <f>Tabla_empleados[[#This Row],[Sueldo en Pesos]]/O$3</f>
        <v>872.4845637583893</v>
      </c>
      <c r="K12" s="29">
        <f t="shared" si="0"/>
        <v>878.37972972972977</v>
      </c>
      <c r="L12" s="49"/>
    </row>
    <row r="13" spans="1:16 16383:16383" ht="24.95" customHeight="1" thickBot="1" x14ac:dyDescent="0.3">
      <c r="A13" s="1">
        <v>11</v>
      </c>
      <c r="B13" s="2" t="s">
        <v>15</v>
      </c>
      <c r="C13" s="4">
        <v>34226</v>
      </c>
      <c r="D13" s="2" t="s">
        <v>28</v>
      </c>
      <c r="E13" s="2" t="s">
        <v>33</v>
      </c>
      <c r="F13" t="s">
        <v>34</v>
      </c>
      <c r="G13" s="23">
        <v>1</v>
      </c>
      <c r="H13" s="26">
        <f ca="1">YEAR(M$2)-YEAR(Tabla_empleados[[#This Row],[FECHA DE NAC.]])</f>
        <v>30</v>
      </c>
      <c r="I13" s="28">
        <f>VLOOKUP(Tabla_empleados[[#This Row],[CARGO]],tabla_sueldos[],2,FALSE)+1</f>
        <v>650001</v>
      </c>
      <c r="J13" s="29">
        <f>Tabla_empleados[[#This Row],[Sueldo en Pesos]]/O$3</f>
        <v>872.4845637583893</v>
      </c>
      <c r="K13" s="29">
        <f t="shared" si="0"/>
        <v>878.37972972972977</v>
      </c>
      <c r="L13" s="49"/>
    </row>
    <row r="14" spans="1:16 16383:16383" ht="24.95" customHeight="1" thickBot="1" x14ac:dyDescent="0.3">
      <c r="A14" s="1">
        <v>12</v>
      </c>
      <c r="B14" s="2" t="s">
        <v>16</v>
      </c>
      <c r="C14" s="4">
        <v>25600</v>
      </c>
      <c r="D14" s="2" t="s">
        <v>28</v>
      </c>
      <c r="E14" s="2" t="s">
        <v>33</v>
      </c>
      <c r="F14" t="s">
        <v>35</v>
      </c>
      <c r="G14" s="23">
        <v>11</v>
      </c>
      <c r="H14" s="26">
        <f ca="1">YEAR(M$2)-YEAR(Tabla_empleados[[#This Row],[FECHA DE NAC.]])</f>
        <v>53</v>
      </c>
      <c r="I14" s="28">
        <f>VLOOKUP(Tabla_empleados[[#This Row],[CARGO]],tabla_sueldos[],2,FALSE)+1</f>
        <v>1200001</v>
      </c>
      <c r="J14" s="29">
        <f>Tabla_empleados[[#This Row],[Sueldo en Pesos]]/O$3</f>
        <v>1610.7395973154362</v>
      </c>
      <c r="K14" s="29">
        <f t="shared" si="0"/>
        <v>1621.622972972973</v>
      </c>
      <c r="L14" s="49"/>
    </row>
    <row r="15" spans="1:16 16383:16383" ht="24.95" customHeight="1" thickBot="1" x14ac:dyDescent="0.3">
      <c r="A15" s="1">
        <v>13</v>
      </c>
      <c r="B15" s="2" t="s">
        <v>17</v>
      </c>
      <c r="C15" s="4">
        <v>32651</v>
      </c>
      <c r="D15" s="2" t="s">
        <v>28</v>
      </c>
      <c r="E15" s="2" t="s">
        <v>33</v>
      </c>
      <c r="F15" t="s">
        <v>35</v>
      </c>
      <c r="G15" s="23">
        <v>2</v>
      </c>
      <c r="H15" s="26">
        <f ca="1">YEAR(M$2)-YEAR(Tabla_empleados[[#This Row],[FECHA DE NAC.]])</f>
        <v>34</v>
      </c>
      <c r="I15" s="28">
        <f>VLOOKUP(Tabla_empleados[[#This Row],[CARGO]],tabla_sueldos[],2,FALSE)+1</f>
        <v>1200001</v>
      </c>
      <c r="J15" s="29">
        <f>Tabla_empleados[[#This Row],[Sueldo en Pesos]]/O$3</f>
        <v>1610.7395973154362</v>
      </c>
      <c r="K15" s="29">
        <f t="shared" si="0"/>
        <v>1621.622972972973</v>
      </c>
      <c r="L15" s="49"/>
    </row>
    <row r="16" spans="1:16 16383:16383" ht="24.95" customHeight="1" thickBot="1" x14ac:dyDescent="0.3">
      <c r="A16" s="1">
        <v>14</v>
      </c>
      <c r="B16" s="2" t="s">
        <v>18</v>
      </c>
      <c r="C16" s="4">
        <v>33101</v>
      </c>
      <c r="D16" s="2" t="s">
        <v>28</v>
      </c>
      <c r="E16" s="2" t="s">
        <v>33</v>
      </c>
      <c r="F16" t="s">
        <v>34</v>
      </c>
      <c r="G16" s="23">
        <v>3</v>
      </c>
      <c r="H16" s="26">
        <f ca="1">YEAR(M$2)-YEAR(Tabla_empleados[[#This Row],[FECHA DE NAC.]])</f>
        <v>33</v>
      </c>
      <c r="I16" s="28">
        <f>VLOOKUP(Tabla_empleados[[#This Row],[CARGO]],tabla_sueldos[],2,FALSE)+1</f>
        <v>650001</v>
      </c>
      <c r="J16" s="29">
        <f>Tabla_empleados[[#This Row],[Sueldo en Pesos]]/O$3</f>
        <v>872.4845637583893</v>
      </c>
      <c r="K16" s="29">
        <f t="shared" si="0"/>
        <v>878.37972972972977</v>
      </c>
      <c r="L16" s="49"/>
    </row>
    <row r="17" spans="1:12" ht="24.95" customHeight="1" thickBot="1" x14ac:dyDescent="0.3">
      <c r="A17" s="1">
        <v>15</v>
      </c>
      <c r="B17" s="2" t="s">
        <v>19</v>
      </c>
      <c r="C17" s="4">
        <v>36558</v>
      </c>
      <c r="D17" s="2" t="s">
        <v>28</v>
      </c>
      <c r="E17" s="2" t="s">
        <v>33</v>
      </c>
      <c r="F17" t="s">
        <v>34</v>
      </c>
      <c r="G17" s="23">
        <v>5</v>
      </c>
      <c r="H17" s="26">
        <f ca="1">YEAR(M$2)-YEAR(Tabla_empleados[[#This Row],[FECHA DE NAC.]])</f>
        <v>23</v>
      </c>
      <c r="I17" s="28">
        <f>VLOOKUP(Tabla_empleados[[#This Row],[CARGO]],tabla_sueldos[],2,FALSE)+1</f>
        <v>650001</v>
      </c>
      <c r="J17" s="29">
        <f>Tabla_empleados[[#This Row],[Sueldo en Pesos]]/O$3</f>
        <v>872.4845637583893</v>
      </c>
      <c r="K17" s="29">
        <f t="shared" si="0"/>
        <v>878.37972972972977</v>
      </c>
      <c r="L17" s="49"/>
    </row>
    <row r="18" spans="1:12" ht="24.95" customHeight="1" thickBot="1" x14ac:dyDescent="0.3">
      <c r="A18" s="1">
        <v>16</v>
      </c>
      <c r="B18" s="2" t="s">
        <v>20</v>
      </c>
      <c r="C18" s="4">
        <v>35046</v>
      </c>
      <c r="D18" s="2" t="s">
        <v>29</v>
      </c>
      <c r="E18" s="2" t="s">
        <v>33</v>
      </c>
      <c r="F18" t="s">
        <v>36</v>
      </c>
      <c r="G18" s="23">
        <v>5</v>
      </c>
      <c r="H18" s="26">
        <f ca="1">YEAR(M$2)-YEAR(Tabla_empleados[[#This Row],[FECHA DE NAC.]])</f>
        <v>28</v>
      </c>
      <c r="I18" s="28">
        <f>VLOOKUP(Tabla_empleados[[#This Row],[CARGO]],tabla_sueldos[],2,FALSE)</f>
        <v>3000000</v>
      </c>
      <c r="J18" s="29">
        <f>Tabla_empleados[[#This Row],[Sueldo en Pesos]]/O$3</f>
        <v>4026.8456375838928</v>
      </c>
      <c r="K18" s="29">
        <f t="shared" si="0"/>
        <v>4054.0540540540542</v>
      </c>
      <c r="L18" s="49"/>
    </row>
    <row r="19" spans="1:12" ht="24.95" customHeight="1" thickBot="1" x14ac:dyDescent="0.3">
      <c r="A19" s="1">
        <v>17</v>
      </c>
      <c r="B19" s="2" t="s">
        <v>21</v>
      </c>
      <c r="C19" s="4">
        <v>29177</v>
      </c>
      <c r="D19" s="2" t="s">
        <v>30</v>
      </c>
      <c r="E19" s="2" t="s">
        <v>31</v>
      </c>
      <c r="F19" t="s">
        <v>35</v>
      </c>
      <c r="G19" s="23">
        <v>25</v>
      </c>
      <c r="H19" s="26">
        <f ca="1">YEAR(M$2)-YEAR(Tabla_empleados[[#This Row],[FECHA DE NAC.]])</f>
        <v>44</v>
      </c>
      <c r="I19" s="28">
        <f>VLOOKUP(Tabla_empleados[[#This Row],[CARGO]],tabla_sueldos[],2,FALSE)+1</f>
        <v>1200001</v>
      </c>
      <c r="J19" s="29">
        <f>Tabla_empleados[[#This Row],[Sueldo en Pesos]]/O$3</f>
        <v>1610.7395973154362</v>
      </c>
      <c r="K19" s="29">
        <f t="shared" si="0"/>
        <v>1621.622972972973</v>
      </c>
      <c r="L19" s="49"/>
    </row>
    <row r="20" spans="1:12" ht="24.95" customHeight="1" thickBot="1" x14ac:dyDescent="0.3">
      <c r="A20" s="1">
        <v>18</v>
      </c>
      <c r="B20" s="2" t="s">
        <v>22</v>
      </c>
      <c r="C20" s="4">
        <v>30136</v>
      </c>
      <c r="D20" s="2" t="s">
        <v>30</v>
      </c>
      <c r="E20" s="2" t="s">
        <v>31</v>
      </c>
      <c r="F20" t="s">
        <v>34</v>
      </c>
      <c r="G20" s="23">
        <v>6</v>
      </c>
      <c r="H20" s="26">
        <f ca="1">YEAR(M$2)-YEAR(Tabla_empleados[[#This Row],[FECHA DE NAC.]])</f>
        <v>41</v>
      </c>
      <c r="I20" s="28">
        <f>VLOOKUP(Tabla_empleados[[#This Row],[CARGO]],tabla_sueldos[],2,FALSE)+1</f>
        <v>650001</v>
      </c>
      <c r="J20" s="29">
        <f>Tabla_empleados[[#This Row],[Sueldo en Pesos]]/O$3</f>
        <v>872.4845637583893</v>
      </c>
      <c r="K20" s="29">
        <f t="shared" si="0"/>
        <v>878.37972972972977</v>
      </c>
      <c r="L20" s="49"/>
    </row>
    <row r="21" spans="1:12" ht="24.95" customHeight="1" thickBot="1" x14ac:dyDescent="0.3">
      <c r="A21" s="1">
        <v>19</v>
      </c>
      <c r="B21" s="2" t="s">
        <v>23</v>
      </c>
      <c r="C21" s="4">
        <v>36161</v>
      </c>
      <c r="D21" s="2" t="s">
        <v>30</v>
      </c>
      <c r="E21" s="2" t="s">
        <v>31</v>
      </c>
      <c r="F21" t="s">
        <v>34</v>
      </c>
      <c r="G21" s="23">
        <v>9</v>
      </c>
      <c r="H21" s="26">
        <f ca="1">YEAR(M$2)-YEAR(Tabla_empleados[[#This Row],[FECHA DE NAC.]])</f>
        <v>24</v>
      </c>
      <c r="I21" s="28">
        <f>VLOOKUP(Tabla_empleados[[#This Row],[CARGO]],tabla_sueldos[],2,FALSE)+1</f>
        <v>650001</v>
      </c>
      <c r="J21" s="29">
        <f>Tabla_empleados[[#This Row],[Sueldo en Pesos]]/O$3</f>
        <v>872.4845637583893</v>
      </c>
      <c r="K21" s="29">
        <f t="shared" si="0"/>
        <v>878.37972972972977</v>
      </c>
      <c r="L21" s="49"/>
    </row>
    <row r="22" spans="1:12" ht="24.95" customHeight="1" thickBot="1" x14ac:dyDescent="0.3">
      <c r="A22" s="1">
        <v>20</v>
      </c>
      <c r="B22" s="2" t="s">
        <v>24</v>
      </c>
      <c r="C22" s="4">
        <v>27123</v>
      </c>
      <c r="D22" s="2" t="s">
        <v>30</v>
      </c>
      <c r="E22" s="2" t="s">
        <v>31</v>
      </c>
      <c r="F22" t="s">
        <v>35</v>
      </c>
      <c r="G22" s="23">
        <v>2</v>
      </c>
      <c r="H22" s="26">
        <f ca="1">YEAR(M$2)-YEAR(Tabla_empleados[[#This Row],[FECHA DE NAC.]])</f>
        <v>49</v>
      </c>
      <c r="I22" s="28">
        <f>VLOOKUP(Tabla_empleados[[#This Row],[CARGO]],tabla_sueldos[],2,FALSE)+1</f>
        <v>1200001</v>
      </c>
      <c r="J22" s="29">
        <f>Tabla_empleados[[#This Row],[Sueldo en Pesos]]/O$3</f>
        <v>1610.7395973154362</v>
      </c>
      <c r="K22" s="29">
        <f t="shared" si="0"/>
        <v>1621.622972972973</v>
      </c>
      <c r="L22" s="49"/>
    </row>
    <row r="23" spans="1:12" ht="24.95" customHeight="1" x14ac:dyDescent="0.25"/>
    <row r="24" spans="1:12" ht="24.9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0"/>
  <sheetViews>
    <sheetView tabSelected="1" zoomScaleNormal="100" workbookViewId="0">
      <selection activeCell="A7" sqref="A7:B7"/>
    </sheetView>
  </sheetViews>
  <sheetFormatPr baseColWidth="10" defaultRowHeight="15" x14ac:dyDescent="0.25"/>
  <cols>
    <col min="1" max="1" width="18.5703125" bestFit="1" customWidth="1"/>
    <col min="2" max="2" width="16.5703125" customWidth="1"/>
    <col min="4" max="4" width="24" bestFit="1" customWidth="1"/>
    <col min="8" max="8" width="19.7109375" bestFit="1" customWidth="1"/>
    <col min="9" max="9" width="15.42578125" bestFit="1" customWidth="1"/>
    <col min="12" max="12" width="14.7109375" bestFit="1" customWidth="1"/>
    <col min="14" max="14" width="14.5703125" customWidth="1"/>
  </cols>
  <sheetData>
    <row r="2" spans="1:15" ht="15.75" thickBot="1" x14ac:dyDescent="0.3">
      <c r="A2" s="14" t="s">
        <v>39</v>
      </c>
      <c r="D2" s="14" t="s">
        <v>40</v>
      </c>
    </row>
    <row r="3" spans="1:15" ht="27" thickBot="1" x14ac:dyDescent="0.3">
      <c r="A3" s="19" t="s">
        <v>41</v>
      </c>
      <c r="B3" s="18" t="s">
        <v>42</v>
      </c>
      <c r="D3" s="16" t="s">
        <v>43</v>
      </c>
      <c r="E3" s="17" t="s">
        <v>51</v>
      </c>
    </row>
    <row r="4" spans="1:15" ht="30" customHeight="1" thickBot="1" x14ac:dyDescent="0.3">
      <c r="A4" s="24" t="s">
        <v>36</v>
      </c>
      <c r="B4" s="30">
        <f>COUNTIF(Tabla_empleados[CARGO],resumen!A4)</f>
        <v>2</v>
      </c>
      <c r="D4" s="24" t="s">
        <v>31</v>
      </c>
      <c r="E4" s="18">
        <f>COUNTIF(Tabla_empleados[PROVINCIA],D4)</f>
        <v>8</v>
      </c>
    </row>
    <row r="5" spans="1:15" ht="30" customHeight="1" thickBot="1" x14ac:dyDescent="0.3">
      <c r="A5" s="24" t="s">
        <v>35</v>
      </c>
      <c r="B5" s="30">
        <f>COUNTIF(Tabla_empleados[CARGO],resumen!A5)</f>
        <v>11</v>
      </c>
      <c r="D5" s="24" t="s">
        <v>32</v>
      </c>
      <c r="E5" s="18">
        <f>COUNTIF(Tabla_empleados[PROVINCIA],D5)</f>
        <v>4</v>
      </c>
    </row>
    <row r="6" spans="1:15" ht="30" customHeight="1" thickBot="1" x14ac:dyDescent="0.3">
      <c r="A6" s="24" t="s">
        <v>34</v>
      </c>
      <c r="B6" s="30">
        <f>COUNTIF(Tabla_empleados[CARGO],resumen!A6)</f>
        <v>7</v>
      </c>
      <c r="D6" s="24" t="s">
        <v>33</v>
      </c>
      <c r="E6" s="18">
        <f>COUNTIF(Tabla_empleados[PROVINCIA],D6)</f>
        <v>8</v>
      </c>
    </row>
    <row r="7" spans="1:15" x14ac:dyDescent="0.25">
      <c r="A7" s="64"/>
      <c r="B7" s="64"/>
    </row>
    <row r="10" spans="1:15" ht="15.75" thickBot="1" x14ac:dyDescent="0.3">
      <c r="A10" s="14" t="s">
        <v>44</v>
      </c>
      <c r="D10" s="14" t="s">
        <v>53</v>
      </c>
    </row>
    <row r="11" spans="1:15" ht="39" thickBot="1" x14ac:dyDescent="0.3">
      <c r="A11" s="16" t="s">
        <v>43</v>
      </c>
      <c r="B11" s="20" t="s">
        <v>52</v>
      </c>
      <c r="D11" s="15">
        <f>COUNTIF(Tabla_empleados[AÑOS DE TRABAJO],"&gt;5")</f>
        <v>10</v>
      </c>
    </row>
    <row r="12" spans="1:15" ht="24.95" customHeight="1" thickBot="1" x14ac:dyDescent="0.3">
      <c r="A12" s="24" t="s">
        <v>31</v>
      </c>
      <c r="B12" s="63">
        <f>SUMIFS(Tabla_empleados[Sueldo en Pesos],Tabla_empleados[PROVINCIA],resumen!A12)</f>
        <v>10300007</v>
      </c>
    </row>
    <row r="13" spans="1:15" ht="24.95" customHeight="1" thickBot="1" x14ac:dyDescent="0.3">
      <c r="A13" s="24" t="s">
        <v>32</v>
      </c>
      <c r="B13" s="63">
        <f>SUMIFS(Tabla_empleados[Sueldo en Pesos],Tabla_empleados[PROVINCIA],resumen!A13)</f>
        <v>4800004</v>
      </c>
      <c r="D13" s="57" t="s">
        <v>57</v>
      </c>
      <c r="E13" s="58"/>
      <c r="F13" s="59"/>
      <c r="H13" s="39" t="s">
        <v>60</v>
      </c>
      <c r="L13" s="39" t="s">
        <v>63</v>
      </c>
    </row>
    <row r="14" spans="1:15" ht="24.95" customHeight="1" thickBot="1" x14ac:dyDescent="0.35">
      <c r="A14" s="24" t="s">
        <v>33</v>
      </c>
      <c r="B14" s="63">
        <f>SUMIFS(Tabla_empleados[Sueldo en Pesos],Tabla_empleados[PROVINCIA],resumen!A14)</f>
        <v>8650007</v>
      </c>
      <c r="D14" s="31" t="s">
        <v>45</v>
      </c>
      <c r="E14" s="55">
        <f>MAX(B12:B14)</f>
        <v>10300007</v>
      </c>
      <c r="F14" s="56"/>
      <c r="H14" s="37" t="s">
        <v>43</v>
      </c>
      <c r="I14" s="40" t="s">
        <v>61</v>
      </c>
      <c r="J14" s="40" t="s">
        <v>62</v>
      </c>
      <c r="L14" s="37" t="s">
        <v>43</v>
      </c>
      <c r="M14" s="40" t="s">
        <v>61</v>
      </c>
      <c r="N14" s="43" t="s">
        <v>64</v>
      </c>
      <c r="O14" s="43" t="s">
        <v>65</v>
      </c>
    </row>
    <row r="15" spans="1:15" ht="21.95" customHeight="1" thickBot="1" x14ac:dyDescent="0.35">
      <c r="D15" s="31" t="s">
        <v>56</v>
      </c>
      <c r="E15" s="53" t="str">
        <f>INDEX(A12:B14,MATCH(E14,B12:B14,),1)</f>
        <v>Cordoba</v>
      </c>
      <c r="F15" s="54"/>
      <c r="H15" s="38" t="s">
        <v>32</v>
      </c>
      <c r="I15" s="41" t="s">
        <v>34</v>
      </c>
      <c r="J15" s="42">
        <f>COUNTIFS(Tabla_empleados[CARGO],resumen!I15,Tabla_empleados[PROVINCIA],resumen!H15)</f>
        <v>0</v>
      </c>
      <c r="L15" s="38" t="s">
        <v>33</v>
      </c>
      <c r="M15" s="41" t="s">
        <v>36</v>
      </c>
      <c r="N15" s="44">
        <f>SUMIFS(Tabla_empleados[Sueldo en Pesos],Tabla_empleados[CARGO],resumen!M15,Tabla_empleados[PROVINCIA],resumen!L15)</f>
        <v>3000000</v>
      </c>
      <c r="O15" s="44">
        <f>SUMIFS(Tabla_empleados[Sueldo En Dolares],Tabla_empleados[CARGO],resumen!M15,Tabla_empleados[PROVINCIA],resumen!L15)</f>
        <v>4026.8456375838928</v>
      </c>
    </row>
    <row r="16" spans="1:15" ht="15.75" thickBot="1" x14ac:dyDescent="0.3"/>
    <row r="17" spans="1:10" ht="15.75" thickBot="1" x14ac:dyDescent="0.3">
      <c r="A17" s="14" t="s">
        <v>46</v>
      </c>
      <c r="H17" s="39" t="s">
        <v>66</v>
      </c>
    </row>
    <row r="18" spans="1:10" ht="39" thickBot="1" x14ac:dyDescent="0.3">
      <c r="A18" s="21" t="s">
        <v>47</v>
      </c>
      <c r="B18" s="21" t="s">
        <v>48</v>
      </c>
      <c r="C18" s="21" t="s">
        <v>49</v>
      </c>
      <c r="D18" s="21" t="s">
        <v>50</v>
      </c>
      <c r="H18" s="37" t="s">
        <v>43</v>
      </c>
      <c r="I18" s="43" t="s">
        <v>67</v>
      </c>
      <c r="J18" s="43" t="s">
        <v>68</v>
      </c>
    </row>
    <row r="19" spans="1:10" ht="16.5" thickBot="1" x14ac:dyDescent="0.3">
      <c r="A19" s="52">
        <v>4</v>
      </c>
      <c r="B19" s="36" t="str">
        <f>VLOOKUP(A19,Tabla_empleados[[LEGAJO]:[NOMBRE]],2,FALSE)</f>
        <v>María</v>
      </c>
      <c r="C19" s="36" t="str">
        <f>VLOOKUP(A19,Tabla_empleados[[LEGAJO]:[CARGO]],6,FALSE)</f>
        <v>Gerente</v>
      </c>
      <c r="D19" s="51">
        <f>VLOOKUP(resumen!A19,Tabla_empleados[[LEGAJO]:[Sueldo en Pesos]],9,FALSE)</f>
        <v>1200001</v>
      </c>
      <c r="H19" s="45" t="str">
        <f>INDEX(Tabla_empleados[[PROVINCIA]:[Sueldo en Pesos]],MATCH(I19,Tabla_empleados[Sueldo en Pesos]),1)</f>
        <v>Cordoba</v>
      </c>
      <c r="I19" s="46">
        <f>MAX(Tabla_empleados[Sueldo en Pesos])</f>
        <v>3000000</v>
      </c>
      <c r="J19" s="47">
        <f>MAX(Tabla_empleados[Sueldo En Dolares])</f>
        <v>4026.8456375838928</v>
      </c>
    </row>
    <row r="20" spans="1:10" ht="15.75" x14ac:dyDescent="0.25">
      <c r="H20" s="60" t="s">
        <v>69</v>
      </c>
      <c r="I20" s="61"/>
      <c r="J20" s="62"/>
    </row>
  </sheetData>
  <mergeCells count="4">
    <mergeCell ref="E15:F15"/>
    <mergeCell ref="E14:F14"/>
    <mergeCell ref="D13:F13"/>
    <mergeCell ref="H20:J2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'HOJA DE DATOS'!$A$3:$A$22</xm:f>
          </x14:formula1>
          <xm:sqref>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32" sqref="M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alumno</cp:lastModifiedBy>
  <dcterms:created xsi:type="dcterms:W3CDTF">2018-06-07T23:17:58Z</dcterms:created>
  <dcterms:modified xsi:type="dcterms:W3CDTF">2023-09-27T19:20:17Z</dcterms:modified>
</cp:coreProperties>
</file>