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https://settis-my.sharepoint.com/personal/alexandre_receveur_alliance4u_fr/Documents/Documents/JDR/"/>
    </mc:Choice>
  </mc:AlternateContent>
  <xr:revisionPtr revIDLastSave="4758" documentId="11_9248CACD84F5E813E97046798E3E8C1851038385" xr6:coauthVersionLast="47" xr6:coauthVersionMax="47" xr10:uidLastSave="{F2FCB9F4-9BAC-486E-9F52-62D3FB54B607}"/>
  <bookViews>
    <workbookView xWindow="-110" yWindow="-110" windowWidth="19420" windowHeight="10300" xr2:uid="{00000000-000D-0000-FFFF-FFFF00000000}"/>
  </bookViews>
  <sheets>
    <sheet name="Equipe" sheetId="4" r:id="rId1"/>
    <sheet name="Objets" sheetId="15" r:id="rId2"/>
    <sheet name="Calculs" sheetId="1" r:id="rId3"/>
    <sheet name="Magies TO JSON" sheetId="19" r:id="rId4"/>
    <sheet name="Statuts" sheetId="20" r:id="rId5"/>
    <sheet name="Magies" sheetId="6" r:id="rId6"/>
    <sheet name="Compétences" sheetId="14" r:id="rId7"/>
    <sheet name="Armes" sheetId="7" r:id="rId8"/>
    <sheet name="Données" sheetId="3" r:id="rId9"/>
    <sheet name="Bestiaire" sheetId="2" r:id="rId10"/>
    <sheet name="Attaques ennemis" sheetId="18" r:id="rId11"/>
    <sheet name="Bestiaire (2)" sheetId="17" r:id="rId12"/>
    <sheet name="Mage Bleu" sheetId="10" r:id="rId13"/>
    <sheet name="Voleur" sheetId="13" r:id="rId14"/>
    <sheet name="Mage Rouge" sheetId="8" r:id="rId15"/>
    <sheet name="Mage Blanc" sheetId="11" r:id="rId16"/>
    <sheet name="Mage Noir" sheetId="5" r:id="rId17"/>
    <sheet name="Guerrier" sheetId="16" r:id="rId18"/>
  </sheets>
  <definedNames>
    <definedName name="_xlnm._FilterDatabase" localSheetId="0" hidden="1">Equipe!$R$37:$U$37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 i="4" l="1"/>
  <c r="U174" i="4"/>
  <c r="U175" i="4"/>
  <c r="U173" i="4"/>
  <c r="U176" i="4"/>
  <c r="U177" i="4"/>
  <c r="U178" i="4"/>
  <c r="U179" i="4"/>
  <c r="U180" i="4"/>
  <c r="U181" i="4"/>
  <c r="U182" i="4"/>
  <c r="U183" i="4"/>
  <c r="U184" i="4"/>
  <c r="U185" i="4"/>
  <c r="U186" i="4"/>
  <c r="U187"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53" i="4"/>
  <c r="E67" i="1"/>
  <c r="E66" i="1"/>
  <c r="E64" i="1"/>
  <c r="E65" i="1"/>
  <c r="E63" i="1"/>
  <c r="E61" i="1"/>
  <c r="E62" i="1"/>
  <c r="E60" i="1"/>
  <c r="E58" i="1"/>
  <c r="E59" i="1"/>
  <c r="E57" i="1"/>
  <c r="E55" i="1"/>
  <c r="E56" i="1"/>
  <c r="E54" i="1"/>
  <c r="E52" i="1"/>
  <c r="E53" i="1"/>
  <c r="E51" i="1"/>
  <c r="U38" i="4"/>
  <c r="U39" i="4"/>
  <c r="U40" i="4"/>
  <c r="U41" i="4"/>
  <c r="U42" i="4"/>
  <c r="U43" i="4"/>
  <c r="U44" i="4"/>
  <c r="U45" i="4"/>
  <c r="U46" i="4"/>
  <c r="U47" i="4"/>
  <c r="U48" i="4"/>
  <c r="U49" i="4"/>
  <c r="U50" i="4"/>
  <c r="U51" i="4"/>
  <c r="V57" i="4" s="1"/>
  <c r="U52" i="4"/>
  <c r="V163"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38" i="4"/>
  <c r="X39" i="4"/>
  <c r="S10" i="4" a="1"/>
  <c r="S10" i="4" s="1"/>
  <c r="G2" i="5" a="1"/>
  <c r="G2" i="5" s="1"/>
  <c r="G2" i="11" a="1"/>
  <c r="G2" i="11" s="1"/>
  <c r="G2" i="8" a="1"/>
  <c r="G2" i="8" s="1"/>
  <c r="G2" i="13" a="1"/>
  <c r="G2" i="13" s="1"/>
  <c r="G2" i="10" a="1"/>
  <c r="G2" i="10"/>
  <c r="M4" i="2"/>
  <c r="F2" i="4"/>
  <c r="M10" i="4" a="1"/>
  <c r="M10" i="4" s="1"/>
  <c r="G10" i="4" a="1"/>
  <c r="G10" i="4" s="1"/>
  <c r="I4" i="2"/>
  <c r="J4" i="2"/>
  <c r="W163" i="4"/>
  <c r="X25" i="4" a="1"/>
  <c r="X25" i="4" s="1"/>
  <c r="W23" i="4"/>
  <c r="W22" i="4"/>
  <c r="Q36" i="17"/>
  <c r="R36" i="17"/>
  <c r="S36" i="17"/>
  <c r="T36" i="17"/>
  <c r="U36" i="17"/>
  <c r="P36" i="17"/>
  <c r="K4" i="2"/>
  <c r="K4" i="17"/>
  <c r="Q4" i="17"/>
  <c r="W4" i="17"/>
  <c r="AC4" i="17"/>
  <c r="L4" i="17"/>
  <c r="R4" i="17"/>
  <c r="X4" i="17"/>
  <c r="AD4" i="17"/>
  <c r="M4" i="17"/>
  <c r="S4" i="17"/>
  <c r="Y4" i="17"/>
  <c r="AE4" i="17"/>
  <c r="N4" i="17"/>
  <c r="T4" i="17"/>
  <c r="Z4" i="17"/>
  <c r="AF4" i="17"/>
  <c r="O4" i="17"/>
  <c r="U4" i="17"/>
  <c r="AA4" i="17"/>
  <c r="AG4" i="17"/>
  <c r="K5" i="17"/>
  <c r="Q5" i="17"/>
  <c r="W5" i="17"/>
  <c r="AC5" i="17"/>
  <c r="L5" i="17"/>
  <c r="R5" i="17"/>
  <c r="X5" i="17"/>
  <c r="AD5" i="17"/>
  <c r="M5" i="17"/>
  <c r="S5" i="17"/>
  <c r="Y5" i="17"/>
  <c r="AE5" i="17"/>
  <c r="N5" i="17"/>
  <c r="T5" i="17"/>
  <c r="Z5" i="17"/>
  <c r="AF5" i="17"/>
  <c r="O5" i="17"/>
  <c r="U5" i="17"/>
  <c r="AA5" i="17"/>
  <c r="AG5" i="17"/>
  <c r="K6" i="17"/>
  <c r="Q6" i="17"/>
  <c r="W6" i="17"/>
  <c r="AC6" i="17"/>
  <c r="L6" i="17"/>
  <c r="R6" i="17"/>
  <c r="X6" i="17"/>
  <c r="AD6" i="17"/>
  <c r="M6" i="17"/>
  <c r="S6" i="17"/>
  <c r="Y6" i="17"/>
  <c r="AE6" i="17"/>
  <c r="N6" i="17"/>
  <c r="T6" i="17"/>
  <c r="Z6" i="17"/>
  <c r="AF6" i="17"/>
  <c r="O6" i="17"/>
  <c r="U6" i="17"/>
  <c r="AA6" i="17"/>
  <c r="AG6" i="17"/>
  <c r="K7" i="17"/>
  <c r="Q7" i="17"/>
  <c r="W7" i="17"/>
  <c r="AC7" i="17"/>
  <c r="L7" i="17"/>
  <c r="R7" i="17"/>
  <c r="X7" i="17"/>
  <c r="AD7" i="17"/>
  <c r="M7" i="17"/>
  <c r="S7" i="17"/>
  <c r="Y7" i="17"/>
  <c r="AE7" i="17"/>
  <c r="N7" i="17"/>
  <c r="T7" i="17"/>
  <c r="Z7" i="17"/>
  <c r="AF7" i="17"/>
  <c r="O7" i="17"/>
  <c r="U7" i="17"/>
  <c r="AA7" i="17"/>
  <c r="AG7" i="17"/>
  <c r="K8" i="17"/>
  <c r="Q8" i="17"/>
  <c r="W8" i="17"/>
  <c r="AC8" i="17"/>
  <c r="L8" i="17"/>
  <c r="R8" i="17"/>
  <c r="X8" i="17"/>
  <c r="AD8" i="17"/>
  <c r="M8" i="17"/>
  <c r="S8" i="17"/>
  <c r="Y8" i="17"/>
  <c r="AE8" i="17"/>
  <c r="N8" i="17"/>
  <c r="T8" i="17"/>
  <c r="Z8" i="17"/>
  <c r="AF8" i="17"/>
  <c r="O8" i="17"/>
  <c r="U8" i="17"/>
  <c r="AA8" i="17"/>
  <c r="AG8" i="17"/>
  <c r="K9" i="17"/>
  <c r="Q9" i="17"/>
  <c r="W9" i="17"/>
  <c r="AC9" i="17"/>
  <c r="L9" i="17"/>
  <c r="R9" i="17"/>
  <c r="X9" i="17"/>
  <c r="AD9" i="17"/>
  <c r="M9" i="17"/>
  <c r="S9" i="17"/>
  <c r="Y9" i="17"/>
  <c r="AE9" i="17"/>
  <c r="N9" i="17"/>
  <c r="T9" i="17"/>
  <c r="Z9" i="17"/>
  <c r="AF9" i="17"/>
  <c r="O9" i="17"/>
  <c r="U9" i="17"/>
  <c r="AA9" i="17"/>
  <c r="AG9" i="17"/>
  <c r="K10" i="17"/>
  <c r="Q10" i="17"/>
  <c r="W10" i="17"/>
  <c r="AC10" i="17"/>
  <c r="L10" i="17"/>
  <c r="R10" i="17"/>
  <c r="X10" i="17"/>
  <c r="AD10" i="17"/>
  <c r="M10" i="17"/>
  <c r="S10" i="17"/>
  <c r="Y10" i="17"/>
  <c r="AE10" i="17"/>
  <c r="N10" i="17"/>
  <c r="T10" i="17"/>
  <c r="Z10" i="17"/>
  <c r="AF10" i="17"/>
  <c r="O10" i="17"/>
  <c r="U10" i="17"/>
  <c r="AA10" i="17"/>
  <c r="AG10" i="17"/>
  <c r="K11" i="17"/>
  <c r="Q11" i="17"/>
  <c r="W11" i="17"/>
  <c r="AC11" i="17"/>
  <c r="L11" i="17"/>
  <c r="R11" i="17"/>
  <c r="X11" i="17"/>
  <c r="AD11" i="17"/>
  <c r="M11" i="17"/>
  <c r="S11" i="17"/>
  <c r="Y11" i="17"/>
  <c r="AE11" i="17"/>
  <c r="N11" i="17"/>
  <c r="T11" i="17"/>
  <c r="Z11" i="17"/>
  <c r="AF11" i="17"/>
  <c r="O11" i="17"/>
  <c r="U11" i="17"/>
  <c r="AA11" i="17"/>
  <c r="AG11" i="17"/>
  <c r="K12" i="17"/>
  <c r="Q12" i="17"/>
  <c r="W12" i="17"/>
  <c r="AC12" i="17"/>
  <c r="L12" i="17"/>
  <c r="R12" i="17"/>
  <c r="X12" i="17"/>
  <c r="AD12" i="17"/>
  <c r="M12" i="17"/>
  <c r="S12" i="17"/>
  <c r="Y12" i="17"/>
  <c r="AE12" i="17"/>
  <c r="N12" i="17"/>
  <c r="T12" i="17"/>
  <c r="Z12" i="17"/>
  <c r="AF12" i="17"/>
  <c r="O12" i="17"/>
  <c r="U12" i="17"/>
  <c r="AA12" i="17"/>
  <c r="AG12" i="17"/>
  <c r="K13" i="17"/>
  <c r="Q13" i="17"/>
  <c r="W13" i="17"/>
  <c r="AC13" i="17"/>
  <c r="L13" i="17"/>
  <c r="R13" i="17"/>
  <c r="X13" i="17"/>
  <c r="AD13" i="17"/>
  <c r="M13" i="17"/>
  <c r="S13" i="17"/>
  <c r="Y13" i="17"/>
  <c r="AE13" i="17"/>
  <c r="N13" i="17"/>
  <c r="T13" i="17"/>
  <c r="Z13" i="17"/>
  <c r="AF13" i="17"/>
  <c r="O13" i="17"/>
  <c r="U13" i="17"/>
  <c r="AA13" i="17"/>
  <c r="AG13" i="17"/>
  <c r="K14" i="17"/>
  <c r="Q14" i="17"/>
  <c r="W14" i="17"/>
  <c r="AC14" i="17"/>
  <c r="L14" i="17"/>
  <c r="R14" i="17"/>
  <c r="X14" i="17"/>
  <c r="AD14" i="17"/>
  <c r="M14" i="17"/>
  <c r="S14" i="17"/>
  <c r="Y14" i="17"/>
  <c r="AE14" i="17"/>
  <c r="N14" i="17"/>
  <c r="T14" i="17"/>
  <c r="Z14" i="17"/>
  <c r="AF14" i="17"/>
  <c r="O14" i="17"/>
  <c r="U14" i="17"/>
  <c r="AA14" i="17"/>
  <c r="AG14" i="17"/>
  <c r="K15" i="17"/>
  <c r="Q15" i="17"/>
  <c r="W15" i="17"/>
  <c r="AC15" i="17"/>
  <c r="L15" i="17"/>
  <c r="R15" i="17"/>
  <c r="X15" i="17"/>
  <c r="AD15" i="17"/>
  <c r="M15" i="17"/>
  <c r="S15" i="17"/>
  <c r="Y15" i="17"/>
  <c r="AE15" i="17"/>
  <c r="N15" i="17"/>
  <c r="T15" i="17"/>
  <c r="Z15" i="17"/>
  <c r="AF15" i="17"/>
  <c r="O15" i="17"/>
  <c r="U15" i="17"/>
  <c r="AA15" i="17"/>
  <c r="AG15" i="17"/>
  <c r="K16" i="17"/>
  <c r="Q16" i="17"/>
  <c r="W16" i="17"/>
  <c r="AC16" i="17"/>
  <c r="L16" i="17"/>
  <c r="R16" i="17"/>
  <c r="X16" i="17"/>
  <c r="AD16" i="17"/>
  <c r="M16" i="17"/>
  <c r="S16" i="17"/>
  <c r="Y16" i="17"/>
  <c r="AE16" i="17"/>
  <c r="N16" i="17"/>
  <c r="T16" i="17"/>
  <c r="Z16" i="17"/>
  <c r="AF16" i="17"/>
  <c r="O16" i="17"/>
  <c r="U16" i="17"/>
  <c r="AA16" i="17"/>
  <c r="AG16" i="17"/>
  <c r="K17" i="17"/>
  <c r="Q17" i="17"/>
  <c r="W17" i="17"/>
  <c r="AC17" i="17"/>
  <c r="L17" i="17"/>
  <c r="R17" i="17"/>
  <c r="X17" i="17"/>
  <c r="AD17" i="17"/>
  <c r="M17" i="17"/>
  <c r="S17" i="17"/>
  <c r="Y17" i="17"/>
  <c r="AE17" i="17"/>
  <c r="N17" i="17"/>
  <c r="T17" i="17"/>
  <c r="Z17" i="17"/>
  <c r="AF17" i="17"/>
  <c r="O17" i="17"/>
  <c r="U17" i="17"/>
  <c r="AA17" i="17"/>
  <c r="AG17" i="17"/>
  <c r="K18" i="17"/>
  <c r="Q18" i="17"/>
  <c r="W18" i="17"/>
  <c r="AC18" i="17"/>
  <c r="L18" i="17"/>
  <c r="R18" i="17"/>
  <c r="X18" i="17"/>
  <c r="AD18" i="17"/>
  <c r="M18" i="17"/>
  <c r="S18" i="17"/>
  <c r="Y18" i="17"/>
  <c r="AE18" i="17"/>
  <c r="N18" i="17"/>
  <c r="T18" i="17"/>
  <c r="Z18" i="17"/>
  <c r="AF18" i="17"/>
  <c r="O18" i="17"/>
  <c r="U18" i="17"/>
  <c r="AA18" i="17"/>
  <c r="AG18" i="17"/>
  <c r="K19" i="17"/>
  <c r="Q19" i="17"/>
  <c r="W19" i="17"/>
  <c r="AC19" i="17"/>
  <c r="L19" i="17"/>
  <c r="R19" i="17"/>
  <c r="X19" i="17"/>
  <c r="AD19" i="17"/>
  <c r="M19" i="17"/>
  <c r="S19" i="17"/>
  <c r="Y19" i="17"/>
  <c r="AE19" i="17"/>
  <c r="N19" i="17"/>
  <c r="T19" i="17"/>
  <c r="Z19" i="17"/>
  <c r="AF19" i="17"/>
  <c r="O19" i="17"/>
  <c r="U19" i="17"/>
  <c r="AA19" i="17"/>
  <c r="AG19" i="17"/>
  <c r="K20" i="17"/>
  <c r="Q20" i="17"/>
  <c r="W20" i="17"/>
  <c r="AC20" i="17"/>
  <c r="L20" i="17"/>
  <c r="R20" i="17"/>
  <c r="X20" i="17"/>
  <c r="AD20" i="17"/>
  <c r="M20" i="17"/>
  <c r="S20" i="17"/>
  <c r="Y20" i="17"/>
  <c r="AE20" i="17"/>
  <c r="N20" i="17"/>
  <c r="T20" i="17"/>
  <c r="Z20" i="17"/>
  <c r="AF20" i="17"/>
  <c r="O20" i="17"/>
  <c r="U20" i="17"/>
  <c r="AA20" i="17"/>
  <c r="AG20" i="17"/>
  <c r="K21" i="17"/>
  <c r="Q21" i="17"/>
  <c r="W21" i="17"/>
  <c r="AC21" i="17"/>
  <c r="L21" i="17"/>
  <c r="R21" i="17"/>
  <c r="X21" i="17"/>
  <c r="AD21" i="17"/>
  <c r="M21" i="17"/>
  <c r="S21" i="17"/>
  <c r="Y21" i="17"/>
  <c r="AE21" i="17"/>
  <c r="N21" i="17"/>
  <c r="T21" i="17"/>
  <c r="Z21" i="17"/>
  <c r="AF21" i="17"/>
  <c r="O21" i="17"/>
  <c r="U21" i="17"/>
  <c r="AA21" i="17"/>
  <c r="AG21" i="17"/>
  <c r="K22" i="17"/>
  <c r="Q22" i="17"/>
  <c r="W22" i="17"/>
  <c r="AC22" i="17"/>
  <c r="L22" i="17"/>
  <c r="R22" i="17"/>
  <c r="X22" i="17"/>
  <c r="AD22" i="17"/>
  <c r="M22" i="17"/>
  <c r="S22" i="17"/>
  <c r="Y22" i="17"/>
  <c r="AE22" i="17"/>
  <c r="N22" i="17"/>
  <c r="T22" i="17"/>
  <c r="Z22" i="17"/>
  <c r="AF22" i="17"/>
  <c r="O22" i="17"/>
  <c r="U22" i="17"/>
  <c r="AA22" i="17"/>
  <c r="AG22" i="17"/>
  <c r="K23" i="17"/>
  <c r="Q23" i="17"/>
  <c r="W23" i="17"/>
  <c r="AC23" i="17"/>
  <c r="L23" i="17"/>
  <c r="R23" i="17"/>
  <c r="X23" i="17"/>
  <c r="AD23" i="17"/>
  <c r="M23" i="17"/>
  <c r="S23" i="17"/>
  <c r="Y23" i="17"/>
  <c r="AE23" i="17"/>
  <c r="N23" i="17"/>
  <c r="T23" i="17"/>
  <c r="Z23" i="17"/>
  <c r="AF23" i="17"/>
  <c r="O23" i="17"/>
  <c r="U23" i="17"/>
  <c r="AA23" i="17"/>
  <c r="AG23" i="17"/>
  <c r="K24" i="17"/>
  <c r="Q24" i="17"/>
  <c r="W24" i="17"/>
  <c r="AC24" i="17"/>
  <c r="L24" i="17"/>
  <c r="R24" i="17"/>
  <c r="X24" i="17"/>
  <c r="AD24" i="17"/>
  <c r="M24" i="17"/>
  <c r="S24" i="17"/>
  <c r="Y24" i="17"/>
  <c r="AE24" i="17"/>
  <c r="N24" i="17"/>
  <c r="T24" i="17"/>
  <c r="Z24" i="17"/>
  <c r="AF24" i="17"/>
  <c r="O24" i="17"/>
  <c r="U24" i="17"/>
  <c r="AA24" i="17"/>
  <c r="AG24" i="17"/>
  <c r="K25" i="17"/>
  <c r="Q25" i="17"/>
  <c r="W25" i="17"/>
  <c r="AC25" i="17"/>
  <c r="L25" i="17"/>
  <c r="R25" i="17"/>
  <c r="X25" i="17"/>
  <c r="AD25" i="17"/>
  <c r="M25" i="17"/>
  <c r="S25" i="17"/>
  <c r="Y25" i="17"/>
  <c r="AE25" i="17"/>
  <c r="N25" i="17"/>
  <c r="T25" i="17"/>
  <c r="Z25" i="17"/>
  <c r="AF25" i="17"/>
  <c r="O25" i="17"/>
  <c r="U25" i="17"/>
  <c r="AA25" i="17"/>
  <c r="AG25" i="17"/>
  <c r="K26" i="17"/>
  <c r="Q26" i="17"/>
  <c r="W26" i="17"/>
  <c r="AC26" i="17"/>
  <c r="L26" i="17"/>
  <c r="R26" i="17"/>
  <c r="X26" i="17"/>
  <c r="AD26" i="17"/>
  <c r="M26" i="17"/>
  <c r="S26" i="17"/>
  <c r="Y26" i="17"/>
  <c r="AE26" i="17"/>
  <c r="N26" i="17"/>
  <c r="T26" i="17"/>
  <c r="Z26" i="17"/>
  <c r="AF26" i="17"/>
  <c r="O26" i="17"/>
  <c r="U26" i="17"/>
  <c r="AA26" i="17"/>
  <c r="AG26" i="17"/>
  <c r="K27" i="17"/>
  <c r="Q27" i="17"/>
  <c r="W27" i="17"/>
  <c r="AC27" i="17"/>
  <c r="L27" i="17"/>
  <c r="R27" i="17"/>
  <c r="X27" i="17"/>
  <c r="AD27" i="17"/>
  <c r="M27" i="17"/>
  <c r="S27" i="17"/>
  <c r="Y27" i="17"/>
  <c r="AE27" i="17"/>
  <c r="N27" i="17"/>
  <c r="T27" i="17"/>
  <c r="Z27" i="17"/>
  <c r="AF27" i="17"/>
  <c r="O27" i="17"/>
  <c r="U27" i="17"/>
  <c r="AA27" i="17"/>
  <c r="AG27" i="17"/>
  <c r="K28" i="17"/>
  <c r="Q28" i="17"/>
  <c r="W28" i="17"/>
  <c r="AC28" i="17"/>
  <c r="L28" i="17"/>
  <c r="R28" i="17"/>
  <c r="X28" i="17"/>
  <c r="AD28" i="17"/>
  <c r="M28" i="17"/>
  <c r="S28" i="17"/>
  <c r="Y28" i="17"/>
  <c r="AE28" i="17"/>
  <c r="N28" i="17"/>
  <c r="T28" i="17"/>
  <c r="Z28" i="17"/>
  <c r="AF28" i="17"/>
  <c r="O28" i="17"/>
  <c r="U28" i="17"/>
  <c r="AA28" i="17"/>
  <c r="AG28" i="17"/>
  <c r="K29" i="17"/>
  <c r="Q29" i="17"/>
  <c r="W29" i="17"/>
  <c r="AC29" i="17"/>
  <c r="L29" i="17"/>
  <c r="R29" i="17"/>
  <c r="X29" i="17"/>
  <c r="AD29" i="17"/>
  <c r="M29" i="17"/>
  <c r="S29" i="17"/>
  <c r="Y29" i="17"/>
  <c r="AE29" i="17"/>
  <c r="N29" i="17"/>
  <c r="T29" i="17"/>
  <c r="Z29" i="17"/>
  <c r="AF29" i="17"/>
  <c r="O29" i="17"/>
  <c r="U29" i="17"/>
  <c r="AA29" i="17"/>
  <c r="AG29" i="17"/>
  <c r="K30" i="17"/>
  <c r="Q30" i="17"/>
  <c r="W30" i="17"/>
  <c r="AC30" i="17"/>
  <c r="L30" i="17"/>
  <c r="R30" i="17"/>
  <c r="X30" i="17"/>
  <c r="AD30" i="17"/>
  <c r="M30" i="17"/>
  <c r="S30" i="17"/>
  <c r="Y30" i="17"/>
  <c r="AE30" i="17"/>
  <c r="N30" i="17"/>
  <c r="T30" i="17"/>
  <c r="Z30" i="17"/>
  <c r="AF30" i="17"/>
  <c r="O30" i="17"/>
  <c r="U30" i="17"/>
  <c r="AA30" i="17"/>
  <c r="AG30" i="17"/>
  <c r="K31" i="17"/>
  <c r="Q31" i="17"/>
  <c r="W31" i="17"/>
  <c r="AC31" i="17"/>
  <c r="L31" i="17"/>
  <c r="R31" i="17"/>
  <c r="X31" i="17"/>
  <c r="AD31" i="17"/>
  <c r="M31" i="17"/>
  <c r="S31" i="17"/>
  <c r="Y31" i="17"/>
  <c r="AE31" i="17"/>
  <c r="N31" i="17"/>
  <c r="T31" i="17"/>
  <c r="Z31" i="17"/>
  <c r="AF31" i="17"/>
  <c r="O31" i="17"/>
  <c r="U31" i="17"/>
  <c r="AA31" i="17"/>
  <c r="AG31" i="17"/>
  <c r="K32" i="17"/>
  <c r="Q32" i="17"/>
  <c r="W32" i="17"/>
  <c r="AC32" i="17"/>
  <c r="L32" i="17"/>
  <c r="R32" i="17"/>
  <c r="X32" i="17"/>
  <c r="AD32" i="17"/>
  <c r="M32" i="17"/>
  <c r="S32" i="17"/>
  <c r="Y32" i="17"/>
  <c r="AE32" i="17"/>
  <c r="N32" i="17"/>
  <c r="T32" i="17"/>
  <c r="Z32" i="17"/>
  <c r="AF32" i="17"/>
  <c r="O32" i="17"/>
  <c r="U32" i="17"/>
  <c r="AA32" i="17"/>
  <c r="AG32" i="17"/>
  <c r="K33" i="17"/>
  <c r="Q33" i="17"/>
  <c r="W33" i="17"/>
  <c r="AC33" i="17"/>
  <c r="L33" i="17"/>
  <c r="R33" i="17"/>
  <c r="X33" i="17"/>
  <c r="AD33" i="17"/>
  <c r="M33" i="17"/>
  <c r="S33" i="17"/>
  <c r="Y33" i="17"/>
  <c r="AE33" i="17"/>
  <c r="N33" i="17"/>
  <c r="T33" i="17"/>
  <c r="Z33" i="17"/>
  <c r="AF33" i="17"/>
  <c r="O33" i="17"/>
  <c r="U33" i="17"/>
  <c r="AA33" i="17"/>
  <c r="AG33" i="17"/>
  <c r="K34" i="17"/>
  <c r="Q34" i="17"/>
  <c r="W34" i="17"/>
  <c r="AC34" i="17"/>
  <c r="L34" i="17"/>
  <c r="R34" i="17"/>
  <c r="X34" i="17"/>
  <c r="AD34" i="17"/>
  <c r="M34" i="17"/>
  <c r="S34" i="17"/>
  <c r="Y34" i="17"/>
  <c r="AE34" i="17"/>
  <c r="N34" i="17"/>
  <c r="T34" i="17"/>
  <c r="Z34" i="17"/>
  <c r="AF34" i="17"/>
  <c r="O34" i="17"/>
  <c r="U34" i="17"/>
  <c r="AA34" i="17"/>
  <c r="AG34" i="17"/>
  <c r="K35" i="17"/>
  <c r="Q35" i="17"/>
  <c r="W35" i="17"/>
  <c r="AC35" i="17"/>
  <c r="L35" i="17"/>
  <c r="R35" i="17"/>
  <c r="X35" i="17"/>
  <c r="AD35" i="17"/>
  <c r="M35" i="17"/>
  <c r="S35" i="17"/>
  <c r="Y35" i="17"/>
  <c r="AE35" i="17"/>
  <c r="N35" i="17"/>
  <c r="T35" i="17"/>
  <c r="Z35" i="17"/>
  <c r="AF35" i="17"/>
  <c r="O35" i="17"/>
  <c r="U35" i="17"/>
  <c r="AA35" i="17"/>
  <c r="AG35" i="17"/>
  <c r="W36" i="17"/>
  <c r="AC36" i="17"/>
  <c r="X36" i="17"/>
  <c r="AD36" i="17"/>
  <c r="Y36" i="17"/>
  <c r="AE36" i="17"/>
  <c r="Z36" i="17"/>
  <c r="AF36" i="17"/>
  <c r="AA36" i="17"/>
  <c r="AG36" i="17"/>
  <c r="J5" i="17"/>
  <c r="P5" i="17"/>
  <c r="V5" i="17"/>
  <c r="AB5" i="17"/>
  <c r="J6" i="17"/>
  <c r="P6" i="17"/>
  <c r="V6" i="17"/>
  <c r="AB6" i="17"/>
  <c r="J7" i="17"/>
  <c r="P7" i="17"/>
  <c r="V7" i="17"/>
  <c r="AB7" i="17"/>
  <c r="J8" i="17"/>
  <c r="P8" i="17"/>
  <c r="V8" i="17"/>
  <c r="AB8" i="17"/>
  <c r="J9" i="17"/>
  <c r="P9" i="17"/>
  <c r="V9" i="17"/>
  <c r="AB9" i="17"/>
  <c r="J10" i="17"/>
  <c r="P10" i="17"/>
  <c r="V10" i="17"/>
  <c r="AB10" i="17"/>
  <c r="J11" i="17"/>
  <c r="P11" i="17"/>
  <c r="V11" i="17"/>
  <c r="AB11" i="17"/>
  <c r="J12" i="17"/>
  <c r="P12" i="17"/>
  <c r="V12" i="17"/>
  <c r="AB12" i="17"/>
  <c r="J13" i="17"/>
  <c r="P13" i="17"/>
  <c r="V13" i="17"/>
  <c r="AB13" i="17"/>
  <c r="J14" i="17"/>
  <c r="P14" i="17"/>
  <c r="V14" i="17"/>
  <c r="AB14" i="17"/>
  <c r="J15" i="17"/>
  <c r="P15" i="17"/>
  <c r="V15" i="17"/>
  <c r="AB15" i="17"/>
  <c r="J16" i="17"/>
  <c r="P16" i="17"/>
  <c r="V16" i="17"/>
  <c r="AB16" i="17"/>
  <c r="J17" i="17"/>
  <c r="P17" i="17"/>
  <c r="V17" i="17"/>
  <c r="AB17" i="17"/>
  <c r="J18" i="17"/>
  <c r="P18" i="17"/>
  <c r="V18" i="17"/>
  <c r="AB18" i="17"/>
  <c r="J19" i="17"/>
  <c r="P19" i="17"/>
  <c r="V19" i="17"/>
  <c r="AB19" i="17"/>
  <c r="J20" i="17"/>
  <c r="P20" i="17"/>
  <c r="V20" i="17"/>
  <c r="AB20" i="17"/>
  <c r="J21" i="17"/>
  <c r="P21" i="17"/>
  <c r="V21" i="17"/>
  <c r="AB21" i="17"/>
  <c r="J22" i="17"/>
  <c r="P22" i="17"/>
  <c r="V22" i="17"/>
  <c r="AB22" i="17"/>
  <c r="J23" i="17"/>
  <c r="P23" i="17"/>
  <c r="V23" i="17"/>
  <c r="AB23" i="17"/>
  <c r="J24" i="17"/>
  <c r="P24" i="17"/>
  <c r="V24" i="17"/>
  <c r="AB24" i="17"/>
  <c r="J25" i="17"/>
  <c r="P25" i="17"/>
  <c r="V25" i="17"/>
  <c r="AB25" i="17"/>
  <c r="J26" i="17"/>
  <c r="P26" i="17"/>
  <c r="V26" i="17"/>
  <c r="AB26" i="17"/>
  <c r="J27" i="17"/>
  <c r="P27" i="17"/>
  <c r="V27" i="17"/>
  <c r="AB27" i="17"/>
  <c r="J28" i="17"/>
  <c r="P28" i="17"/>
  <c r="V28" i="17"/>
  <c r="AB28" i="17"/>
  <c r="J29" i="17"/>
  <c r="P29" i="17"/>
  <c r="V29" i="17"/>
  <c r="AB29" i="17"/>
  <c r="J30" i="17"/>
  <c r="P30" i="17"/>
  <c r="V30" i="17"/>
  <c r="AB30" i="17"/>
  <c r="J31" i="17"/>
  <c r="P31" i="17"/>
  <c r="V31" i="17"/>
  <c r="AB31" i="17"/>
  <c r="J32" i="17"/>
  <c r="P32" i="17"/>
  <c r="V32" i="17"/>
  <c r="AB32" i="17"/>
  <c r="J33" i="17"/>
  <c r="P33" i="17"/>
  <c r="V33" i="17"/>
  <c r="AB33" i="17"/>
  <c r="J34" i="17"/>
  <c r="P34" i="17"/>
  <c r="V34" i="17"/>
  <c r="AB34" i="17"/>
  <c r="J35" i="17"/>
  <c r="P35" i="17"/>
  <c r="V35" i="17"/>
  <c r="AB35" i="17"/>
  <c r="V36" i="17"/>
  <c r="AB36" i="17"/>
  <c r="J4" i="17"/>
  <c r="P4" i="17"/>
  <c r="V4" i="17"/>
  <c r="AB4" i="17"/>
  <c r="AS35" i="17" a="1"/>
  <c r="AS35" i="17"/>
  <c r="AR35" i="17" a="1"/>
  <c r="AR35" i="17"/>
  <c r="AQ35" i="17" a="1"/>
  <c r="AQ35" i="17"/>
  <c r="AP35" i="17" a="1"/>
  <c r="AP35" i="17"/>
  <c r="AO35" i="17" a="1"/>
  <c r="AO35" i="17"/>
  <c r="AN35" i="17" a="1"/>
  <c r="AN35" i="17"/>
  <c r="AS34" i="17" a="1"/>
  <c r="AS34" i="17"/>
  <c r="AR34" i="17" a="1"/>
  <c r="AR34" i="17"/>
  <c r="AQ34" i="17" a="1"/>
  <c r="AQ34" i="17"/>
  <c r="AP34" i="17" a="1"/>
  <c r="AP34" i="17"/>
  <c r="AO34" i="17" a="1"/>
  <c r="AO34" i="17"/>
  <c r="AN34" i="17" a="1"/>
  <c r="AN34" i="17"/>
  <c r="AS33" i="17" a="1"/>
  <c r="AS33" i="17"/>
  <c r="AR33" i="17" a="1"/>
  <c r="AR33" i="17"/>
  <c r="AQ33" i="17" a="1"/>
  <c r="AQ33" i="17"/>
  <c r="AP33" i="17" a="1"/>
  <c r="AP33" i="17"/>
  <c r="AO33" i="17" a="1"/>
  <c r="AO33" i="17"/>
  <c r="AN33" i="17" a="1"/>
  <c r="AN33" i="17"/>
  <c r="AS32" i="17" a="1"/>
  <c r="AS32" i="17"/>
  <c r="AR32" i="17" a="1"/>
  <c r="AR32" i="17"/>
  <c r="AQ32" i="17" a="1"/>
  <c r="AQ32" i="17"/>
  <c r="AP32" i="17" a="1"/>
  <c r="AP32" i="17"/>
  <c r="AO32" i="17" a="1"/>
  <c r="AO32" i="17"/>
  <c r="AN32" i="17" a="1"/>
  <c r="AN32" i="17"/>
  <c r="AS31" i="17" a="1"/>
  <c r="AS31" i="17"/>
  <c r="AR31" i="17" a="1"/>
  <c r="AR31" i="17"/>
  <c r="AQ31" i="17" a="1"/>
  <c r="AQ31" i="17"/>
  <c r="AP31" i="17" a="1"/>
  <c r="AP31" i="17"/>
  <c r="AO31" i="17" a="1"/>
  <c r="AO31" i="17"/>
  <c r="AN31" i="17" a="1"/>
  <c r="AN31" i="17"/>
  <c r="AS30" i="17" a="1"/>
  <c r="AS30" i="17"/>
  <c r="AR30" i="17" a="1"/>
  <c r="AR30" i="17"/>
  <c r="AQ30" i="17" a="1"/>
  <c r="AQ30" i="17"/>
  <c r="AP30" i="17" a="1"/>
  <c r="AP30" i="17"/>
  <c r="AO30" i="17" a="1"/>
  <c r="AO30" i="17"/>
  <c r="AN30" i="17" a="1"/>
  <c r="AN30" i="17"/>
  <c r="AS29" i="17" a="1"/>
  <c r="AS29" i="17"/>
  <c r="AR29" i="17" a="1"/>
  <c r="AR29" i="17"/>
  <c r="AQ29" i="17" a="1"/>
  <c r="AQ29" i="17"/>
  <c r="AP29" i="17" a="1"/>
  <c r="AP29" i="17"/>
  <c r="AO29" i="17" a="1"/>
  <c r="AO29" i="17"/>
  <c r="AN29" i="17" a="1"/>
  <c r="AN29" i="17"/>
  <c r="AS28" i="17" a="1"/>
  <c r="AS28" i="17"/>
  <c r="AR28" i="17" a="1"/>
  <c r="AR28" i="17"/>
  <c r="AQ28" i="17" a="1"/>
  <c r="AQ28" i="17"/>
  <c r="AP28" i="17" a="1"/>
  <c r="AP28" i="17"/>
  <c r="AO28" i="17" a="1"/>
  <c r="AO28" i="17"/>
  <c r="AN28" i="17" a="1"/>
  <c r="AN28" i="17"/>
  <c r="AS27" i="17" a="1"/>
  <c r="AS27" i="17"/>
  <c r="AR27" i="17" a="1"/>
  <c r="AR27" i="17"/>
  <c r="AQ27" i="17" a="1"/>
  <c r="AQ27" i="17"/>
  <c r="AP27" i="17" a="1"/>
  <c r="AP27" i="17"/>
  <c r="AO27" i="17" a="1"/>
  <c r="AO27" i="17"/>
  <c r="AN27" i="17" a="1"/>
  <c r="AN27" i="17"/>
  <c r="AS26" i="17" a="1"/>
  <c r="AS26" i="17"/>
  <c r="AR26" i="17" a="1"/>
  <c r="AR26" i="17"/>
  <c r="AQ26" i="17" a="1"/>
  <c r="AQ26" i="17"/>
  <c r="AP26" i="17" a="1"/>
  <c r="AP26" i="17"/>
  <c r="AO26" i="17" a="1"/>
  <c r="AO26" i="17"/>
  <c r="AN26" i="17" a="1"/>
  <c r="AN26" i="17"/>
  <c r="AS25" i="17" a="1"/>
  <c r="AS25" i="17"/>
  <c r="AR25" i="17" a="1"/>
  <c r="AR25" i="17"/>
  <c r="AQ25" i="17" a="1"/>
  <c r="AQ25" i="17"/>
  <c r="AP25" i="17" a="1"/>
  <c r="AP25" i="17"/>
  <c r="AO25" i="17" a="1"/>
  <c r="AO25" i="17"/>
  <c r="AN25" i="17" a="1"/>
  <c r="AN25" i="17"/>
  <c r="AS24" i="17" a="1"/>
  <c r="AS24" i="17"/>
  <c r="AR24" i="17" a="1"/>
  <c r="AR24" i="17"/>
  <c r="AQ24" i="17" a="1"/>
  <c r="AQ24" i="17"/>
  <c r="AP24" i="17" a="1"/>
  <c r="AP24" i="17"/>
  <c r="AO24" i="17" a="1"/>
  <c r="AO24" i="17"/>
  <c r="AN24" i="17" a="1"/>
  <c r="AN24" i="17"/>
  <c r="AS23" i="17" a="1"/>
  <c r="AS23" i="17"/>
  <c r="AR23" i="17" a="1"/>
  <c r="AR23" i="17"/>
  <c r="AQ23" i="17" a="1"/>
  <c r="AQ23" i="17"/>
  <c r="AP23" i="17" a="1"/>
  <c r="AP23" i="17"/>
  <c r="AO23" i="17" a="1"/>
  <c r="AO23" i="17"/>
  <c r="AN23" i="17" a="1"/>
  <c r="AN23" i="17"/>
  <c r="AS22" i="17" a="1"/>
  <c r="AS22" i="17"/>
  <c r="AR22" i="17" a="1"/>
  <c r="AR22" i="17"/>
  <c r="AQ22" i="17" a="1"/>
  <c r="AQ22" i="17"/>
  <c r="AP22" i="17" a="1"/>
  <c r="AP22" i="17"/>
  <c r="AO22" i="17" a="1"/>
  <c r="AO22" i="17"/>
  <c r="AN22" i="17" a="1"/>
  <c r="AN22" i="17"/>
  <c r="AS21" i="17" a="1"/>
  <c r="AS21" i="17"/>
  <c r="AR21" i="17" a="1"/>
  <c r="AR21" i="17"/>
  <c r="AQ21" i="17" a="1"/>
  <c r="AQ21" i="17"/>
  <c r="AP21" i="17" a="1"/>
  <c r="AP21" i="17"/>
  <c r="AO21" i="17" a="1"/>
  <c r="AO21" i="17"/>
  <c r="AN21" i="17" a="1"/>
  <c r="AN21" i="17"/>
  <c r="AS20" i="17" a="1"/>
  <c r="AS20" i="17"/>
  <c r="AR20" i="17" a="1"/>
  <c r="AR20" i="17"/>
  <c r="AQ20" i="17" a="1"/>
  <c r="AQ20" i="17"/>
  <c r="AP20" i="17" a="1"/>
  <c r="AP20" i="17"/>
  <c r="AO20" i="17" a="1"/>
  <c r="AO20" i="17"/>
  <c r="AN20" i="17" a="1"/>
  <c r="AN20" i="17"/>
  <c r="AS19" i="17" a="1"/>
  <c r="AS19" i="17"/>
  <c r="AR19" i="17" a="1"/>
  <c r="AR19" i="17"/>
  <c r="AQ19" i="17" a="1"/>
  <c r="AQ19" i="17"/>
  <c r="AP19" i="17" a="1"/>
  <c r="AP19" i="17"/>
  <c r="AO19" i="17" a="1"/>
  <c r="AO19" i="17"/>
  <c r="AN19" i="17" a="1"/>
  <c r="AN19" i="17"/>
  <c r="AS18" i="17" a="1"/>
  <c r="AS18" i="17"/>
  <c r="AR18" i="17" a="1"/>
  <c r="AR18" i="17"/>
  <c r="AQ18" i="17" a="1"/>
  <c r="AQ18" i="17"/>
  <c r="AP18" i="17" a="1"/>
  <c r="AP18" i="17"/>
  <c r="AO18" i="17" a="1"/>
  <c r="AO18" i="17"/>
  <c r="AN18" i="17" a="1"/>
  <c r="AN18" i="17"/>
  <c r="AS17" i="17" a="1"/>
  <c r="AS17" i="17"/>
  <c r="AR17" i="17" a="1"/>
  <c r="AR17" i="17"/>
  <c r="AQ17" i="17" a="1"/>
  <c r="AQ17" i="17"/>
  <c r="AP17" i="17" a="1"/>
  <c r="AP17" i="17"/>
  <c r="AO17" i="17" a="1"/>
  <c r="AO17" i="17"/>
  <c r="AN17" i="17" a="1"/>
  <c r="AN17" i="17"/>
  <c r="AS16" i="17" a="1"/>
  <c r="AS16" i="17"/>
  <c r="AR16" i="17" a="1"/>
  <c r="AR16" i="17"/>
  <c r="AQ16" i="17" a="1"/>
  <c r="AQ16" i="17"/>
  <c r="AP16" i="17" a="1"/>
  <c r="AP16" i="17"/>
  <c r="AO16" i="17" a="1"/>
  <c r="AO16" i="17"/>
  <c r="AN16" i="17" a="1"/>
  <c r="AN16" i="17"/>
  <c r="AS15" i="17" a="1"/>
  <c r="AS15" i="17"/>
  <c r="AR15" i="17" a="1"/>
  <c r="AR15" i="17"/>
  <c r="AQ15" i="17" a="1"/>
  <c r="AQ15" i="17"/>
  <c r="AP15" i="17" a="1"/>
  <c r="AP15" i="17"/>
  <c r="AO15" i="17" a="1"/>
  <c r="AO15" i="17"/>
  <c r="AN15" i="17" a="1"/>
  <c r="AN15" i="17"/>
  <c r="AS14" i="17" a="1"/>
  <c r="AS14" i="17"/>
  <c r="AR14" i="17" a="1"/>
  <c r="AR14" i="17"/>
  <c r="AQ14" i="17" a="1"/>
  <c r="AQ14" i="17"/>
  <c r="AP14" i="17" a="1"/>
  <c r="AP14" i="17"/>
  <c r="AO14" i="17" a="1"/>
  <c r="AO14" i="17"/>
  <c r="AN14" i="17" a="1"/>
  <c r="AN14" i="17"/>
  <c r="AS13" i="17" a="1"/>
  <c r="AS13" i="17"/>
  <c r="AR13" i="17" a="1"/>
  <c r="AR13" i="17"/>
  <c r="AQ13" i="17" a="1"/>
  <c r="AQ13" i="17"/>
  <c r="AP13" i="17" a="1"/>
  <c r="AP13" i="17"/>
  <c r="AO13" i="17" a="1"/>
  <c r="AO13" i="17"/>
  <c r="AN13" i="17" a="1"/>
  <c r="AN13" i="17"/>
  <c r="AS12" i="17" a="1"/>
  <c r="AS12" i="17"/>
  <c r="AR12" i="17" a="1"/>
  <c r="AR12" i="17"/>
  <c r="AQ12" i="17" a="1"/>
  <c r="AQ12" i="17"/>
  <c r="AP12" i="17" a="1"/>
  <c r="AP12" i="17"/>
  <c r="AO12" i="17" a="1"/>
  <c r="AO12" i="17"/>
  <c r="AN12" i="17" a="1"/>
  <c r="AN12" i="17"/>
  <c r="AS11" i="17" a="1"/>
  <c r="AS11" i="17"/>
  <c r="AR11" i="17" a="1"/>
  <c r="AR11" i="17"/>
  <c r="AQ11" i="17" a="1"/>
  <c r="AQ11" i="17"/>
  <c r="AP11" i="17" a="1"/>
  <c r="AP11" i="17"/>
  <c r="AO11" i="17" a="1"/>
  <c r="AO11" i="17"/>
  <c r="AN11" i="17" a="1"/>
  <c r="AN11" i="17"/>
  <c r="AS10" i="17" a="1"/>
  <c r="AS10" i="17"/>
  <c r="AR10" i="17" a="1"/>
  <c r="AR10" i="17"/>
  <c r="AQ10" i="17" a="1"/>
  <c r="AQ10" i="17"/>
  <c r="AP10" i="17" a="1"/>
  <c r="AP10" i="17"/>
  <c r="AO10" i="17" a="1"/>
  <c r="AO10" i="17"/>
  <c r="AN10" i="17" a="1"/>
  <c r="AN10" i="17"/>
  <c r="AS9" i="17" a="1"/>
  <c r="AS9" i="17"/>
  <c r="AR9" i="17" a="1"/>
  <c r="AR9" i="17"/>
  <c r="AQ9" i="17" a="1"/>
  <c r="AQ9" i="17"/>
  <c r="AP9" i="17" a="1"/>
  <c r="AP9" i="17"/>
  <c r="AO9" i="17" a="1"/>
  <c r="AO9" i="17"/>
  <c r="AN9" i="17" a="1"/>
  <c r="AN9" i="17"/>
  <c r="AS8" i="17" a="1"/>
  <c r="AS8" i="17"/>
  <c r="AR8" i="17" a="1"/>
  <c r="AR8" i="17"/>
  <c r="AQ8" i="17" a="1"/>
  <c r="AQ8" i="17"/>
  <c r="AP8" i="17" a="1"/>
  <c r="AP8" i="17"/>
  <c r="AO8" i="17" a="1"/>
  <c r="AO8" i="17"/>
  <c r="AN8" i="17" a="1"/>
  <c r="AN8" i="17"/>
  <c r="AS7" i="17" a="1"/>
  <c r="AS7" i="17"/>
  <c r="AR7" i="17" a="1"/>
  <c r="AR7" i="17"/>
  <c r="AQ7" i="17" a="1"/>
  <c r="AQ7" i="17"/>
  <c r="AP7" i="17" a="1"/>
  <c r="AP7" i="17"/>
  <c r="AO7" i="17" a="1"/>
  <c r="AO7" i="17"/>
  <c r="AN7" i="17" a="1"/>
  <c r="AN7" i="17"/>
  <c r="AS6" i="17" a="1"/>
  <c r="AS6" i="17"/>
  <c r="AR6" i="17" a="1"/>
  <c r="AR6" i="17"/>
  <c r="AQ6" i="17" a="1"/>
  <c r="AQ6" i="17"/>
  <c r="AP6" i="17" a="1"/>
  <c r="AP6" i="17"/>
  <c r="AO6" i="17" a="1"/>
  <c r="AO6" i="17"/>
  <c r="AN6" i="17" a="1"/>
  <c r="AN6" i="17"/>
  <c r="AS5" i="17" a="1"/>
  <c r="AS5" i="17"/>
  <c r="AR5" i="17" a="1"/>
  <c r="AR5" i="17"/>
  <c r="AQ5" i="17" a="1"/>
  <c r="AQ5" i="17"/>
  <c r="AP5" i="17" a="1"/>
  <c r="AP5" i="17"/>
  <c r="AO5" i="17" a="1"/>
  <c r="AO5" i="17"/>
  <c r="AN5" i="17" a="1"/>
  <c r="AN5" i="17"/>
  <c r="AS4" i="17" a="1"/>
  <c r="AS4" i="17"/>
  <c r="AR4" i="17" a="1"/>
  <c r="AR4" i="17"/>
  <c r="AQ4" i="17" a="1"/>
  <c r="AQ4" i="17"/>
  <c r="AP4" i="17" a="1"/>
  <c r="AP4" i="17"/>
  <c r="AO4" i="17" a="1"/>
  <c r="AO4" i="17"/>
  <c r="AN4" i="17" a="1"/>
  <c r="AN4" i="17"/>
  <c r="J36" i="2"/>
  <c r="AF36" i="2"/>
  <c r="AE36" i="2"/>
  <c r="AB36" i="2"/>
  <c r="AA36" i="2"/>
  <c r="X36" i="2"/>
  <c r="W36" i="2"/>
  <c r="T36" i="2"/>
  <c r="S36" i="2"/>
  <c r="P36" i="2"/>
  <c r="O36" i="2"/>
  <c r="L36" i="2"/>
  <c r="K36" i="2"/>
  <c r="I35" i="2"/>
  <c r="AN4" i="2" a="1"/>
  <c r="AN4" i="2"/>
  <c r="AO4" i="2" a="1"/>
  <c r="AO4" i="2"/>
  <c r="AP4" i="2" a="1"/>
  <c r="AP4" i="2"/>
  <c r="AQ4" i="2" a="1"/>
  <c r="AQ4" i="2"/>
  <c r="AR4" i="2" a="1"/>
  <c r="AR4" i="2"/>
  <c r="AN5" i="2" a="1"/>
  <c r="AN5" i="2"/>
  <c r="AO5" i="2" a="1"/>
  <c r="AO5" i="2"/>
  <c r="AP5" i="2" a="1"/>
  <c r="AP5" i="2"/>
  <c r="AQ5" i="2" a="1"/>
  <c r="AQ5" i="2"/>
  <c r="AR5" i="2" a="1"/>
  <c r="AR5" i="2"/>
  <c r="AN6" i="2" a="1"/>
  <c r="AN6" i="2"/>
  <c r="AO6" i="2" a="1"/>
  <c r="AO6" i="2"/>
  <c r="AP6" i="2" a="1"/>
  <c r="AP6" i="2"/>
  <c r="AQ6" i="2" a="1"/>
  <c r="AQ6" i="2"/>
  <c r="AR6" i="2" a="1"/>
  <c r="AR6" i="2"/>
  <c r="AN7" i="2" a="1"/>
  <c r="AN7" i="2"/>
  <c r="AO7" i="2" a="1"/>
  <c r="AO7" i="2"/>
  <c r="AP7" i="2" a="1"/>
  <c r="AP7" i="2"/>
  <c r="AQ7" i="2" a="1"/>
  <c r="AQ7" i="2"/>
  <c r="AR7" i="2" a="1"/>
  <c r="AR7" i="2"/>
  <c r="AN8" i="2" a="1"/>
  <c r="AN8" i="2"/>
  <c r="AO8" i="2" a="1"/>
  <c r="AO8" i="2"/>
  <c r="AP8" i="2" a="1"/>
  <c r="AP8" i="2"/>
  <c r="AQ8" i="2" a="1"/>
  <c r="AQ8" i="2"/>
  <c r="AR8" i="2" a="1"/>
  <c r="AR8" i="2"/>
  <c r="AN9" i="2" a="1"/>
  <c r="AN9" i="2"/>
  <c r="AO9" i="2" a="1"/>
  <c r="AO9" i="2"/>
  <c r="AP9" i="2" a="1"/>
  <c r="AP9" i="2"/>
  <c r="AQ9" i="2" a="1"/>
  <c r="AQ9" i="2"/>
  <c r="AR9" i="2" a="1"/>
  <c r="AR9" i="2"/>
  <c r="AN10" i="2" a="1"/>
  <c r="AN10" i="2"/>
  <c r="AO10" i="2" a="1"/>
  <c r="AO10" i="2"/>
  <c r="AP10" i="2" a="1"/>
  <c r="AP10" i="2"/>
  <c r="AQ10" i="2" a="1"/>
  <c r="AQ10" i="2"/>
  <c r="AR10" i="2" a="1"/>
  <c r="AR10" i="2"/>
  <c r="AN11" i="2" a="1"/>
  <c r="AN11" i="2"/>
  <c r="AO11" i="2" a="1"/>
  <c r="AO11" i="2"/>
  <c r="AP11" i="2" a="1"/>
  <c r="AP11" i="2"/>
  <c r="AQ11" i="2" a="1"/>
  <c r="AQ11" i="2"/>
  <c r="AR11" i="2" a="1"/>
  <c r="AR11" i="2"/>
  <c r="AN12" i="2" a="1"/>
  <c r="AN12" i="2"/>
  <c r="AO12" i="2" a="1"/>
  <c r="AO12" i="2"/>
  <c r="AP12" i="2" a="1"/>
  <c r="AP12" i="2"/>
  <c r="AQ12" i="2" a="1"/>
  <c r="AQ12" i="2"/>
  <c r="AR12" i="2" a="1"/>
  <c r="AR12" i="2"/>
  <c r="AN13" i="2" a="1"/>
  <c r="AN13" i="2"/>
  <c r="AO13" i="2" a="1"/>
  <c r="AO13" i="2"/>
  <c r="AP13" i="2" a="1"/>
  <c r="AP13" i="2"/>
  <c r="AQ13" i="2" a="1"/>
  <c r="AQ13" i="2"/>
  <c r="AR13" i="2" a="1"/>
  <c r="AR13" i="2"/>
  <c r="AN14" i="2" a="1"/>
  <c r="AN14" i="2"/>
  <c r="AO14" i="2" a="1"/>
  <c r="AO14" i="2"/>
  <c r="AP14" i="2" a="1"/>
  <c r="AP14" i="2"/>
  <c r="AQ14" i="2" a="1"/>
  <c r="AQ14" i="2"/>
  <c r="AR14" i="2" a="1"/>
  <c r="AR14" i="2"/>
  <c r="AN15" i="2" a="1"/>
  <c r="AN15" i="2"/>
  <c r="AO15" i="2" a="1"/>
  <c r="AO15" i="2"/>
  <c r="AP15" i="2" a="1"/>
  <c r="AP15" i="2"/>
  <c r="AQ15" i="2" a="1"/>
  <c r="AQ15" i="2"/>
  <c r="AR15" i="2" a="1"/>
  <c r="AR15" i="2"/>
  <c r="AN16" i="2" a="1"/>
  <c r="AN16" i="2"/>
  <c r="AO16" i="2" a="1"/>
  <c r="AO16" i="2"/>
  <c r="AP16" i="2" a="1"/>
  <c r="AP16" i="2"/>
  <c r="AQ16" i="2" a="1"/>
  <c r="AQ16" i="2"/>
  <c r="AR16" i="2" a="1"/>
  <c r="AR16" i="2"/>
  <c r="AN17" i="2" a="1"/>
  <c r="AN17" i="2"/>
  <c r="AO17" i="2" a="1"/>
  <c r="AO17" i="2"/>
  <c r="AP17" i="2" a="1"/>
  <c r="AP17" i="2"/>
  <c r="AQ17" i="2" a="1"/>
  <c r="AQ17" i="2"/>
  <c r="AR17" i="2" a="1"/>
  <c r="AR17" i="2"/>
  <c r="AN18" i="2" a="1"/>
  <c r="AN18" i="2"/>
  <c r="AO18" i="2" a="1"/>
  <c r="AO18" i="2"/>
  <c r="AP18" i="2" a="1"/>
  <c r="AP18" i="2"/>
  <c r="AQ18" i="2" a="1"/>
  <c r="AQ18" i="2"/>
  <c r="AR18" i="2" a="1"/>
  <c r="AR18" i="2"/>
  <c r="AN19" i="2" a="1"/>
  <c r="AN19" i="2"/>
  <c r="AO19" i="2" a="1"/>
  <c r="AO19" i="2"/>
  <c r="AP19" i="2" a="1"/>
  <c r="AP19" i="2"/>
  <c r="AQ19" i="2" a="1"/>
  <c r="AQ19" i="2"/>
  <c r="AR19" i="2" a="1"/>
  <c r="AR19" i="2"/>
  <c r="AN20" i="2" a="1"/>
  <c r="AN20" i="2"/>
  <c r="AO20" i="2" a="1"/>
  <c r="AO20" i="2"/>
  <c r="AP20" i="2" a="1"/>
  <c r="AP20" i="2"/>
  <c r="AQ20" i="2" a="1"/>
  <c r="AQ20" i="2"/>
  <c r="AR20" i="2" a="1"/>
  <c r="AR20" i="2"/>
  <c r="AN21" i="2" a="1"/>
  <c r="AN21" i="2"/>
  <c r="AO21" i="2" a="1"/>
  <c r="AO21" i="2"/>
  <c r="AP21" i="2" a="1"/>
  <c r="AP21" i="2"/>
  <c r="AQ21" i="2" a="1"/>
  <c r="AQ21" i="2"/>
  <c r="AR21" i="2" a="1"/>
  <c r="AR21" i="2"/>
  <c r="AN22" i="2" a="1"/>
  <c r="AN22" i="2"/>
  <c r="AO22" i="2" a="1"/>
  <c r="AO22" i="2"/>
  <c r="AP22" i="2" a="1"/>
  <c r="AP22" i="2"/>
  <c r="AQ22" i="2" a="1"/>
  <c r="AQ22" i="2"/>
  <c r="AR22" i="2" a="1"/>
  <c r="AR22" i="2"/>
  <c r="AN23" i="2" a="1"/>
  <c r="AN23" i="2"/>
  <c r="AO23" i="2" a="1"/>
  <c r="AO23" i="2"/>
  <c r="AP23" i="2" a="1"/>
  <c r="AP23" i="2"/>
  <c r="AQ23" i="2" a="1"/>
  <c r="AQ23" i="2"/>
  <c r="AR23" i="2" a="1"/>
  <c r="AR23" i="2"/>
  <c r="AN24" i="2" a="1"/>
  <c r="AN24" i="2"/>
  <c r="AO24" i="2" a="1"/>
  <c r="AO24" i="2"/>
  <c r="AP24" i="2" a="1"/>
  <c r="AP24" i="2"/>
  <c r="AQ24" i="2" a="1"/>
  <c r="AQ24" i="2"/>
  <c r="AR24" i="2" a="1"/>
  <c r="AR24" i="2"/>
  <c r="AN25" i="2" a="1"/>
  <c r="AN25" i="2"/>
  <c r="AO25" i="2" a="1"/>
  <c r="AO25" i="2"/>
  <c r="AP25" i="2" a="1"/>
  <c r="AP25" i="2"/>
  <c r="AQ25" i="2" a="1"/>
  <c r="AQ25" i="2"/>
  <c r="AR25" i="2" a="1"/>
  <c r="AR25" i="2"/>
  <c r="AN26" i="2" a="1"/>
  <c r="AN26" i="2"/>
  <c r="AO26" i="2" a="1"/>
  <c r="AO26" i="2"/>
  <c r="AP26" i="2" a="1"/>
  <c r="AP26" i="2"/>
  <c r="AQ26" i="2" a="1"/>
  <c r="AQ26" i="2"/>
  <c r="AR26" i="2" a="1"/>
  <c r="AR26" i="2"/>
  <c r="AN27" i="2" a="1"/>
  <c r="AN27" i="2"/>
  <c r="AO27" i="2" a="1"/>
  <c r="AO27" i="2"/>
  <c r="AP27" i="2" a="1"/>
  <c r="AP27" i="2"/>
  <c r="AQ27" i="2" a="1"/>
  <c r="AQ27" i="2"/>
  <c r="AR27" i="2" a="1"/>
  <c r="AR27" i="2"/>
  <c r="AN28" i="2" a="1"/>
  <c r="AN28" i="2"/>
  <c r="AO28" i="2" a="1"/>
  <c r="AO28" i="2"/>
  <c r="AP28" i="2" a="1"/>
  <c r="AP28" i="2"/>
  <c r="AQ28" i="2" a="1"/>
  <c r="AQ28" i="2"/>
  <c r="AR28" i="2" a="1"/>
  <c r="AR28" i="2"/>
  <c r="AN29" i="2" a="1"/>
  <c r="AN29" i="2"/>
  <c r="AO29" i="2" a="1"/>
  <c r="AO29" i="2"/>
  <c r="AP29" i="2" a="1"/>
  <c r="AP29" i="2"/>
  <c r="AQ29" i="2" a="1"/>
  <c r="AQ29" i="2"/>
  <c r="AR29" i="2" a="1"/>
  <c r="AR29" i="2"/>
  <c r="AN30" i="2" a="1"/>
  <c r="AN30" i="2"/>
  <c r="AO30" i="2" a="1"/>
  <c r="AO30" i="2"/>
  <c r="AP30" i="2" a="1"/>
  <c r="AP30" i="2"/>
  <c r="AQ30" i="2" a="1"/>
  <c r="AQ30" i="2"/>
  <c r="AR30" i="2" a="1"/>
  <c r="AR30" i="2"/>
  <c r="AN31" i="2" a="1"/>
  <c r="AN31" i="2"/>
  <c r="AO31" i="2" a="1"/>
  <c r="AO31" i="2"/>
  <c r="AP31" i="2" a="1"/>
  <c r="AP31" i="2"/>
  <c r="AQ31" i="2" a="1"/>
  <c r="AQ31" i="2"/>
  <c r="AR31" i="2" a="1"/>
  <c r="AR31" i="2"/>
  <c r="AN32" i="2" a="1"/>
  <c r="AN32" i="2"/>
  <c r="AO32" i="2" a="1"/>
  <c r="AO32" i="2"/>
  <c r="AP32" i="2" a="1"/>
  <c r="AP32" i="2"/>
  <c r="AQ32" i="2" a="1"/>
  <c r="AQ32" i="2"/>
  <c r="AR32" i="2" a="1"/>
  <c r="AR32" i="2"/>
  <c r="AN33" i="2" a="1"/>
  <c r="AN33" i="2"/>
  <c r="AO33" i="2" a="1"/>
  <c r="AO33" i="2"/>
  <c r="AP33" i="2" a="1"/>
  <c r="AP33" i="2"/>
  <c r="AQ33" i="2" a="1"/>
  <c r="AQ33" i="2"/>
  <c r="AR33" i="2" a="1"/>
  <c r="AR33" i="2"/>
  <c r="AN34" i="2" a="1"/>
  <c r="AN34" i="2"/>
  <c r="AO34" i="2" a="1"/>
  <c r="AO34" i="2"/>
  <c r="AP34" i="2" a="1"/>
  <c r="AP34" i="2"/>
  <c r="AQ34" i="2" a="1"/>
  <c r="AQ34" i="2"/>
  <c r="AR34" i="2" a="1"/>
  <c r="AR34" i="2"/>
  <c r="AN35" i="2" a="1"/>
  <c r="AN35" i="2"/>
  <c r="AO35" i="2" a="1"/>
  <c r="AO35" i="2"/>
  <c r="AP35" i="2" a="1"/>
  <c r="AP35" i="2"/>
  <c r="AQ35" i="2" a="1"/>
  <c r="AQ35" i="2"/>
  <c r="AR35" i="2" a="1"/>
  <c r="AR35" i="2"/>
  <c r="AM5" i="2" a="1"/>
  <c r="AM5" i="2"/>
  <c r="AM6" i="2" a="1"/>
  <c r="AM6" i="2"/>
  <c r="AM7" i="2" a="1"/>
  <c r="AM7" i="2"/>
  <c r="AM8" i="2" a="1"/>
  <c r="AM8" i="2"/>
  <c r="AM9" i="2" a="1"/>
  <c r="AM9" i="2"/>
  <c r="AM10" i="2" a="1"/>
  <c r="AM10" i="2"/>
  <c r="AM11" i="2" a="1"/>
  <c r="AM11" i="2"/>
  <c r="AM12" i="2" a="1"/>
  <c r="AM12" i="2"/>
  <c r="AM13" i="2" a="1"/>
  <c r="AM13" i="2"/>
  <c r="AM14" i="2" a="1"/>
  <c r="AM14" i="2"/>
  <c r="AM15" i="2" a="1"/>
  <c r="AM15" i="2"/>
  <c r="AM16" i="2" a="1"/>
  <c r="AM16" i="2"/>
  <c r="AM17" i="2" a="1"/>
  <c r="AM17" i="2"/>
  <c r="AM18" i="2" a="1"/>
  <c r="AM18" i="2"/>
  <c r="AM19" i="2" a="1"/>
  <c r="AM19" i="2"/>
  <c r="AM20" i="2" a="1"/>
  <c r="AM20" i="2"/>
  <c r="AM21" i="2" a="1"/>
  <c r="AM21" i="2"/>
  <c r="AM22" i="2" a="1"/>
  <c r="AM22" i="2"/>
  <c r="AM23" i="2" a="1"/>
  <c r="AM23" i="2"/>
  <c r="AM24" i="2" a="1"/>
  <c r="AM24" i="2"/>
  <c r="AM25" i="2" a="1"/>
  <c r="AM25" i="2"/>
  <c r="AM26" i="2" a="1"/>
  <c r="AM26" i="2"/>
  <c r="AM27" i="2" a="1"/>
  <c r="AM27" i="2"/>
  <c r="AM28" i="2" a="1"/>
  <c r="AM28" i="2"/>
  <c r="AM29" i="2" a="1"/>
  <c r="AM29" i="2"/>
  <c r="AM30" i="2" a="1"/>
  <c r="AM30" i="2"/>
  <c r="AM31" i="2" a="1"/>
  <c r="AM31" i="2"/>
  <c r="AM32" i="2" a="1"/>
  <c r="AM32" i="2"/>
  <c r="AM33" i="2" a="1"/>
  <c r="AM33" i="2"/>
  <c r="AM34" i="2" a="1"/>
  <c r="AM34" i="2"/>
  <c r="AM35" i="2" a="1"/>
  <c r="AM35" i="2"/>
  <c r="AM4" i="2" a="1"/>
  <c r="AM4" i="2"/>
  <c r="K46" i="1"/>
  <c r="J46" i="1"/>
  <c r="E60" i="15"/>
  <c r="E61" i="15"/>
  <c r="E62" i="15"/>
  <c r="E63" i="15"/>
  <c r="E64" i="15"/>
  <c r="E65" i="15"/>
  <c r="E66" i="15"/>
  <c r="E67" i="15"/>
  <c r="E68" i="15"/>
  <c r="E69" i="15"/>
  <c r="E70" i="15"/>
  <c r="E71" i="15"/>
  <c r="E72" i="15"/>
  <c r="E73" i="15"/>
  <c r="E74" i="15"/>
  <c r="E75" i="15"/>
  <c r="D2" i="15"/>
  <c r="E2" i="15"/>
  <c r="D3" i="15"/>
  <c r="E3" i="15"/>
  <c r="D4" i="15"/>
  <c r="E4" i="15"/>
  <c r="D5" i="15"/>
  <c r="E5" i="15"/>
  <c r="D6" i="15"/>
  <c r="E6" i="15"/>
  <c r="D7" i="15"/>
  <c r="E7" i="15"/>
  <c r="D8" i="15"/>
  <c r="E8" i="15"/>
  <c r="D9" i="15"/>
  <c r="E9" i="15"/>
  <c r="D10" i="15"/>
  <c r="E10" i="15"/>
  <c r="D11" i="15"/>
  <c r="E11" i="15"/>
  <c r="D12" i="15"/>
  <c r="E12" i="15"/>
  <c r="D13" i="15"/>
  <c r="E13" i="15"/>
  <c r="D14" i="15"/>
  <c r="E14" i="15"/>
  <c r="D15" i="15"/>
  <c r="E15" i="15"/>
  <c r="D16" i="15"/>
  <c r="E16" i="15"/>
  <c r="D17" i="15"/>
  <c r="E17" i="15"/>
  <c r="D18" i="15"/>
  <c r="E18" i="15"/>
  <c r="D19" i="15"/>
  <c r="E19" i="15"/>
  <c r="D20" i="15"/>
  <c r="E20" i="15"/>
  <c r="D21" i="15"/>
  <c r="E21" i="15"/>
  <c r="D22" i="15"/>
  <c r="E22" i="15"/>
  <c r="D23" i="15"/>
  <c r="E23" i="15"/>
  <c r="D24" i="15"/>
  <c r="E24" i="15"/>
  <c r="D25" i="15"/>
  <c r="E25" i="15"/>
  <c r="D26" i="15"/>
  <c r="E26" i="15"/>
  <c r="D27" i="15"/>
  <c r="E27" i="15"/>
  <c r="D28" i="15"/>
  <c r="E28" i="15"/>
  <c r="D29" i="15"/>
  <c r="E29" i="15"/>
  <c r="D30" i="15"/>
  <c r="E30" i="15"/>
  <c r="D31" i="15"/>
  <c r="E31" i="15"/>
  <c r="D32" i="15"/>
  <c r="E32" i="15"/>
  <c r="D33" i="15"/>
  <c r="E33" i="15"/>
  <c r="D34" i="15"/>
  <c r="E34" i="15"/>
  <c r="D35" i="15"/>
  <c r="E35" i="15"/>
  <c r="D36" i="15"/>
  <c r="E36" i="15"/>
  <c r="D37" i="15"/>
  <c r="E37" i="15"/>
  <c r="D38" i="15"/>
  <c r="E38" i="15"/>
  <c r="D39" i="15"/>
  <c r="E39" i="15"/>
  <c r="D40" i="15"/>
  <c r="E40" i="15"/>
  <c r="D41" i="15"/>
  <c r="E41" i="15"/>
  <c r="D42" i="15"/>
  <c r="E42" i="15"/>
  <c r="D43" i="15"/>
  <c r="E43" i="15"/>
  <c r="D44" i="15"/>
  <c r="E44" i="15"/>
  <c r="D45" i="15"/>
  <c r="E45" i="15"/>
  <c r="D46" i="15"/>
  <c r="E46" i="15"/>
  <c r="D47" i="15"/>
  <c r="E47" i="15"/>
  <c r="D48" i="15"/>
  <c r="E48" i="15"/>
  <c r="D49" i="15"/>
  <c r="E49" i="15"/>
  <c r="D50" i="15"/>
  <c r="E50" i="15"/>
  <c r="D51" i="15"/>
  <c r="E51" i="15"/>
  <c r="D52" i="15"/>
  <c r="E52" i="15"/>
  <c r="D53" i="15"/>
  <c r="E53" i="15"/>
  <c r="D54" i="15"/>
  <c r="E54" i="15"/>
  <c r="D55" i="15"/>
  <c r="E55" i="15"/>
  <c r="D56" i="15"/>
  <c r="E56" i="15"/>
  <c r="D57" i="15"/>
  <c r="E57" i="15"/>
  <c r="D58" i="15"/>
  <c r="E58" i="15"/>
  <c r="D59" i="15"/>
  <c r="E59" i="15"/>
  <c r="AE6" i="4" a="1"/>
  <c r="AE6" i="4" s="1"/>
  <c r="AF6" i="4" a="1"/>
  <c r="AF6" i="4"/>
  <c r="I12" i="1" a="1"/>
  <c r="I12" i="1"/>
  <c r="I13" i="1"/>
  <c r="A8" i="4"/>
  <c r="A7" i="4"/>
  <c r="A6" i="4"/>
  <c r="A5" i="4"/>
  <c r="G21" i="1" a="1"/>
  <c r="G21" i="1"/>
  <c r="G22" i="1" a="1"/>
  <c r="G22" i="1"/>
  <c r="G23" i="1" a="1"/>
  <c r="G23" i="1"/>
  <c r="G24" i="1" a="1"/>
  <c r="G24" i="1"/>
  <c r="G18" i="1" a="1"/>
  <c r="G18" i="1" s="1"/>
  <c r="C19" i="1"/>
  <c r="G19" i="1" a="1"/>
  <c r="G19" i="1"/>
  <c r="C20" i="1"/>
  <c r="G20" i="1" a="1"/>
  <c r="G20" i="1"/>
  <c r="C5" i="1"/>
  <c r="C4" i="1"/>
  <c r="C3" i="1"/>
  <c r="C2" i="1"/>
  <c r="H40" i="3"/>
  <c r="I40" i="3"/>
  <c r="J40" i="3"/>
  <c r="K40" i="3"/>
  <c r="L40" i="3"/>
  <c r="M40" i="3"/>
  <c r="N40" i="3"/>
  <c r="O40" i="3"/>
  <c r="P40" i="3"/>
  <c r="Q40" i="3"/>
  <c r="R40" i="3"/>
  <c r="S40" i="3"/>
  <c r="T40" i="3"/>
  <c r="U40" i="3"/>
  <c r="V40" i="3"/>
  <c r="W40" i="3"/>
  <c r="X40" i="3"/>
  <c r="Y40" i="3"/>
  <c r="H41" i="3"/>
  <c r="I41" i="3"/>
  <c r="J41" i="3"/>
  <c r="K41" i="3"/>
  <c r="L41" i="3"/>
  <c r="M41" i="3"/>
  <c r="N41" i="3"/>
  <c r="O41" i="3"/>
  <c r="P41" i="3"/>
  <c r="Q41" i="3"/>
  <c r="R41" i="3"/>
  <c r="S41" i="3"/>
  <c r="T41" i="3"/>
  <c r="U41" i="3"/>
  <c r="V41" i="3"/>
  <c r="W41" i="3"/>
  <c r="X41" i="3"/>
  <c r="Y41" i="3"/>
  <c r="H42" i="3"/>
  <c r="I42" i="3"/>
  <c r="J42" i="3"/>
  <c r="K42" i="3"/>
  <c r="L42" i="3"/>
  <c r="M42" i="3"/>
  <c r="N42" i="3"/>
  <c r="O42" i="3"/>
  <c r="P42" i="3"/>
  <c r="Q42" i="3"/>
  <c r="R42" i="3"/>
  <c r="S42" i="3"/>
  <c r="T42" i="3"/>
  <c r="U42" i="3"/>
  <c r="V42" i="3"/>
  <c r="W42" i="3"/>
  <c r="X42" i="3"/>
  <c r="Y42" i="3"/>
  <c r="H43" i="3"/>
  <c r="I43" i="3"/>
  <c r="J43" i="3"/>
  <c r="K43" i="3"/>
  <c r="L43" i="3"/>
  <c r="M43" i="3"/>
  <c r="N43" i="3"/>
  <c r="O43" i="3"/>
  <c r="P43" i="3"/>
  <c r="Q43" i="3"/>
  <c r="R43" i="3"/>
  <c r="S43" i="3"/>
  <c r="T43" i="3"/>
  <c r="U43" i="3"/>
  <c r="V43" i="3"/>
  <c r="W43" i="3"/>
  <c r="X43" i="3"/>
  <c r="Y43" i="3"/>
  <c r="H44" i="3"/>
  <c r="I44" i="3"/>
  <c r="J44" i="3"/>
  <c r="K44" i="3"/>
  <c r="L44" i="3"/>
  <c r="M44" i="3"/>
  <c r="N44" i="3"/>
  <c r="O44" i="3"/>
  <c r="P44" i="3"/>
  <c r="Q44" i="3"/>
  <c r="R44" i="3"/>
  <c r="S44" i="3"/>
  <c r="T44" i="3"/>
  <c r="U44" i="3"/>
  <c r="V44" i="3"/>
  <c r="W44" i="3"/>
  <c r="X44" i="3"/>
  <c r="Y44" i="3"/>
  <c r="H45" i="3"/>
  <c r="I45" i="3"/>
  <c r="J45" i="3"/>
  <c r="K45" i="3"/>
  <c r="L45" i="3"/>
  <c r="M45" i="3"/>
  <c r="N45" i="3"/>
  <c r="O45" i="3"/>
  <c r="P45" i="3"/>
  <c r="Q45" i="3"/>
  <c r="R45" i="3"/>
  <c r="S45" i="3"/>
  <c r="T45" i="3"/>
  <c r="U45" i="3"/>
  <c r="V45" i="3"/>
  <c r="W45" i="3"/>
  <c r="X45" i="3"/>
  <c r="Y45" i="3"/>
  <c r="H46" i="3"/>
  <c r="I46" i="3"/>
  <c r="J46" i="3"/>
  <c r="K46" i="3"/>
  <c r="L46" i="3"/>
  <c r="M46" i="3"/>
  <c r="N46" i="3"/>
  <c r="O46" i="3"/>
  <c r="P46" i="3"/>
  <c r="Q46" i="3"/>
  <c r="R46" i="3"/>
  <c r="S46" i="3"/>
  <c r="T46" i="3"/>
  <c r="U46" i="3"/>
  <c r="V46" i="3"/>
  <c r="W46" i="3"/>
  <c r="X46" i="3"/>
  <c r="Y46" i="3"/>
  <c r="H47" i="3"/>
  <c r="I47" i="3"/>
  <c r="J47" i="3"/>
  <c r="K47" i="3"/>
  <c r="L47" i="3"/>
  <c r="M47" i="3"/>
  <c r="N47" i="3"/>
  <c r="O47" i="3"/>
  <c r="P47" i="3"/>
  <c r="Q47" i="3"/>
  <c r="R47" i="3"/>
  <c r="S47" i="3"/>
  <c r="T47" i="3"/>
  <c r="U47" i="3"/>
  <c r="V47" i="3"/>
  <c r="W47" i="3"/>
  <c r="X47" i="3"/>
  <c r="Y47" i="3"/>
  <c r="H48" i="3"/>
  <c r="I48" i="3"/>
  <c r="J48" i="3"/>
  <c r="K48" i="3"/>
  <c r="L48" i="3"/>
  <c r="M48" i="3"/>
  <c r="N48" i="3"/>
  <c r="O48" i="3"/>
  <c r="P48" i="3"/>
  <c r="Q48" i="3"/>
  <c r="R48" i="3"/>
  <c r="S48" i="3"/>
  <c r="T48" i="3"/>
  <c r="U48" i="3"/>
  <c r="V48" i="3"/>
  <c r="W48" i="3"/>
  <c r="X48" i="3"/>
  <c r="Y48" i="3"/>
  <c r="H49" i="3"/>
  <c r="I49" i="3"/>
  <c r="J49" i="3"/>
  <c r="K49" i="3"/>
  <c r="L49" i="3"/>
  <c r="M49" i="3"/>
  <c r="N49" i="3"/>
  <c r="O49" i="3"/>
  <c r="P49" i="3"/>
  <c r="Q49" i="3"/>
  <c r="R49" i="3"/>
  <c r="S49" i="3"/>
  <c r="T49" i="3"/>
  <c r="U49" i="3"/>
  <c r="V49" i="3"/>
  <c r="W49" i="3"/>
  <c r="X49" i="3"/>
  <c r="Y49" i="3"/>
  <c r="H50" i="3"/>
  <c r="I50" i="3"/>
  <c r="J50" i="3"/>
  <c r="K50" i="3"/>
  <c r="L50" i="3"/>
  <c r="M50" i="3"/>
  <c r="N50" i="3"/>
  <c r="O50" i="3"/>
  <c r="P50" i="3"/>
  <c r="Q50" i="3"/>
  <c r="R50" i="3"/>
  <c r="S50" i="3"/>
  <c r="T50" i="3"/>
  <c r="U50" i="3"/>
  <c r="V50" i="3"/>
  <c r="W50" i="3"/>
  <c r="X50" i="3"/>
  <c r="Y50" i="3"/>
  <c r="H51" i="3"/>
  <c r="I51" i="3"/>
  <c r="J51" i="3"/>
  <c r="K51" i="3"/>
  <c r="L51" i="3"/>
  <c r="M51" i="3"/>
  <c r="N51" i="3"/>
  <c r="O51" i="3"/>
  <c r="P51" i="3"/>
  <c r="Q51" i="3"/>
  <c r="R51" i="3"/>
  <c r="S51" i="3"/>
  <c r="T51" i="3"/>
  <c r="U51" i="3"/>
  <c r="V51" i="3"/>
  <c r="W51" i="3"/>
  <c r="X51" i="3"/>
  <c r="Y51" i="3"/>
  <c r="H52" i="3"/>
  <c r="I52" i="3"/>
  <c r="J52" i="3"/>
  <c r="K52" i="3"/>
  <c r="L52" i="3"/>
  <c r="M52" i="3"/>
  <c r="N52" i="3"/>
  <c r="O52" i="3"/>
  <c r="P52" i="3"/>
  <c r="Q52" i="3"/>
  <c r="R52" i="3"/>
  <c r="S52" i="3"/>
  <c r="T52" i="3"/>
  <c r="U52" i="3"/>
  <c r="V52" i="3"/>
  <c r="W52" i="3"/>
  <c r="X52" i="3"/>
  <c r="Y52" i="3"/>
  <c r="H53" i="3"/>
  <c r="I53" i="3"/>
  <c r="J53" i="3"/>
  <c r="K53" i="3"/>
  <c r="L53" i="3"/>
  <c r="M53" i="3"/>
  <c r="N53" i="3"/>
  <c r="O53" i="3"/>
  <c r="P53" i="3"/>
  <c r="Q53" i="3"/>
  <c r="R53" i="3"/>
  <c r="S53" i="3"/>
  <c r="T53" i="3"/>
  <c r="U53" i="3"/>
  <c r="V53" i="3"/>
  <c r="W53" i="3"/>
  <c r="X53" i="3"/>
  <c r="Y53" i="3"/>
  <c r="H54" i="3"/>
  <c r="I54" i="3"/>
  <c r="J54" i="3"/>
  <c r="K54" i="3"/>
  <c r="L54" i="3"/>
  <c r="M54" i="3"/>
  <c r="N54" i="3"/>
  <c r="O54" i="3"/>
  <c r="P54" i="3"/>
  <c r="Q54" i="3"/>
  <c r="R54" i="3"/>
  <c r="S54" i="3"/>
  <c r="T54" i="3"/>
  <c r="U54" i="3"/>
  <c r="V54" i="3"/>
  <c r="W54" i="3"/>
  <c r="X54" i="3"/>
  <c r="Y54" i="3"/>
  <c r="H55" i="3"/>
  <c r="I55" i="3"/>
  <c r="J55" i="3"/>
  <c r="K55" i="3"/>
  <c r="L55" i="3"/>
  <c r="M55" i="3"/>
  <c r="N55" i="3"/>
  <c r="O55" i="3"/>
  <c r="P55" i="3"/>
  <c r="Q55" i="3"/>
  <c r="R55" i="3"/>
  <c r="S55" i="3"/>
  <c r="T55" i="3"/>
  <c r="U55" i="3"/>
  <c r="V55" i="3"/>
  <c r="W55" i="3"/>
  <c r="X55" i="3"/>
  <c r="Y55" i="3"/>
  <c r="H56" i="3"/>
  <c r="I56" i="3"/>
  <c r="J56" i="3"/>
  <c r="K56" i="3"/>
  <c r="L56" i="3"/>
  <c r="M56" i="3"/>
  <c r="N56" i="3"/>
  <c r="O56" i="3"/>
  <c r="P56" i="3"/>
  <c r="Q56" i="3"/>
  <c r="R56" i="3"/>
  <c r="S56" i="3"/>
  <c r="T56" i="3"/>
  <c r="U56" i="3"/>
  <c r="V56" i="3"/>
  <c r="W56" i="3"/>
  <c r="X56" i="3"/>
  <c r="Y56" i="3"/>
  <c r="H57" i="3"/>
  <c r="I57" i="3"/>
  <c r="J57" i="3"/>
  <c r="K57" i="3"/>
  <c r="L57" i="3"/>
  <c r="M57" i="3"/>
  <c r="N57" i="3"/>
  <c r="O57" i="3"/>
  <c r="P57" i="3"/>
  <c r="Q57" i="3"/>
  <c r="R57" i="3"/>
  <c r="S57" i="3"/>
  <c r="T57" i="3"/>
  <c r="U57" i="3"/>
  <c r="V57" i="3"/>
  <c r="W57" i="3"/>
  <c r="X57" i="3"/>
  <c r="Y57" i="3"/>
  <c r="H58" i="3"/>
  <c r="I58" i="3"/>
  <c r="J58" i="3"/>
  <c r="K58" i="3"/>
  <c r="L58" i="3"/>
  <c r="M58" i="3"/>
  <c r="N58" i="3"/>
  <c r="O58" i="3"/>
  <c r="P58" i="3"/>
  <c r="Q58" i="3"/>
  <c r="R58" i="3"/>
  <c r="S58" i="3"/>
  <c r="T58" i="3"/>
  <c r="U58" i="3"/>
  <c r="V58" i="3"/>
  <c r="W58" i="3"/>
  <c r="X58" i="3"/>
  <c r="Y58" i="3"/>
  <c r="H59" i="3"/>
  <c r="I59" i="3"/>
  <c r="J59" i="3"/>
  <c r="K59" i="3"/>
  <c r="L59" i="3"/>
  <c r="M59" i="3"/>
  <c r="N59" i="3"/>
  <c r="O59" i="3"/>
  <c r="P59" i="3"/>
  <c r="Q59" i="3"/>
  <c r="R59" i="3"/>
  <c r="S59" i="3"/>
  <c r="T59" i="3"/>
  <c r="U59" i="3"/>
  <c r="V59" i="3"/>
  <c r="W59" i="3"/>
  <c r="X59" i="3"/>
  <c r="Y59" i="3"/>
  <c r="H60" i="3"/>
  <c r="I60" i="3"/>
  <c r="J60" i="3"/>
  <c r="K60" i="3"/>
  <c r="L60" i="3"/>
  <c r="M60" i="3"/>
  <c r="N60" i="3"/>
  <c r="O60" i="3"/>
  <c r="P60" i="3"/>
  <c r="Q60" i="3"/>
  <c r="R60" i="3"/>
  <c r="S60" i="3"/>
  <c r="T60" i="3"/>
  <c r="U60" i="3"/>
  <c r="V60" i="3"/>
  <c r="W60" i="3"/>
  <c r="X60" i="3"/>
  <c r="Y60" i="3"/>
  <c r="H61" i="3"/>
  <c r="I61" i="3"/>
  <c r="J61" i="3"/>
  <c r="K61" i="3"/>
  <c r="L61" i="3"/>
  <c r="M61" i="3"/>
  <c r="N61" i="3"/>
  <c r="O61" i="3"/>
  <c r="P61" i="3"/>
  <c r="Q61" i="3"/>
  <c r="R61" i="3"/>
  <c r="S61" i="3"/>
  <c r="T61" i="3"/>
  <c r="U61" i="3"/>
  <c r="V61" i="3"/>
  <c r="W61" i="3"/>
  <c r="X61" i="3"/>
  <c r="Y61" i="3"/>
  <c r="H62" i="3"/>
  <c r="I62" i="3"/>
  <c r="J62" i="3"/>
  <c r="K62" i="3"/>
  <c r="L62" i="3"/>
  <c r="M62" i="3"/>
  <c r="N62" i="3"/>
  <c r="O62" i="3"/>
  <c r="P62" i="3"/>
  <c r="Q62" i="3"/>
  <c r="R62" i="3"/>
  <c r="S62" i="3"/>
  <c r="T62" i="3"/>
  <c r="U62" i="3"/>
  <c r="V62" i="3"/>
  <c r="W62" i="3"/>
  <c r="X62" i="3"/>
  <c r="Y62" i="3"/>
  <c r="H63" i="3"/>
  <c r="I63" i="3"/>
  <c r="J63" i="3"/>
  <c r="K63" i="3"/>
  <c r="L63" i="3"/>
  <c r="M63" i="3"/>
  <c r="N63" i="3"/>
  <c r="O63" i="3"/>
  <c r="P63" i="3"/>
  <c r="Q63" i="3"/>
  <c r="R63" i="3"/>
  <c r="S63" i="3"/>
  <c r="T63" i="3"/>
  <c r="U63" i="3"/>
  <c r="V63" i="3"/>
  <c r="W63" i="3"/>
  <c r="X63" i="3"/>
  <c r="Y63" i="3"/>
  <c r="H64" i="3"/>
  <c r="I64" i="3"/>
  <c r="J64" i="3"/>
  <c r="K64" i="3"/>
  <c r="L64" i="3"/>
  <c r="M64" i="3"/>
  <c r="N64" i="3"/>
  <c r="O64" i="3"/>
  <c r="P64" i="3"/>
  <c r="Q64" i="3"/>
  <c r="R64" i="3"/>
  <c r="S64" i="3"/>
  <c r="T64" i="3"/>
  <c r="U64" i="3"/>
  <c r="V64" i="3"/>
  <c r="W64" i="3"/>
  <c r="X64" i="3"/>
  <c r="Y64" i="3"/>
  <c r="H65" i="3"/>
  <c r="I65" i="3"/>
  <c r="J65" i="3"/>
  <c r="K65" i="3"/>
  <c r="L65" i="3"/>
  <c r="M65" i="3"/>
  <c r="N65" i="3"/>
  <c r="O65" i="3"/>
  <c r="P65" i="3"/>
  <c r="Q65" i="3"/>
  <c r="R65" i="3"/>
  <c r="S65" i="3"/>
  <c r="T65" i="3"/>
  <c r="U65" i="3"/>
  <c r="V65" i="3"/>
  <c r="W65" i="3"/>
  <c r="X65" i="3"/>
  <c r="Y65" i="3"/>
  <c r="H66" i="3"/>
  <c r="I66" i="3"/>
  <c r="J66" i="3"/>
  <c r="K66" i="3"/>
  <c r="L66" i="3"/>
  <c r="M66" i="3"/>
  <c r="N66" i="3"/>
  <c r="O66" i="3"/>
  <c r="P66" i="3"/>
  <c r="Q66" i="3"/>
  <c r="R66" i="3"/>
  <c r="S66" i="3"/>
  <c r="T66" i="3"/>
  <c r="U66" i="3"/>
  <c r="V66" i="3"/>
  <c r="W66" i="3"/>
  <c r="X66" i="3"/>
  <c r="Y66" i="3"/>
  <c r="H67" i="3"/>
  <c r="I67" i="3"/>
  <c r="J67" i="3"/>
  <c r="K67" i="3"/>
  <c r="L67" i="3"/>
  <c r="M67" i="3"/>
  <c r="N67" i="3"/>
  <c r="O67" i="3"/>
  <c r="P67" i="3"/>
  <c r="Q67" i="3"/>
  <c r="R67" i="3"/>
  <c r="S67" i="3"/>
  <c r="T67" i="3"/>
  <c r="U67" i="3"/>
  <c r="V67" i="3"/>
  <c r="W67" i="3"/>
  <c r="X67" i="3"/>
  <c r="Y67" i="3"/>
  <c r="H68" i="3"/>
  <c r="I68" i="3"/>
  <c r="J68" i="3"/>
  <c r="K68" i="3"/>
  <c r="L68" i="3"/>
  <c r="M68" i="3"/>
  <c r="N68" i="3"/>
  <c r="O68" i="3"/>
  <c r="P68" i="3"/>
  <c r="Q68" i="3"/>
  <c r="R68" i="3"/>
  <c r="S68" i="3"/>
  <c r="T68" i="3"/>
  <c r="U68" i="3"/>
  <c r="V68" i="3"/>
  <c r="W68" i="3"/>
  <c r="X68" i="3"/>
  <c r="Y68" i="3"/>
  <c r="H69" i="3"/>
  <c r="I69" i="3"/>
  <c r="J69" i="3"/>
  <c r="K69" i="3"/>
  <c r="L69" i="3"/>
  <c r="M69" i="3"/>
  <c r="N69" i="3"/>
  <c r="O69" i="3"/>
  <c r="P69" i="3"/>
  <c r="Q69" i="3"/>
  <c r="R69" i="3"/>
  <c r="S69" i="3"/>
  <c r="T69" i="3"/>
  <c r="U69" i="3"/>
  <c r="V69" i="3"/>
  <c r="W69" i="3"/>
  <c r="X69" i="3"/>
  <c r="Y69" i="3"/>
  <c r="H70" i="3"/>
  <c r="I70" i="3"/>
  <c r="J70" i="3"/>
  <c r="K70" i="3"/>
  <c r="L70" i="3"/>
  <c r="M70" i="3"/>
  <c r="N70" i="3"/>
  <c r="O70" i="3"/>
  <c r="P70" i="3"/>
  <c r="Q70" i="3"/>
  <c r="R70" i="3"/>
  <c r="S70" i="3"/>
  <c r="T70" i="3"/>
  <c r="U70" i="3"/>
  <c r="V70" i="3"/>
  <c r="W70" i="3"/>
  <c r="X70" i="3"/>
  <c r="Y70" i="3"/>
  <c r="W39" i="3"/>
  <c r="T39" i="3"/>
  <c r="Q39" i="3"/>
  <c r="N39" i="3"/>
  <c r="K39" i="3"/>
  <c r="H39" i="3"/>
  <c r="L4" i="2"/>
  <c r="N4" i="2"/>
  <c r="AD4" i="2"/>
  <c r="Z4" i="2"/>
  <c r="V4" i="2"/>
  <c r="R4" i="2"/>
  <c r="W4" i="2"/>
  <c r="M5" i="2"/>
  <c r="M6" i="2"/>
  <c r="M7" i="2"/>
  <c r="M8" i="2"/>
  <c r="M9" i="2"/>
  <c r="M10" i="2"/>
  <c r="AE4" i="2"/>
  <c r="AA4" i="2"/>
  <c r="S4" i="2"/>
  <c r="O4" i="2"/>
  <c r="AC35" i="2"/>
  <c r="AC34" i="2"/>
  <c r="AC33" i="2"/>
  <c r="AC32" i="2"/>
  <c r="AC31" i="2"/>
  <c r="AC30" i="2"/>
  <c r="AC29" i="2"/>
  <c r="AC28" i="2"/>
  <c r="AC27" i="2"/>
  <c r="AC26" i="2"/>
  <c r="AC25" i="2"/>
  <c r="AC24" i="2"/>
  <c r="AC23" i="2"/>
  <c r="AC22" i="2"/>
  <c r="AC21" i="2"/>
  <c r="AC20" i="2"/>
  <c r="AC19" i="2"/>
  <c r="AC18" i="2"/>
  <c r="AC17" i="2"/>
  <c r="AC16" i="2"/>
  <c r="AC15" i="2"/>
  <c r="AC14" i="2"/>
  <c r="AC13" i="2"/>
  <c r="AC12" i="2"/>
  <c r="AC11" i="2"/>
  <c r="AC10" i="2"/>
  <c r="AC9" i="2"/>
  <c r="AC8" i="2"/>
  <c r="AC7" i="2"/>
  <c r="AC6" i="2"/>
  <c r="AC5" i="2"/>
  <c r="AC4"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M35" i="2"/>
  <c r="M34" i="2"/>
  <c r="M33" i="2"/>
  <c r="M32" i="2"/>
  <c r="M31" i="2"/>
  <c r="M30" i="2"/>
  <c r="M29" i="2"/>
  <c r="M28" i="2"/>
  <c r="M27" i="2"/>
  <c r="M26" i="2"/>
  <c r="M25" i="2"/>
  <c r="M24" i="2"/>
  <c r="M23" i="2"/>
  <c r="M22" i="2"/>
  <c r="M21" i="2"/>
  <c r="M20" i="2"/>
  <c r="M19" i="2"/>
  <c r="M18" i="2"/>
  <c r="M17" i="2"/>
  <c r="M16" i="2"/>
  <c r="M15" i="2"/>
  <c r="M14" i="2"/>
  <c r="M13" i="2"/>
  <c r="M12" i="2"/>
  <c r="M11" i="2"/>
  <c r="I5" i="2"/>
  <c r="I6" i="2"/>
  <c r="I7" i="2"/>
  <c r="I8" i="2"/>
  <c r="I9" i="2"/>
  <c r="N9" i="2"/>
  <c r="I10" i="2"/>
  <c r="I11" i="2"/>
  <c r="I12" i="2"/>
  <c r="I13" i="2"/>
  <c r="I14" i="2"/>
  <c r="I15" i="2"/>
  <c r="I16" i="2"/>
  <c r="I17" i="2"/>
  <c r="I18" i="2"/>
  <c r="I19" i="2"/>
  <c r="I20" i="2"/>
  <c r="I21" i="2"/>
  <c r="I22" i="2"/>
  <c r="I23" i="2"/>
  <c r="I24" i="2"/>
  <c r="I25" i="2"/>
  <c r="I26" i="2"/>
  <c r="I27" i="2"/>
  <c r="I28" i="2"/>
  <c r="I29" i="2"/>
  <c r="I30" i="2"/>
  <c r="I31" i="2"/>
  <c r="I32" i="2"/>
  <c r="I33" i="2"/>
  <c r="I34" i="2"/>
  <c r="W8" i="4"/>
  <c r="W7" i="4"/>
  <c r="R8" i="4"/>
  <c r="L8" i="4"/>
  <c r="F8" i="4"/>
  <c r="R7" i="4"/>
  <c r="L7" i="4"/>
  <c r="F7" i="4"/>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J75" i="1"/>
  <c r="M75" i="1"/>
  <c r="J74" i="1"/>
  <c r="M74" i="1"/>
  <c r="J73" i="1"/>
  <c r="M73" i="1"/>
  <c r="J72" i="1"/>
  <c r="M72" i="1"/>
  <c r="J71" i="1"/>
  <c r="M71" i="1"/>
  <c r="J70" i="1"/>
  <c r="M70" i="1"/>
  <c r="F48" i="1"/>
  <c r="F47" i="1"/>
  <c r="F46" i="1"/>
  <c r="G48" i="1"/>
  <c r="D45" i="1"/>
  <c r="F45" i="1"/>
  <c r="D44" i="1"/>
  <c r="F44" i="1"/>
  <c r="F43" i="1"/>
  <c r="G45" i="1"/>
  <c r="F42" i="1"/>
  <c r="F41" i="1"/>
  <c r="F40" i="1"/>
  <c r="G42" i="1"/>
  <c r="F39" i="1"/>
  <c r="F38" i="1"/>
  <c r="F37" i="1"/>
  <c r="F36" i="1"/>
  <c r="G39" i="1"/>
  <c r="F35" i="1"/>
  <c r="F34" i="1"/>
  <c r="F33" i="1"/>
  <c r="G35" i="1"/>
  <c r="F32" i="1"/>
  <c r="F31" i="1"/>
  <c r="F30" i="1"/>
  <c r="G32" i="1"/>
  <c r="G27" i="1"/>
  <c r="M24" i="1"/>
  <c r="L24" i="1"/>
  <c r="M23" i="1"/>
  <c r="L23" i="1"/>
  <c r="M22" i="1"/>
  <c r="L22" i="1"/>
  <c r="M21" i="1"/>
  <c r="L21" i="1"/>
  <c r="M20" i="1"/>
  <c r="L20" i="1"/>
  <c r="M19" i="1"/>
  <c r="L19" i="1"/>
  <c r="M18" i="1"/>
  <c r="L18" i="1"/>
  <c r="I14" i="1"/>
  <c r="L13" i="1"/>
  <c r="L12" i="1"/>
  <c r="I11" i="1"/>
  <c r="L11" i="1"/>
  <c r="I10" i="1"/>
  <c r="L10" i="1"/>
  <c r="P4" i="2"/>
  <c r="T4" i="2"/>
  <c r="AB4" i="2"/>
  <c r="AF4" i="2"/>
  <c r="X4" i="2"/>
  <c r="J35" i="2"/>
  <c r="N35" i="2"/>
  <c r="R35" i="2"/>
  <c r="V35" i="2"/>
  <c r="Z35" i="2"/>
  <c r="AD35" i="2"/>
  <c r="J34" i="2"/>
  <c r="N34" i="2"/>
  <c r="R34" i="2"/>
  <c r="V34" i="2"/>
  <c r="Z34" i="2"/>
  <c r="AD34" i="2"/>
  <c r="J33" i="2"/>
  <c r="N33" i="2"/>
  <c r="R33" i="2"/>
  <c r="V33" i="2"/>
  <c r="Z33" i="2"/>
  <c r="AD33" i="2"/>
  <c r="J32" i="2"/>
  <c r="N32" i="2"/>
  <c r="R32" i="2"/>
  <c r="V32" i="2"/>
  <c r="Z32" i="2"/>
  <c r="AD32" i="2"/>
  <c r="J31" i="2"/>
  <c r="N31" i="2"/>
  <c r="R31" i="2"/>
  <c r="V31" i="2"/>
  <c r="Z31" i="2"/>
  <c r="AD31" i="2"/>
  <c r="J30" i="2"/>
  <c r="N30" i="2"/>
  <c r="R30" i="2"/>
  <c r="V30" i="2"/>
  <c r="Z30" i="2"/>
  <c r="AD30" i="2"/>
  <c r="J29" i="2"/>
  <c r="N29" i="2"/>
  <c r="R29" i="2"/>
  <c r="V29" i="2"/>
  <c r="Z29" i="2"/>
  <c r="AD29" i="2"/>
  <c r="J28" i="2"/>
  <c r="N28" i="2"/>
  <c r="R28" i="2"/>
  <c r="V28" i="2"/>
  <c r="Z28" i="2"/>
  <c r="AD28" i="2"/>
  <c r="J27" i="2"/>
  <c r="N27" i="2"/>
  <c r="R27" i="2"/>
  <c r="V27" i="2"/>
  <c r="Z27" i="2"/>
  <c r="AD27" i="2"/>
  <c r="J26" i="2"/>
  <c r="N26" i="2"/>
  <c r="R26" i="2"/>
  <c r="V26" i="2"/>
  <c r="Z26" i="2"/>
  <c r="AD26" i="2"/>
  <c r="J25" i="2"/>
  <c r="N25" i="2"/>
  <c r="R25" i="2"/>
  <c r="V25" i="2"/>
  <c r="Z25" i="2"/>
  <c r="AD25" i="2"/>
  <c r="J24" i="2"/>
  <c r="N24" i="2"/>
  <c r="R24" i="2"/>
  <c r="V24" i="2"/>
  <c r="Z24" i="2"/>
  <c r="AD24" i="2"/>
  <c r="J23" i="2"/>
  <c r="N23" i="2"/>
  <c r="R23" i="2"/>
  <c r="V23" i="2"/>
  <c r="Z23" i="2"/>
  <c r="AD23" i="2"/>
  <c r="J22" i="2"/>
  <c r="N22" i="2"/>
  <c r="R22" i="2"/>
  <c r="V22" i="2"/>
  <c r="Z22" i="2"/>
  <c r="AD22" i="2"/>
  <c r="J21" i="2"/>
  <c r="N21" i="2"/>
  <c r="R21" i="2"/>
  <c r="V21" i="2"/>
  <c r="Z21" i="2"/>
  <c r="AD21" i="2"/>
  <c r="J20" i="2"/>
  <c r="N20" i="2"/>
  <c r="R20" i="2"/>
  <c r="V20" i="2"/>
  <c r="Z20" i="2"/>
  <c r="AD20" i="2"/>
  <c r="J19" i="2"/>
  <c r="N19" i="2"/>
  <c r="R19" i="2"/>
  <c r="V19" i="2"/>
  <c r="Z19" i="2"/>
  <c r="AD19" i="2"/>
  <c r="J18" i="2"/>
  <c r="N18" i="2"/>
  <c r="R18" i="2"/>
  <c r="V18" i="2"/>
  <c r="Z18" i="2"/>
  <c r="AD18" i="2"/>
  <c r="J17" i="2"/>
  <c r="N17" i="2"/>
  <c r="R17" i="2"/>
  <c r="V17" i="2"/>
  <c r="Z17" i="2"/>
  <c r="AD17" i="2"/>
  <c r="J16" i="2"/>
  <c r="N16" i="2"/>
  <c r="R16" i="2"/>
  <c r="V16" i="2"/>
  <c r="Z16" i="2"/>
  <c r="AD16" i="2"/>
  <c r="J15" i="2"/>
  <c r="N15" i="2"/>
  <c r="R15" i="2"/>
  <c r="V15" i="2"/>
  <c r="Z15" i="2"/>
  <c r="AD15" i="2"/>
  <c r="J14" i="2"/>
  <c r="N14" i="2"/>
  <c r="R14" i="2"/>
  <c r="V14" i="2"/>
  <c r="Z14" i="2"/>
  <c r="AD14" i="2"/>
  <c r="J13" i="2"/>
  <c r="N13" i="2"/>
  <c r="R13" i="2"/>
  <c r="V13" i="2"/>
  <c r="Z13" i="2"/>
  <c r="AD13" i="2"/>
  <c r="J12" i="2"/>
  <c r="N12" i="2"/>
  <c r="R12" i="2"/>
  <c r="V12" i="2"/>
  <c r="Z12" i="2"/>
  <c r="AD12" i="2"/>
  <c r="J11" i="2"/>
  <c r="N11" i="2"/>
  <c r="R11" i="2"/>
  <c r="V11" i="2"/>
  <c r="Z11" i="2"/>
  <c r="AD11" i="2"/>
  <c r="J10" i="2"/>
  <c r="N10" i="2"/>
  <c r="R10" i="2"/>
  <c r="V10" i="2"/>
  <c r="Z10" i="2"/>
  <c r="AD10" i="2"/>
  <c r="J9" i="2"/>
  <c r="R9" i="2"/>
  <c r="V9" i="2"/>
  <c r="Z9" i="2"/>
  <c r="AD9" i="2"/>
  <c r="J8" i="2"/>
  <c r="N8" i="2"/>
  <c r="R8" i="2"/>
  <c r="V8" i="2"/>
  <c r="Z8" i="2"/>
  <c r="AD8" i="2"/>
  <c r="J7" i="2"/>
  <c r="N7" i="2"/>
  <c r="R7" i="2"/>
  <c r="V7" i="2"/>
  <c r="Z7" i="2"/>
  <c r="AD7" i="2"/>
  <c r="J6" i="2"/>
  <c r="N6" i="2"/>
  <c r="R6" i="2"/>
  <c r="V6" i="2"/>
  <c r="Z6" i="2"/>
  <c r="AD6" i="2"/>
  <c r="J5" i="2"/>
  <c r="N5" i="2"/>
  <c r="R5" i="2"/>
  <c r="V5" i="2"/>
  <c r="Z5" i="2"/>
  <c r="AD5" i="2"/>
  <c r="X39" i="3"/>
  <c r="U39" i="3"/>
  <c r="R39" i="3"/>
  <c r="O39" i="3"/>
  <c r="I39" i="3"/>
  <c r="L39"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O5" i="2"/>
  <c r="P5" i="2"/>
  <c r="S5" i="2"/>
  <c r="T5" i="2"/>
  <c r="W5" i="2"/>
  <c r="X5" i="2"/>
  <c r="AA5" i="2"/>
  <c r="AB5" i="2"/>
  <c r="AE5" i="2"/>
  <c r="AF5" i="2"/>
  <c r="K5" i="2"/>
  <c r="L5" i="2"/>
  <c r="O6" i="2"/>
  <c r="P6" i="2"/>
  <c r="S6" i="2"/>
  <c r="T6" i="2"/>
  <c r="W6" i="2"/>
  <c r="X6" i="2"/>
  <c r="AA6" i="2"/>
  <c r="AB6" i="2"/>
  <c r="AE6" i="2"/>
  <c r="AF6" i="2"/>
  <c r="K6" i="2"/>
  <c r="L6" i="2"/>
  <c r="O7" i="2"/>
  <c r="P7" i="2"/>
  <c r="S7" i="2"/>
  <c r="T7" i="2"/>
  <c r="W7" i="2"/>
  <c r="X7" i="2"/>
  <c r="AA7" i="2"/>
  <c r="AB7" i="2"/>
  <c r="AE7" i="2"/>
  <c r="AF7" i="2"/>
  <c r="K7" i="2"/>
  <c r="L7" i="2"/>
  <c r="O8" i="2"/>
  <c r="P8" i="2"/>
  <c r="S8" i="2"/>
  <c r="T8" i="2"/>
  <c r="W8" i="2"/>
  <c r="X8" i="2"/>
  <c r="AA8" i="2"/>
  <c r="AB8" i="2"/>
  <c r="AE8" i="2"/>
  <c r="AF8" i="2"/>
  <c r="K8" i="2"/>
  <c r="L8" i="2"/>
  <c r="O9" i="2"/>
  <c r="P9" i="2"/>
  <c r="S9" i="2"/>
  <c r="T9" i="2"/>
  <c r="W9" i="2"/>
  <c r="X9" i="2"/>
  <c r="AA9" i="2"/>
  <c r="AB9" i="2"/>
  <c r="AE9" i="2"/>
  <c r="AF9" i="2"/>
  <c r="K9" i="2"/>
  <c r="O10" i="2"/>
  <c r="P10" i="2"/>
  <c r="S10" i="2"/>
  <c r="T10" i="2"/>
  <c r="W10" i="2"/>
  <c r="X10" i="2"/>
  <c r="AA10" i="2"/>
  <c r="AB10" i="2"/>
  <c r="AE10" i="2"/>
  <c r="AF10" i="2"/>
  <c r="K10" i="2"/>
  <c r="L10" i="2"/>
  <c r="O11" i="2"/>
  <c r="P11" i="2"/>
  <c r="S11" i="2"/>
  <c r="T11" i="2"/>
  <c r="W11" i="2"/>
  <c r="X11" i="2"/>
  <c r="AA11" i="2"/>
  <c r="AB11" i="2"/>
  <c r="AE11" i="2"/>
  <c r="AF11" i="2"/>
  <c r="K11" i="2"/>
  <c r="L11" i="2"/>
  <c r="O12" i="2"/>
  <c r="P12" i="2"/>
  <c r="S12" i="2"/>
  <c r="T12" i="2"/>
  <c r="W12" i="2"/>
  <c r="X12" i="2"/>
  <c r="AA12" i="2"/>
  <c r="AB12" i="2"/>
  <c r="AE12" i="2"/>
  <c r="AF12" i="2"/>
  <c r="K12" i="2"/>
  <c r="L12" i="2"/>
  <c r="O13" i="2"/>
  <c r="P13" i="2"/>
  <c r="S13" i="2"/>
  <c r="T13" i="2"/>
  <c r="W13" i="2"/>
  <c r="X13" i="2"/>
  <c r="AA13" i="2"/>
  <c r="AB13" i="2"/>
  <c r="AE13" i="2"/>
  <c r="AF13" i="2"/>
  <c r="K13" i="2"/>
  <c r="L13" i="2"/>
  <c r="O14" i="2"/>
  <c r="P14" i="2"/>
  <c r="S14" i="2"/>
  <c r="T14" i="2"/>
  <c r="W14" i="2"/>
  <c r="X14" i="2"/>
  <c r="AA14" i="2"/>
  <c r="AB14" i="2"/>
  <c r="AE14" i="2"/>
  <c r="AF14" i="2"/>
  <c r="K14" i="2"/>
  <c r="L14" i="2"/>
  <c r="O15" i="2"/>
  <c r="P15" i="2"/>
  <c r="S15" i="2"/>
  <c r="T15" i="2"/>
  <c r="W15" i="2"/>
  <c r="X15" i="2"/>
  <c r="AA15" i="2"/>
  <c r="AB15" i="2"/>
  <c r="AE15" i="2"/>
  <c r="AF15" i="2"/>
  <c r="K15" i="2"/>
  <c r="L15" i="2"/>
  <c r="O16" i="2"/>
  <c r="P16" i="2"/>
  <c r="S16" i="2"/>
  <c r="T16" i="2"/>
  <c r="W16" i="2"/>
  <c r="X16" i="2"/>
  <c r="AA16" i="2"/>
  <c r="AB16" i="2"/>
  <c r="AE16" i="2"/>
  <c r="AF16" i="2"/>
  <c r="K16" i="2"/>
  <c r="L16" i="2"/>
  <c r="O17" i="2"/>
  <c r="P17" i="2"/>
  <c r="S17" i="2"/>
  <c r="T17" i="2"/>
  <c r="W17" i="2"/>
  <c r="X17" i="2"/>
  <c r="AA17" i="2"/>
  <c r="AB17" i="2"/>
  <c r="AE17" i="2"/>
  <c r="AF17" i="2"/>
  <c r="K17" i="2"/>
  <c r="O18" i="2"/>
  <c r="P18" i="2"/>
  <c r="S18" i="2"/>
  <c r="T18" i="2"/>
  <c r="W18" i="2"/>
  <c r="X18" i="2"/>
  <c r="AA18" i="2"/>
  <c r="AB18" i="2"/>
  <c r="AE18" i="2"/>
  <c r="AF18" i="2"/>
  <c r="K18" i="2"/>
  <c r="L18" i="2"/>
  <c r="O19" i="2"/>
  <c r="P19" i="2"/>
  <c r="S19" i="2"/>
  <c r="T19" i="2"/>
  <c r="W19" i="2"/>
  <c r="X19" i="2"/>
  <c r="AA19" i="2"/>
  <c r="AB19" i="2"/>
  <c r="AE19" i="2"/>
  <c r="AF19" i="2"/>
  <c r="K19" i="2"/>
  <c r="L19" i="2"/>
  <c r="O20" i="2"/>
  <c r="P20" i="2"/>
  <c r="S20" i="2"/>
  <c r="T20" i="2"/>
  <c r="W20" i="2"/>
  <c r="X20" i="2"/>
  <c r="AA20" i="2"/>
  <c r="AB20" i="2"/>
  <c r="AE20" i="2"/>
  <c r="AF20" i="2"/>
  <c r="K20" i="2"/>
  <c r="L20" i="2"/>
  <c r="O21" i="2"/>
  <c r="P21" i="2"/>
  <c r="S21" i="2"/>
  <c r="T21" i="2"/>
  <c r="W21" i="2"/>
  <c r="X21" i="2"/>
  <c r="AA21" i="2"/>
  <c r="AB21" i="2"/>
  <c r="AE21" i="2"/>
  <c r="AF21" i="2"/>
  <c r="K21" i="2"/>
  <c r="L21" i="2"/>
  <c r="O22" i="2"/>
  <c r="P22" i="2"/>
  <c r="S22" i="2"/>
  <c r="T22" i="2"/>
  <c r="W22" i="2"/>
  <c r="X22" i="2"/>
  <c r="AA22" i="2"/>
  <c r="AB22" i="2"/>
  <c r="AE22" i="2"/>
  <c r="AF22" i="2"/>
  <c r="K22" i="2"/>
  <c r="O23" i="2"/>
  <c r="P23" i="2"/>
  <c r="S23" i="2"/>
  <c r="T23" i="2"/>
  <c r="W23" i="2"/>
  <c r="X23" i="2"/>
  <c r="AA23" i="2"/>
  <c r="AB23" i="2"/>
  <c r="AE23" i="2"/>
  <c r="AF23" i="2"/>
  <c r="K23" i="2"/>
  <c r="L23" i="2"/>
  <c r="O24" i="2"/>
  <c r="P24" i="2"/>
  <c r="S24" i="2"/>
  <c r="T24" i="2"/>
  <c r="W24" i="2"/>
  <c r="X24" i="2"/>
  <c r="AA24" i="2"/>
  <c r="AB24" i="2"/>
  <c r="AE24" i="2"/>
  <c r="AF24" i="2"/>
  <c r="K24" i="2"/>
  <c r="O25" i="2"/>
  <c r="P25" i="2"/>
  <c r="S25" i="2"/>
  <c r="T25" i="2"/>
  <c r="W25" i="2"/>
  <c r="X25" i="2"/>
  <c r="AA25" i="2"/>
  <c r="AB25" i="2"/>
  <c r="AE25" i="2"/>
  <c r="AF25" i="2"/>
  <c r="K25" i="2"/>
  <c r="L25" i="2"/>
  <c r="O26" i="2"/>
  <c r="P26" i="2"/>
  <c r="S26" i="2"/>
  <c r="T26" i="2"/>
  <c r="W26" i="2"/>
  <c r="X26" i="2"/>
  <c r="AA26" i="2"/>
  <c r="AB26" i="2"/>
  <c r="AE26" i="2"/>
  <c r="AF26" i="2"/>
  <c r="K26" i="2"/>
  <c r="L26" i="2"/>
  <c r="O27" i="2"/>
  <c r="P27" i="2"/>
  <c r="S27" i="2"/>
  <c r="T27" i="2"/>
  <c r="W27" i="2"/>
  <c r="X27" i="2"/>
  <c r="AA27" i="2"/>
  <c r="AB27" i="2"/>
  <c r="AE27" i="2"/>
  <c r="AF27" i="2"/>
  <c r="K27" i="2"/>
  <c r="L27" i="2"/>
  <c r="O28" i="2"/>
  <c r="P28" i="2"/>
  <c r="S28" i="2"/>
  <c r="T28" i="2"/>
  <c r="W28" i="2"/>
  <c r="X28" i="2"/>
  <c r="AA28" i="2"/>
  <c r="AB28" i="2"/>
  <c r="AE28" i="2"/>
  <c r="AF28" i="2"/>
  <c r="K28" i="2"/>
  <c r="L28" i="2"/>
  <c r="O29" i="2"/>
  <c r="P29" i="2"/>
  <c r="S29" i="2"/>
  <c r="T29" i="2"/>
  <c r="W29" i="2"/>
  <c r="X29" i="2"/>
  <c r="AA29" i="2"/>
  <c r="AB29" i="2"/>
  <c r="AE29" i="2"/>
  <c r="AF29" i="2"/>
  <c r="K29" i="2"/>
  <c r="L29" i="2"/>
  <c r="O30" i="2"/>
  <c r="P30" i="2"/>
  <c r="S30" i="2"/>
  <c r="T30" i="2"/>
  <c r="W30" i="2"/>
  <c r="X30" i="2"/>
  <c r="AA30" i="2"/>
  <c r="AB30" i="2"/>
  <c r="AE30" i="2"/>
  <c r="AF30" i="2"/>
  <c r="K30" i="2"/>
  <c r="L30" i="2"/>
  <c r="O31" i="2"/>
  <c r="P31" i="2"/>
  <c r="S31" i="2"/>
  <c r="T31" i="2"/>
  <c r="W31" i="2"/>
  <c r="X31" i="2"/>
  <c r="AA31" i="2"/>
  <c r="AB31" i="2"/>
  <c r="AE31" i="2"/>
  <c r="AF31" i="2"/>
  <c r="K31" i="2"/>
  <c r="L31" i="2"/>
  <c r="O32" i="2"/>
  <c r="P32" i="2"/>
  <c r="S32" i="2"/>
  <c r="T32" i="2"/>
  <c r="W32" i="2"/>
  <c r="X32" i="2"/>
  <c r="AA32" i="2"/>
  <c r="AB32" i="2"/>
  <c r="AE32" i="2"/>
  <c r="AF32" i="2"/>
  <c r="K32" i="2"/>
  <c r="L32" i="2"/>
  <c r="O33" i="2"/>
  <c r="P33" i="2"/>
  <c r="S33" i="2"/>
  <c r="T33" i="2"/>
  <c r="W33" i="2"/>
  <c r="X33" i="2"/>
  <c r="AA33" i="2"/>
  <c r="AB33" i="2"/>
  <c r="AE33" i="2"/>
  <c r="AF33" i="2"/>
  <c r="K33" i="2"/>
  <c r="L33" i="2"/>
  <c r="O34" i="2"/>
  <c r="P34" i="2"/>
  <c r="S34" i="2"/>
  <c r="T34" i="2"/>
  <c r="W34" i="2"/>
  <c r="X34" i="2"/>
  <c r="AA34" i="2"/>
  <c r="AB34" i="2"/>
  <c r="AE34" i="2"/>
  <c r="AF34" i="2"/>
  <c r="K34" i="2"/>
  <c r="L34" i="2"/>
  <c r="AE35" i="2"/>
  <c r="AF35" i="2"/>
  <c r="O35" i="2"/>
  <c r="P35" i="2"/>
  <c r="S35" i="2"/>
  <c r="T35" i="2"/>
  <c r="W35" i="2"/>
  <c r="X35" i="2"/>
  <c r="AA35" i="2"/>
  <c r="AB35" i="2"/>
  <c r="K35" i="2"/>
  <c r="L35" i="2"/>
  <c r="Y39" i="3"/>
  <c r="V39" i="3"/>
  <c r="S39" i="3"/>
  <c r="P39" i="3"/>
  <c r="M39" i="3"/>
  <c r="J39" i="3"/>
  <c r="L24" i="2"/>
  <c r="L22" i="2"/>
  <c r="L17" i="2"/>
  <c r="L9" i="2"/>
  <c r="N35" i="4" a="1"/>
  <c r="O27" i="4" a="1"/>
  <c r="O26" i="4" a="1"/>
  <c r="O25" i="4" a="1"/>
  <c r="E6" i="4"/>
  <c r="V21" i="4"/>
  <c r="F36" i="4" a="1"/>
  <c r="K6" i="4"/>
  <c r="M24" i="4" a="1"/>
  <c r="O22" i="4" a="1"/>
  <c r="G2" i="16" a="1"/>
  <c r="P5" i="4" a="1"/>
  <c r="M25" i="4" a="1"/>
  <c r="D5" i="4" a="1"/>
  <c r="V6" i="4"/>
  <c r="U5" i="4" a="1"/>
  <c r="O23" i="4" a="1"/>
  <c r="O24" i="4" a="1"/>
  <c r="M26" i="4" a="1"/>
  <c r="J5" i="4" a="1"/>
  <c r="M27" i="4" a="1"/>
  <c r="Q35" i="4" a="1"/>
  <c r="M23" i="4" a="1"/>
  <c r="U20" i="4" a="1"/>
  <c r="Q6" i="4"/>
  <c r="L35" i="4" a="1"/>
  <c r="M35" i="4" a="1"/>
  <c r="M22" i="4" a="1"/>
  <c r="F36" i="4" l="1"/>
  <c r="M27" i="4"/>
  <c r="N27" i="4" s="1"/>
  <c r="M26" i="4"/>
  <c r="N26" i="4" s="1"/>
  <c r="O22" i="4"/>
  <c r="Q35" i="4"/>
  <c r="O27" i="4"/>
  <c r="N35" i="4"/>
  <c r="M35" i="4"/>
  <c r="M25" i="4"/>
  <c r="N25" i="4" s="1"/>
  <c r="G2" i="16"/>
  <c r="O25" i="4"/>
  <c r="D5" i="4"/>
  <c r="O26" i="4"/>
  <c r="U20" i="4"/>
  <c r="O24" i="4"/>
  <c r="U5" i="4"/>
  <c r="M24" i="4"/>
  <c r="N24" i="4" s="1"/>
  <c r="M22" i="4"/>
  <c r="N22" i="4" s="1"/>
  <c r="P5" i="4"/>
  <c r="J5" i="4"/>
  <c r="O23" i="4"/>
  <c r="M23" i="4"/>
  <c r="N23" i="4" s="1"/>
  <c r="L35" i="4"/>
  <c r="A36" i="4" a="1"/>
  <c r="A36"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<sst xmlns="http://schemas.openxmlformats.org/spreadsheetml/2006/main" count="2421" uniqueCount="682">
  <si>
    <t>Roll</t>
  </si>
  <si>
    <t>Niveau</t>
  </si>
  <si>
    <t>XP Equipe</t>
  </si>
  <si>
    <t>Niveau de zone</t>
  </si>
  <si>
    <t>Roll Crit</t>
  </si>
  <si>
    <t>Pierre</t>
  </si>
  <si>
    <t>Mage Rouge</t>
  </si>
  <si>
    <t>Action</t>
  </si>
  <si>
    <t>Vincent</t>
  </si>
  <si>
    <t>Romain</t>
  </si>
  <si>
    <t>Ludovic</t>
  </si>
  <si>
    <t>Voleur</t>
  </si>
  <si>
    <t>Bâton de mage</t>
  </si>
  <si>
    <t>Magie</t>
  </si>
  <si>
    <t>Sceptre de la foi</t>
  </si>
  <si>
    <t>Dague en fer</t>
  </si>
  <si>
    <t>PV</t>
  </si>
  <si>
    <t>Brasier +</t>
  </si>
  <si>
    <t>Brasier X</t>
  </si>
  <si>
    <t>Brasier</t>
  </si>
  <si>
    <t>Pas de l'Ombre</t>
  </si>
  <si>
    <t>Mana</t>
  </si>
  <si>
    <t>Cible</t>
  </si>
  <si>
    <t>Force</t>
  </si>
  <si>
    <t>Dragon de glace</t>
  </si>
  <si>
    <t>Yéti</t>
  </si>
  <si>
    <t>Dextérité</t>
  </si>
  <si>
    <t>Endurance</t>
  </si>
  <si>
    <t>Intelligence</t>
  </si>
  <si>
    <t>Perception</t>
  </si>
  <si>
    <t>AP</t>
  </si>
  <si>
    <t>Charisme</t>
  </si>
  <si>
    <t>Lukas le BG</t>
  </si>
  <si>
    <t>Inventaire</t>
  </si>
  <si>
    <t>Ennemis</t>
  </si>
  <si>
    <t>PV max</t>
  </si>
  <si>
    <t>XP</t>
  </si>
  <si>
    <t>Attaque</t>
  </si>
  <si>
    <t>Gold</t>
  </si>
  <si>
    <t>Bois</t>
  </si>
  <si>
    <t>???</t>
  </si>
  <si>
    <t>Baton de mage</t>
  </si>
  <si>
    <t>Loup</t>
  </si>
  <si>
    <t>Marteau</t>
  </si>
  <si>
    <t>Bombo Feu</t>
  </si>
  <si>
    <t>Bombo Foudre</t>
  </si>
  <si>
    <t>Sort</t>
  </si>
  <si>
    <t>roll</t>
  </si>
  <si>
    <t xml:space="preserve">Dégâts </t>
  </si>
  <si>
    <t>=</t>
  </si>
  <si>
    <t>Nom</t>
  </si>
  <si>
    <t>Type</t>
  </si>
  <si>
    <t>Effet</t>
  </si>
  <si>
    <t>Prix d'achat</t>
  </si>
  <si>
    <t>Base de revente</t>
  </si>
  <si>
    <t>zoneThreshold</t>
  </si>
  <si>
    <t>Epée en fer</t>
  </si>
  <si>
    <t>Arme</t>
  </si>
  <si>
    <t>Epée de mithril</t>
  </si>
  <si>
    <t>Epée Sanguine</t>
  </si>
  <si>
    <t>Epée Runique</t>
  </si>
  <si>
    <t>Diamantine</t>
  </si>
  <si>
    <t>Vengeresse</t>
  </si>
  <si>
    <t>Dévoreuse</t>
  </si>
  <si>
    <t>Calamité</t>
  </si>
  <si>
    <t>Excalibur</t>
  </si>
  <si>
    <t>Ragnarok</t>
  </si>
  <si>
    <t>Bandages</t>
  </si>
  <si>
    <t>Griffes de chat</t>
  </si>
  <si>
    <t>Poings soniques</t>
  </si>
  <si>
    <t>Griffes infernales</t>
  </si>
  <si>
    <t>Griffes du tigre</t>
  </si>
  <si>
    <t>Mains de Dieu</t>
  </si>
  <si>
    <t>Marteau de guerre</t>
  </si>
  <si>
    <t>Règle cylindrique</t>
  </si>
  <si>
    <t>Marteau de mithril</t>
  </si>
  <si>
    <t>Mjölnir</t>
  </si>
  <si>
    <t>Héphaïstos</t>
  </si>
  <si>
    <t>Masse d'arme</t>
  </si>
  <si>
    <t>Masse de bronze</t>
  </si>
  <si>
    <t>Masse du délire</t>
  </si>
  <si>
    <t>Crosse de diamant</t>
  </si>
  <si>
    <t>Masse de Zeus</t>
  </si>
  <si>
    <t>Masse de maître</t>
  </si>
  <si>
    <t>Lance de mithril</t>
  </si>
  <si>
    <t>Bardiche</t>
  </si>
  <si>
    <t>Obélisque</t>
  </si>
  <si>
    <t>Barbe de dragon</t>
  </si>
  <si>
    <t>Lance du Zodiaque</t>
  </si>
  <si>
    <t>Gungnir</t>
  </si>
  <si>
    <t>Bâton doré</t>
  </si>
  <si>
    <t>Caducée</t>
  </si>
  <si>
    <t>Sceptre Ophidien</t>
  </si>
  <si>
    <t>Sceptre Céleste</t>
  </si>
  <si>
    <t>Kotetsu</t>
  </si>
  <si>
    <t>Osafune</t>
  </si>
  <si>
    <t>Murasame</t>
  </si>
  <si>
    <t>Kuki-Ichimonji</t>
  </si>
  <si>
    <t>Murakumo</t>
  </si>
  <si>
    <t>Masamune</t>
  </si>
  <si>
    <t>Coutelas</t>
  </si>
  <si>
    <t>Main gauche</t>
  </si>
  <si>
    <t>Kukris</t>
  </si>
  <si>
    <t>Orochi</t>
  </si>
  <si>
    <t>Dague Zorin</t>
  </si>
  <si>
    <t>Arc court</t>
  </si>
  <si>
    <t>Arc de chasse</t>
  </si>
  <si>
    <t>Arc Assassin</t>
  </si>
  <si>
    <t>Arc elfique</t>
  </si>
  <si>
    <t>Arc d'Artemis</t>
  </si>
  <si>
    <t>Sagittaire</t>
  </si>
  <si>
    <t>Consommable</t>
  </si>
  <si>
    <t xml:space="preserve">utilisable à n’importe quel moment en mode aventure, termine le tour complet de l’équipe rend les points de vie, AP et Mana, ne ranime pas les alliés morts </t>
  </si>
  <si>
    <t xml:space="preserve">Potion </t>
  </si>
  <si>
    <t xml:space="preserve">rend 5 PV </t>
  </si>
  <si>
    <t xml:space="preserve">Potion+ </t>
  </si>
  <si>
    <t xml:space="preserve">la moitié des PV Max </t>
  </si>
  <si>
    <t xml:space="preserve">Potion X </t>
  </si>
  <si>
    <t>rend tous les points de vie</t>
  </si>
  <si>
    <t xml:space="preserve">Ether </t>
  </si>
  <si>
    <t xml:space="preserve">rend 3 de Mana </t>
  </si>
  <si>
    <t xml:space="preserve">Ether + </t>
  </si>
  <si>
    <t xml:space="preserve">rend 6 de Mana </t>
  </si>
  <si>
    <t xml:space="preserve">Ether X </t>
  </si>
  <si>
    <t xml:space="preserve"> rend tous les points de Mana </t>
  </si>
  <si>
    <t xml:space="preserve">Elixir </t>
  </si>
  <si>
    <t>rend tous les points de vie et points de mana</t>
  </si>
  <si>
    <t>Queue de phénix</t>
  </si>
  <si>
    <t xml:space="preserve">ranime un allié avec la moitié de ses PV Max </t>
  </si>
  <si>
    <t xml:space="preserve">Antidote universel </t>
  </si>
  <si>
    <t>guérit des poisons</t>
  </si>
  <si>
    <t>Collyre</t>
  </si>
  <si>
    <t xml:space="preserve">soigne “Aveuglement” </t>
  </si>
  <si>
    <t xml:space="preserve">Bocca </t>
  </si>
  <si>
    <t xml:space="preserve">soigne “Mutisme” </t>
  </si>
  <si>
    <t>Défigeur</t>
  </si>
  <si>
    <t xml:space="preserve">soigne “Fossile” </t>
  </si>
  <si>
    <t xml:space="preserve">Sérum </t>
  </si>
  <si>
    <t xml:space="preserve">guérit de toutes les altérations d’état </t>
  </si>
  <si>
    <t xml:space="preserve">Repousse </t>
  </si>
  <si>
    <t xml:space="preserve">décale les seuils de rencontres aléatoires de 1 pour 3 tours complet </t>
  </si>
  <si>
    <t xml:space="preserve">Corde Sortie </t>
  </si>
  <si>
    <t>sortie du donjon</t>
  </si>
  <si>
    <t>Suivi XP</t>
  </si>
  <si>
    <t>Classe</t>
  </si>
  <si>
    <t>XP Total</t>
  </si>
  <si>
    <t>Ludo</t>
  </si>
  <si>
    <t>Attaque normale</t>
  </si>
  <si>
    <t>Berseker</t>
  </si>
  <si>
    <t>Ennemi</t>
  </si>
  <si>
    <t>Zone</t>
  </si>
  <si>
    <t>Main Stat</t>
  </si>
  <si>
    <t>Sub Stat</t>
  </si>
  <si>
    <t>Weapon Stat</t>
  </si>
  <si>
    <t>Weapon Sub Stat</t>
  </si>
  <si>
    <t>faiblesse/résistance</t>
  </si>
  <si>
    <t>Crit</t>
  </si>
  <si>
    <t>Dégât</t>
  </si>
  <si>
    <t>Marqueurs</t>
  </si>
  <si>
    <t>Dégats</t>
  </si>
  <si>
    <t>Frelon</t>
  </si>
  <si>
    <t>Ludo mage blanc</t>
  </si>
  <si>
    <t>Romain mage rouge</t>
  </si>
  <si>
    <t>Pierre mage noir</t>
  </si>
  <si>
    <t>Vincent mage bleu</t>
  </si>
  <si>
    <t>Mateus</t>
  </si>
  <si>
    <t>Attaque magique</t>
  </si>
  <si>
    <t>Poison</t>
  </si>
  <si>
    <t>PV Max</t>
  </si>
  <si>
    <t>Nb tours</t>
  </si>
  <si>
    <t>PV restants</t>
  </si>
  <si>
    <t>PV perdus</t>
  </si>
  <si>
    <t>Foudre</t>
  </si>
  <si>
    <t>Zéromus</t>
  </si>
  <si>
    <t>Ultima T5</t>
  </si>
  <si>
    <t>Sidéral</t>
  </si>
  <si>
    <t>Astromancien</t>
  </si>
  <si>
    <t>Roi des couronnes</t>
  </si>
  <si>
    <t>Démons</t>
  </si>
  <si>
    <t>Faiblesse/résistance</t>
  </si>
  <si>
    <t>Somme dégats mag.</t>
  </si>
  <si>
    <t>Mateus T1</t>
  </si>
  <si>
    <t>Mateus T4</t>
  </si>
  <si>
    <t>Mateus T5</t>
  </si>
  <si>
    <t>Bélias T1</t>
  </si>
  <si>
    <t>Bélias T3</t>
  </si>
  <si>
    <t>Bélias T4</t>
  </si>
  <si>
    <t>Adrammelech T1</t>
  </si>
  <si>
    <t>Adrammelech T3</t>
  </si>
  <si>
    <t>Adrammelech T5</t>
  </si>
  <si>
    <t>Adrammelech T6</t>
  </si>
  <si>
    <t>Hashmal T1</t>
  </si>
  <si>
    <t>Hashmal T3</t>
  </si>
  <si>
    <t>Hashmal T4</t>
  </si>
  <si>
    <t>Zéromus T1</t>
  </si>
  <si>
    <t>Zéromus T2</t>
  </si>
  <si>
    <t>Zéromus T3</t>
  </si>
  <si>
    <t>Ultima T1</t>
  </si>
  <si>
    <t>Ultima T2</t>
  </si>
  <si>
    <t>Ultima T3</t>
  </si>
  <si>
    <t>Invocations</t>
  </si>
  <si>
    <t>Cyclone écarlate</t>
  </si>
  <si>
    <t>Onde incendiaire</t>
  </si>
  <si>
    <t>Feu résurrecteur</t>
  </si>
  <si>
    <t>Rapacité</t>
  </si>
  <si>
    <t>Virevolte captivante</t>
  </si>
  <si>
    <t>Rafale aérienne</t>
  </si>
  <si>
    <t>Tempête de foudre</t>
  </si>
  <si>
    <t>Tonnerre grondant</t>
  </si>
  <si>
    <t>Foudre du jugement</t>
  </si>
  <si>
    <t>Crochet tellurique</t>
  </si>
  <si>
    <t>Tumulte</t>
  </si>
  <si>
    <t>Fureur tellurique</t>
  </si>
  <si>
    <t>Eruption de glace</t>
  </si>
  <si>
    <t>Frimas frigorifiant</t>
  </si>
  <si>
    <t>Poussière de diamant</t>
  </si>
  <si>
    <t>Danse des lames</t>
  </si>
  <si>
    <t>Zantetsuken</t>
  </si>
  <si>
    <t>Compétences</t>
  </si>
  <si>
    <t>Wp Sub Stat</t>
  </si>
  <si>
    <t>Percée</t>
  </si>
  <si>
    <t>Allonge</t>
  </si>
  <si>
    <t>Frappe tournoyante</t>
  </si>
  <si>
    <t>Rétribution</t>
  </si>
  <si>
    <t>Frappe mystique</t>
  </si>
  <si>
    <t>Dévorâme</t>
  </si>
  <si>
    <t>Frappe empoisonnée</t>
  </si>
  <si>
    <t>Vortex</t>
  </si>
  <si>
    <t>Frappe critique</t>
  </si>
  <si>
    <t>Frappes mortelles</t>
  </si>
  <si>
    <t>Volée de coup</t>
  </si>
  <si>
    <t>Mutisme</t>
  </si>
  <si>
    <t>Assassinat</t>
  </si>
  <si>
    <t>Hossha</t>
  </si>
  <si>
    <t>Ichijin</t>
  </si>
  <si>
    <t>Shousen</t>
  </si>
  <si>
    <t>Jubaku</t>
  </si>
  <si>
    <t>Frappe fatale</t>
  </si>
  <si>
    <t>Name</t>
  </si>
  <si>
    <t>element</t>
  </si>
  <si>
    <t>cost</t>
  </si>
  <si>
    <t>power</t>
  </si>
  <si>
    <t>hp</t>
  </si>
  <si>
    <t>status</t>
  </si>
  <si>
    <t>Durée</t>
  </si>
  <si>
    <t>Feu</t>
  </si>
  <si>
    <t>[]</t>
  </si>
  <si>
    <t>Projette une boule de feu sur l'ennemi</t>
  </si>
  <si>
    <t>Glacier</t>
  </si>
  <si>
    <t>Glace</t>
  </si>
  <si>
    <t>Projette un cristal de glace sur l'ennemi</t>
  </si>
  <si>
    <t>Envoie un éclair sur l'ennemi</t>
  </si>
  <si>
    <t>Projette une grosse boule de feu sur l'ennemi</t>
  </si>
  <si>
    <t>Glacier +</t>
  </si>
  <si>
    <t>Projette un gros cristal de glace sur l'ennemi</t>
  </si>
  <si>
    <t>Foudre +</t>
  </si>
  <si>
    <t>Fais s'abattre un éclair sur l'ennemi</t>
  </si>
  <si>
    <t>Projette une énorme boule de feu sur l'ennemi</t>
  </si>
  <si>
    <t>Glacier X</t>
  </si>
  <si>
    <t>Projette un énorme cristal de glace sur l'ennemi</t>
  </si>
  <si>
    <t>Foudre X</t>
  </si>
  <si>
    <t>Fais s'abattre une pluie d'éclair sur l'ennemi</t>
  </si>
  <si>
    <t>Séisme</t>
  </si>
  <si>
    <t>Terre</t>
  </si>
  <si>
    <t xml:space="preserve">Fais trembler le sol sous les ennemis </t>
  </si>
  <si>
    <t>Ouragan</t>
  </si>
  <si>
    <t>Air</t>
  </si>
  <si>
    <t>Invoque un énorme tourbillon sur les ennemis</t>
  </si>
  <si>
    <t>Atomnium</t>
  </si>
  <si>
    <t>Crée un trou noir qui englouti les ennemis et leur inflide des dégâts</t>
  </si>
  <si>
    <t>Ténèbres</t>
  </si>
  <si>
    <t>Ténèbre</t>
  </si>
  <si>
    <t>null</t>
  </si>
  <si>
    <t>Sacrifie la moitié de ses PV pour réduire de moitié les PV de l'ennemi</t>
  </si>
  <si>
    <t>Toxine</t>
  </si>
  <si>
    <t>[{"description" : "Poison", "nbTurnEffect" : null}]</t>
  </si>
  <si>
    <t>Empoisonne l'ennemi</t>
  </si>
  <si>
    <t>Morphée</t>
  </si>
  <si>
    <t>[{"description" : "Paralysie", "nbTurnEffect" : 2}]</t>
  </si>
  <si>
    <t>Fais dormir un ennemi</t>
  </si>
  <si>
    <t>Fièvre</t>
  </si>
  <si>
    <t>[{"description" : "Confusion", "nbTurnEffect" : 2}]</t>
  </si>
  <si>
    <t>Rend un ennemi confus</t>
  </si>
  <si>
    <t>Mort</t>
  </si>
  <si>
    <t>[{"description" : "Mort", "nbTurnEffect" : null}]</t>
  </si>
  <si>
    <t>Tue un ennemi instantanément</t>
  </si>
  <si>
    <t>Allié</t>
  </si>
  <si>
    <t>Célérité</t>
  </si>
  <si>
    <t>[{"description" : "Célérité", "nbTurnEffect" : 3}]</t>
  </si>
  <si>
    <t>Permet une action supplémentaire sur un allié ou soi-même</t>
  </si>
  <si>
    <t>Fureur</t>
  </si>
  <si>
    <t>[{"description" : "Fureur", "nbTurnEffect" : 2}]</t>
  </si>
  <si>
    <t>Augmente la statistique de Force et de Dex de 2 de la cible mais oblige une attaque normale</t>
  </si>
  <si>
    <t>Rage</t>
  </si>
  <si>
    <t>[{"description" : "Rage", "nbTurnEffect" : 2}]</t>
  </si>
  <si>
    <t>Augmente la statistique de Force et de Dex de 1 de la cible mais oblige une attaque normale</t>
  </si>
  <si>
    <t>Renvoi</t>
  </si>
  <si>
    <t>[{"description" : "Renvoi", "nbTurnEffect" : null}]</t>
  </si>
  <si>
    <t>Fuite forcée en combat, corde de sortie en mode aventure</t>
  </si>
  <si>
    <t>Saignée</t>
  </si>
  <si>
    <t>[{"description" : "Saignée", "nbTurnEffect" : null}]</t>
  </si>
  <si>
    <t>Absorbe les points de vie d'un adversaire équivalent à l'endurance du personnage fois son roll</t>
  </si>
  <si>
    <t>Supplice</t>
  </si>
  <si>
    <t>[{"description" : "Supplice", "nbTurnEffect" : null}]</t>
  </si>
  <si>
    <t>Empoisonne l'ennemi et peut infliger Mort si roll=6</t>
  </si>
  <si>
    <t>Soin</t>
  </si>
  <si>
    <t>Sacré</t>
  </si>
  <si>
    <t>Soigne 3PV d'un allié</t>
  </si>
  <si>
    <t>Grâce</t>
  </si>
  <si>
    <t>[{"description" : "Grace", "nbTurnEffect" : 3}]</t>
  </si>
  <si>
    <t>Rend un peu PV à chaque tour</t>
  </si>
  <si>
    <t>Lumen</t>
  </si>
  <si>
    <t>Eclaire les ennemis d'une lumière sacrée</t>
  </si>
  <si>
    <t>Soin +</t>
  </si>
  <si>
    <t>Soigne 7PV d'un allié</t>
  </si>
  <si>
    <t>Grâce +</t>
  </si>
  <si>
    <t>[{"description" : "Grace+", "nbTurnEffect" : 4}]</t>
  </si>
  <si>
    <t>Rend des PV à chaque tour</t>
  </si>
  <si>
    <t>Lumen +</t>
  </si>
  <si>
    <t>Illumine les ennemis d'une lumière sacrée</t>
  </si>
  <si>
    <t>Soin X</t>
  </si>
  <si>
    <t>Soigne 15PV d'un allié</t>
  </si>
  <si>
    <t>Grâce X</t>
  </si>
  <si>
    <t>[{"description" : "GraceX", "nbTurnEffect" : 5}]</t>
  </si>
  <si>
    <t>Rend plusieurs PV à chaque tour</t>
  </si>
  <si>
    <t>Lumen X</t>
  </si>
  <si>
    <t>Inonde les ennemis d'une lumière sacrée</t>
  </si>
  <si>
    <t>Esuna</t>
  </si>
  <si>
    <t>[{"description" : "Esuna", "nbTurnEffect" : null}]</t>
  </si>
  <si>
    <t>Soigne les altérations de status</t>
  </si>
  <si>
    <t>Vie</t>
  </si>
  <si>
    <t>Ranime un allié KO</t>
  </si>
  <si>
    <t>Vie +</t>
  </si>
  <si>
    <t>Vie X</t>
  </si>
  <si>
    <t>Dissipation</t>
  </si>
  <si>
    <t>[{"description" : "Dissipation", "nbTurnEffect" : null}]</t>
  </si>
  <si>
    <t>Dissipe les statuts d'une cible</t>
  </si>
  <si>
    <t>Barrière</t>
  </si>
  <si>
    <t>[{"description" : "Barrière", "nbTurnEffect" : 3}]</t>
  </si>
  <si>
    <t>Protège des altérations de statuts pendant 3 tours</t>
  </si>
  <si>
    <t>Invoque une colonne de lumière divine sur la cible</t>
  </si>
  <si>
    <t>name</t>
  </si>
  <si>
    <t>Description</t>
  </si>
  <si>
    <t>endCondition</t>
  </si>
  <si>
    <t>La cible perd 1/16 de ses points de vie à la fin de chaque tour, tant que le combat est actif</t>
  </si>
  <si>
    <t>Antidote, sérum</t>
  </si>
  <si>
    <t>Sommeil</t>
  </si>
  <si>
    <t>La cible ne peut effectuer aucune action</t>
  </si>
  <si>
    <t>Durée, fin de combat</t>
  </si>
  <si>
    <t>Fossile</t>
  </si>
  <si>
    <t>Defigeur, sérum</t>
  </si>
  <si>
    <t>La cible ne peut plus lancer de magie</t>
  </si>
  <si>
    <t>Bocca, sérum</t>
  </si>
  <si>
    <t>Paralysie</t>
  </si>
  <si>
    <t>La cible a 30% de chance ne pouvoir effectuer aucune action</t>
  </si>
  <si>
    <t>50% de chance à la fin d'un tour, fin du combat</t>
  </si>
  <si>
    <t>Aveuglement</t>
  </si>
  <si>
    <t>La cible a 30% de chance d'échouer son attaque</t>
  </si>
  <si>
    <t>Collyre, sérum</t>
  </si>
  <si>
    <t>Confusion</t>
  </si>
  <si>
    <t>La cible a 30% de chance d'échouer son attaque et de s'infliger 1/20 de ses pv</t>
  </si>
  <si>
    <t>La cible peut effectuer deux actions par tour</t>
  </si>
  <si>
    <t>Augmente la statistique de Force de 2 d'un allié ou soi-même mais oblige une attaque normale</t>
  </si>
  <si>
    <t>Augmente la statistique de Force de 1 d'un allié ou soi-même mais oblige une attaque normale</t>
  </si>
  <si>
    <t>Grace</t>
  </si>
  <si>
    <t>Rend 3PV à chaque tour</t>
  </si>
  <si>
    <t>Grace+</t>
  </si>
  <si>
    <t>Rend 4PV à chaque tour</t>
  </si>
  <si>
    <t>GraceX</t>
  </si>
  <si>
    <t>Rend 5PV à chaque tour</t>
  </si>
  <si>
    <t>Protège la cible des altérations de statuts bonnes et mauvaise</t>
  </si>
  <si>
    <t>Crit+</t>
  </si>
  <si>
    <t>Baisse le seuil de critique de 1</t>
  </si>
  <si>
    <t>Crit++</t>
  </si>
  <si>
    <t>Baisse le seuil de critique de 2</t>
  </si>
  <si>
    <t>Element</t>
  </si>
  <si>
    <t>Coût</t>
  </si>
  <si>
    <t>Puissance</t>
  </si>
  <si>
    <t>PV rendus</t>
  </si>
  <si>
    <t>Evolution</t>
  </si>
  <si>
    <t>type</t>
  </si>
  <si>
    <t>Portée</t>
  </si>
  <si>
    <t>Statut Allié</t>
  </si>
  <si>
    <t>Statut Ennemi</t>
  </si>
  <si>
    <t>Message</t>
  </si>
  <si>
    <t>Vol</t>
  </si>
  <si>
    <t>Monocible</t>
  </si>
  <si>
    <t>Vol un objet de la cible</t>
  </si>
  <si>
    <t xml:space="preserve">Vol sur </t>
  </si>
  <si>
    <t>Pas de l'ombre</t>
  </si>
  <si>
    <t>Téléporte derrière la cible et augmente le taux de coup critique jusqu'à être touché</t>
  </si>
  <si>
    <t xml:space="preserve">Est derrière </t>
  </si>
  <si>
    <t>Recouvre l'arme de Poison pour frapper l'ennemi</t>
  </si>
  <si>
    <t>Multicible</t>
  </si>
  <si>
    <t>1 case autour</t>
  </si>
  <si>
    <t>Attaque tous les ennemis autour du lanceur</t>
  </si>
  <si>
    <t>Execute une attaque normale avec critique obligatoire</t>
  </si>
  <si>
    <t>Précision mortelle</t>
  </si>
  <si>
    <t>2 tours</t>
  </si>
  <si>
    <t>Aguise ses lames</t>
  </si>
  <si>
    <t>Volée de coups</t>
  </si>
  <si>
    <t>2 attaques très rapides sur l'adversaire en face</t>
  </si>
  <si>
    <t>Assassin</t>
  </si>
  <si>
    <t>Invisibilité</t>
  </si>
  <si>
    <t>target.weakness[0]</t>
  </si>
  <si>
    <t>Frappe instannément la cible avec une attaque super efficace</t>
  </si>
  <si>
    <t>Ninja</t>
  </si>
  <si>
    <t>Frappe l’ennemi avec la peur de la mort, celui-ci recule. Attaque chargée de l’élément Glace </t>
  </si>
  <si>
    <t>Plonge en avant d’une case pour attaquer l’adversaire</t>
  </si>
  <si>
    <t>Mort (6)</t>
  </si>
  <si>
    <t>Le froid de la mort s’empare de la lame. Attaque chargée de l’élément Glace</t>
  </si>
  <si>
    <t>+2 tours de statuts adv.</t>
  </si>
  <si>
    <t>Coup critique instantané </t>
  </si>
  <si>
    <t>Mage Bleu</t>
  </si>
  <si>
    <t>Acuité</t>
  </si>
  <si>
    <t>Détecte les charactériques de la cible</t>
  </si>
  <si>
    <t>Apprentissage</t>
  </si>
  <si>
    <t>Apprend une attaque aléatoire de la cible</t>
  </si>
  <si>
    <t>Dard empoisonné</t>
  </si>
  <si>
    <t>Lance Pierre</t>
  </si>
  <si>
    <t>Lancer d'une pierre</t>
  </si>
  <si>
    <t>Toile Gluante</t>
  </si>
  <si>
    <t>Appel à la meute</t>
  </si>
  <si>
    <t>Fais apparaître un allié sur une case adjacente inoccupé</t>
  </si>
  <si>
    <t>Rapace</t>
  </si>
  <si>
    <t>Écrasement</t>
  </si>
  <si>
    <t>Ruée mortelle</t>
  </si>
  <si>
    <t xml:space="preserve">Se rue sur l'adversaire et </t>
  </si>
  <si>
    <t>Saut</t>
  </si>
  <si>
    <t>Disparaît au premier tour, frappe au second et atterit sur une case adjacente libre de la cible</t>
  </si>
  <si>
    <t>Double Saut</t>
  </si>
  <si>
    <t>Comme Saut mais attaque deux fois d'affilé, si la première cible meurt, une autre cible est visée</t>
  </si>
  <si>
    <t>Glissade gelée</t>
  </si>
  <si>
    <t>Glisse jusqu'à l'ennemi le plus proche</t>
  </si>
  <si>
    <t>Poing élastique</t>
  </si>
  <si>
    <t>Brise garde</t>
  </si>
  <si>
    <t>Souffle putride :</t>
  </si>
  <si>
    <t>18% des PV Max adverses (x2 si empoisonné)</t>
  </si>
  <si>
    <t>Souffle gelé </t>
  </si>
  <si>
    <t>20 % des PV Max, (Lancé Pair, paralyse l’ennemi)</t>
  </si>
  <si>
    <t xml:space="preserve">Morsure </t>
  </si>
  <si>
    <t>ATK*2</t>
  </si>
  <si>
    <t>Coup de massue</t>
  </si>
  <si>
    <t>2 cases autour</t>
  </si>
  <si>
    <t>Statut</t>
  </si>
  <si>
    <t>Epée</t>
  </si>
  <si>
    <t>Immunité magie</t>
  </si>
  <si>
    <t>Poings</t>
  </si>
  <si>
    <t>Masses</t>
  </si>
  <si>
    <t>Lance</t>
  </si>
  <si>
    <t>Sceptre</t>
  </si>
  <si>
    <t>Argent+</t>
  </si>
  <si>
    <t>Foi</t>
  </si>
  <si>
    <t>Katana</t>
  </si>
  <si>
    <t>Dagues</t>
  </si>
  <si>
    <t>Arc</t>
  </si>
  <si>
    <t>No roll</t>
  </si>
  <si>
    <t>Actions</t>
  </si>
  <si>
    <t>0.5</t>
  </si>
  <si>
    <t>Compétence</t>
  </si>
  <si>
    <t>Rank</t>
  </si>
  <si>
    <t>Indice</t>
  </si>
  <si>
    <t>Faiblesse</t>
  </si>
  <si>
    <t>Résistance</t>
  </si>
  <si>
    <t>ATK</t>
  </si>
  <si>
    <t>Gobelin</t>
  </si>
  <si>
    <t>Lance Pierre (5 cases)</t>
  </si>
  <si>
    <t>Veuve noire</t>
  </si>
  <si>
    <t>Vautour</t>
  </si>
  <si>
    <t>Feu (abs.)</t>
  </si>
  <si>
    <t>Brasier
Explosion : Sacrifie ses PV restants et
Inflige l’équivant le ses PV Max en dégâts</t>
  </si>
  <si>
    <t>Explose si
PV &lt; 1/3 PV Max</t>
  </si>
  <si>
    <t>Bombo Glace</t>
  </si>
  <si>
    <t>Glace (abs.)</t>
  </si>
  <si>
    <t>Glacier
Explosion : Sacrifie ses PV restants et
Inflige l’équivant le ses PV Max en dégâts</t>
  </si>
  <si>
    <t>Bombo Terre</t>
  </si>
  <si>
    <t>Terre (abs.)
Foudre</t>
  </si>
  <si>
    <t>Tremblement
Explosion : Sacrifie ses PV restants et
Inflige l’équivant le ses PV Max en dégâts</t>
  </si>
  <si>
    <t>Bombo Air</t>
  </si>
  <si>
    <t>Air (abs.)
Terre (Imm.)</t>
  </si>
  <si>
    <t>Air
Explosion : Sacrifie ses PV restants et
Inflige l’équivant le ses PV Max en dégâts</t>
  </si>
  <si>
    <t>Foudre (abs.)
Air</t>
  </si>
  <si>
    <t>Foudre
Explosion : Sacrifie ses PV restants et
Inflige l’équivant le ses PV Max en dégâts</t>
  </si>
  <si>
    <t>Cendre Bombo</t>
  </si>
  <si>
    <t>Lumen
Explosion : Sacrifie ses PV restants et
Inflige l’équivant le ses PV Max en dégâts</t>
  </si>
  <si>
    <t>Mage gobelin</t>
  </si>
  <si>
    <t>Ruine</t>
  </si>
  <si>
    <t>N’attaque pas s’il est collé</t>
  </si>
  <si>
    <t>Lézard ailé</t>
  </si>
  <si>
    <t>Air Foudre</t>
  </si>
  <si>
    <t xml:space="preserve">Glace  </t>
  </si>
  <si>
    <t>Ahriman</t>
  </si>
  <si>
    <t>Dragonnet</t>
  </si>
  <si>
    <t>Bandits</t>
  </si>
  <si>
    <t>Troll</t>
  </si>
  <si>
    <t>Écrasement (1 case)
Coup de massue (2 cases autour)</t>
  </si>
  <si>
    <t>Coeurl</t>
  </si>
  <si>
    <t>Chevalier mort vivant</t>
  </si>
  <si>
    <t>Feu/Sacré</t>
  </si>
  <si>
    <t>Garde dragon</t>
  </si>
  <si>
    <t>Glace Foudre Air</t>
  </si>
  <si>
    <t xml:space="preserve">Feu  </t>
  </si>
  <si>
    <t>Saut,
Double Saut</t>
  </si>
  <si>
    <t>Glacier +
Glissade gelée</t>
  </si>
  <si>
    <t>Griffon</t>
  </si>
  <si>
    <t xml:space="preserve">Air  </t>
  </si>
  <si>
    <t>Air +</t>
  </si>
  <si>
    <t>Ours élastique</t>
  </si>
  <si>
    <t>Poing élastique (3 cases)
Morsure (ATK*2, 1 case)</t>
  </si>
  <si>
    <t>Dullahan</t>
  </si>
  <si>
    <t>Brûleur</t>
  </si>
  <si>
    <t xml:space="preserve">Foudre  </t>
  </si>
  <si>
    <t>Chimère</t>
  </si>
  <si>
    <t>Air, Feu, Glace</t>
  </si>
  <si>
    <t>Ouragan
Triple désastre (Air, Feu, Glace)</t>
  </si>
  <si>
    <t>Géant de fer</t>
  </si>
  <si>
    <t>Foudre, Terre</t>
  </si>
  <si>
    <t>Feu, Glace, Air</t>
  </si>
  <si>
    <t>Dragon squelette</t>
  </si>
  <si>
    <t>Souffle putride :
18% des PV Max adverses (x2 si empoisonné)</t>
  </si>
  <si>
    <t>Dragon rouge</t>
  </si>
  <si>
    <t>Dragon bleu</t>
  </si>
  <si>
    <t>Souffle gelé : 20 % des PV Max
(Lancé Pair, paralyse l’ennemi)</t>
  </si>
  <si>
    <t>Niveau de Zone</t>
  </si>
  <si>
    <t>Apparition</t>
  </si>
  <si>
    <t>% Apparition</t>
  </si>
  <si>
    <t>Immunité</t>
  </si>
  <si>
    <t>Forêt</t>
  </si>
  <si>
    <t>Grotte</t>
  </si>
  <si>
    <t>Tour</t>
  </si>
  <si>
    <t>Chateau</t>
  </si>
  <si>
    <t>canyon</t>
  </si>
  <si>
    <t>Terre Gelée</t>
  </si>
  <si>
    <t>Canyon</t>
  </si>
  <si>
    <t>Dard empoisonné (30% de chance d'empoisonner la cible)</t>
  </si>
  <si>
    <t>Oui</t>
  </si>
  <si>
    <t>Toile Gluante (30% de chance de paralyser la cible 1 tour)</t>
  </si>
  <si>
    <t>Morsure
Appel à la meute (PV&lt;1/3 PV Max) un congénère apparaît</t>
  </si>
  <si>
    <t>Brasier
Explosion : Sacrifie ses PV restants et
Inflige l’équivant de ses PV Max en dégâts 2 cases autour</t>
  </si>
  <si>
    <t>Glacier
Explosion : Sacrifie ses PV restants et
Inflige l’équivant le ses PV Max en dégâts 2 cases autour</t>
  </si>
  <si>
    <t>Tremblement
Explosion : Sacrifie ses PV restants et
Inflige l’équivant le ses PV Max en dégâts 2 cases autour</t>
  </si>
  <si>
    <t>Air
Explosion : Sacrifie ses PV restants et
Inflige l’équivant le ses PV Max en dégâts 2 cases autour</t>
  </si>
  <si>
    <t>Foudre
Explosion : Sacrifie ses PV restants et
Inflige l’équivant le ses PV Max en dégâts 2 cases autour</t>
  </si>
  <si>
    <t>Lumen
Explosion : Sacrifie ses PV restants et
Inflige l’équivant le ses PV Max en dégâts 2 cases autour</t>
  </si>
  <si>
    <t>Air,Foudre</t>
  </si>
  <si>
    <t>Mort (20% de chance de tuer la cible sur le coup)</t>
  </si>
  <si>
    <t>Écrasement (1 case) si ennemi à porté
Coup de massue (2 cases autour) Si au moins deux ennemis à portée</t>
  </si>
  <si>
    <t>Feu,Sacré</t>
  </si>
  <si>
    <t>Ruée mortelle (avance jusqu'à 5 cases et frappe les joueurs sur les cases adjacentes non diagonales : devant, sur sa gauche et sa droite)</t>
  </si>
  <si>
    <t>Glace,Foudre,Air</t>
  </si>
  <si>
    <t>Saut, (Tour impair, attaque en deux tours, premier tour l'ennemi disparait du board, deuxième tour il frappe le joueur le plus éloigné de lui et se pose sur une case adjacente libre)
Double Saut (Tour pair, comme Saut mais frappe deux joueurs différents si disponible sinon deux fois le même et se pose à côté d'une case adjacente au dernier joueur touché libre)</t>
  </si>
  <si>
    <t>Glacier + (si joueur à plus de 3 cases)
Glissade gelée (si joueur à moins de 3 cases, vise le joueur le plus éloigné et s'approche jusqu'à 5 cases et frappe si portée 1 case)</t>
  </si>
  <si>
    <t>Ouragan
Triple désastre (Air, Feu, Glace) si portée d'un joueur à 1 case et PV &gt; 1/2 PV max</t>
  </si>
  <si>
    <t>Foudre,Terre</t>
  </si>
  <si>
    <t>?</t>
  </si>
  <si>
    <t>Teddy bear</t>
  </si>
  <si>
    <t>Condition</t>
  </si>
  <si>
    <t>Déplacement</t>
  </si>
  <si>
    <t>Portée (case)</t>
  </si>
  <si>
    <t>nbTour</t>
  </si>
  <si>
    <t>zoneEffect</t>
  </si>
  <si>
    <t>Chance</t>
  </si>
  <si>
    <t xml:space="preserve">Dard empoisonné </t>
  </si>
  <si>
    <t>(30% de chance d'empoisonner la cible)</t>
  </si>
  <si>
    <t>Proche</t>
  </si>
  <si>
    <t xml:space="preserve">Toile Gluante </t>
  </si>
  <si>
    <t>(30% de chance de paralyser la cible 1 tour)</t>
  </si>
  <si>
    <t>(ATK*2, 1 case)</t>
  </si>
  <si>
    <t>Loin</t>
  </si>
  <si>
    <t>Tremblement</t>
  </si>
  <si>
    <t xml:space="preserve">Explosion </t>
  </si>
  <si>
    <t>Sacrifie ses PV restants et Inflige l’équivant de ses PV Max en dégâts 2 cases autour</t>
  </si>
  <si>
    <t>PV &lt; 1/3 PV Max</t>
  </si>
  <si>
    <t xml:space="preserve"> (20% de chance de tuer la cible sur le coup)</t>
  </si>
  <si>
    <t>Coup de massue (2 cases autour) Si au moins deux ennemis à portée</t>
  </si>
  <si>
    <t>nb joueurs in zone effect &gt;= 2</t>
  </si>
  <si>
    <t>nb joueurs in zone effect = 1</t>
  </si>
  <si>
    <t>avance jusqu'à 5 cases et frappe les joueurs sur les cases adjacentes non diagonales : devant, sur sa gauche et sa droite)</t>
  </si>
  <si>
    <t>Tour impair, attaque en deux tours, premier tour l'ennemi disparait du board, deuxième tour il frappe le joueur le plus éloigné de lui et se pose sur une case adjacente libre</t>
  </si>
  <si>
    <t>tour impair</t>
  </si>
  <si>
    <t>Tour pair, comme Saut mais frappe deux joueurs différents si disponible sinon deux fois le même et se pose à côté d'une case adjacente au dernier joueur touché libre</t>
  </si>
  <si>
    <t>tour pair</t>
  </si>
  <si>
    <t xml:space="preserve">Glacier + </t>
  </si>
  <si>
    <t>portée d'un joueur &gt;3 cases</t>
  </si>
  <si>
    <t xml:space="preserve">Poing élastique </t>
  </si>
  <si>
    <t>20 % des PV Max (Lancé Pair, paralyse l’ennemi)</t>
  </si>
  <si>
    <t>(PV&lt;1/3 PV Max) un congénère apparaît</t>
  </si>
  <si>
    <t>vise le joueur le plus éloigné et s'approche jusqu'à 5 cases et frappe si portée 1 case</t>
  </si>
  <si>
    <t>portée d'un joueur =&lt;3 cases</t>
  </si>
  <si>
    <t>Triple désastre</t>
  </si>
  <si>
    <t xml:space="preserve"> (Air, Feu, Glace)</t>
  </si>
  <si>
    <t>portée d'un joueur = 1 case &amp;&amp; PV &gt; 1/2 PV max</t>
  </si>
  <si>
    <t>Stats par Zone</t>
  </si>
  <si>
    <t>Type ennemi</t>
  </si>
  <si>
    <t>Physique</t>
  </si>
  <si>
    <t>Magique</t>
  </si>
  <si>
    <t>Armes :  </t>
  </si>
  <si>
    <t>Epée,Marteau,Masse,Sceptre</t>
  </si>
  <si>
    <t> </t>
  </si>
  <si>
    <t>Niveau </t>
  </si>
  <si>
    <t>Compétence/Magie </t>
  </si>
  <si>
    <t>Objet </t>
  </si>
  <si>
    <t>C</t>
  </si>
  <si>
    <t>Bâton de mage, 10 coins </t>
  </si>
  <si>
    <t>(Vide)</t>
  </si>
  <si>
    <t>(Inv.) Phénix</t>
  </si>
  <si>
    <t>21 </t>
  </si>
  <si>
    <t>(Inv.) Garuda</t>
  </si>
  <si>
    <t>24 </t>
  </si>
  <si>
    <t>(Inv.) Ramuh</t>
  </si>
  <si>
    <t>26 </t>
  </si>
  <si>
    <t>(Inv.) Titan</t>
  </si>
  <si>
    <t>28 </t>
  </si>
  <si>
    <t>(Inv.) Shiva</t>
  </si>
  <si>
    <t>30 </t>
  </si>
  <si>
    <t>(Inv.) Odin</t>
  </si>
  <si>
    <t>Katana,Dagues,Arc</t>
  </si>
  <si>
    <t>Dague en fer, Pièce marquée </t>
  </si>
  <si>
    <t>Frappe Critique</t>
  </si>
  <si>
    <t>20 </t>
  </si>
  <si>
    <t>M</t>
  </si>
  <si>
    <t>Katana,Marteau,Masse,Sceptre</t>
  </si>
  <si>
    <t>Garde</t>
  </si>
  <si>
    <t>(Sam.) Hissatsu : Gyôten 1 AP</t>
  </si>
  <si>
    <t>(SR) Lumen +, Foudre X</t>
  </si>
  <si>
    <t>(Sam.) Hissatsu : Yaten 1 AP</t>
  </si>
  <si>
    <t>(SR) Grace +, Glacier X</t>
  </si>
  <si>
    <t>(Sam.) Hissatsu : Shinten 1 AP</t>
  </si>
  <si>
    <t>(SR) Soin X, Lumen X</t>
  </si>
  <si>
    <t>(Sam.) Hissatsu : Kyûten 1 AP</t>
  </si>
  <si>
    <t>(SR) Renvoi, Grace X</t>
  </si>
  <si>
    <t>(Sam.) Hissatsu : Guren 1 AP</t>
  </si>
  <si>
    <t>(SR) Seisme, Ouragan</t>
  </si>
  <si>
    <t>(Sam.) Zeninage</t>
  </si>
  <si>
    <t>Marteau,Sceptre</t>
  </si>
  <si>
    <t>Célérité </t>
  </si>
  <si>
    <t>Vie </t>
  </si>
  <si>
    <t>(SB) Soin X</t>
  </si>
  <si>
    <t xml:space="preserve">(Astr.) Tirage 2 AP </t>
  </si>
  <si>
    <t xml:space="preserve">(SB) Lumen X </t>
  </si>
  <si>
    <t xml:space="preserve">(Astr.) Arcane mineure 2 AP </t>
  </si>
  <si>
    <t>(SB) Vie +</t>
  </si>
  <si>
    <t xml:space="preserve">(Astr.) Exaltation 2 AP </t>
  </si>
  <si>
    <t xml:space="preserve">(SB) Dissipation </t>
  </si>
  <si>
    <t xml:space="preserve">(Astr.) Arcane majeure 3 AP </t>
  </si>
  <si>
    <t>(SB) Vie X</t>
  </si>
  <si>
    <t xml:space="preserve">(Astr.) Le Mat 3 AP </t>
  </si>
  <si>
    <t xml:space="preserve">(SB) Sidéral </t>
  </si>
  <si>
    <t xml:space="preserve">(Astr.) Dévoilement </t>
  </si>
  <si>
    <t>Dagues,Sceptre</t>
  </si>
  <si>
    <t>Rage </t>
  </si>
  <si>
    <t>Brasier+ </t>
  </si>
  <si>
    <t>Foudre+ </t>
  </si>
  <si>
    <t>Glacier+ </t>
  </si>
  <si>
    <t xml:space="preserve">(SN) Brasier X, Supplice </t>
  </si>
  <si>
    <t>(Dem.) Nouveau pacte </t>
  </si>
  <si>
    <t xml:space="preserve">(SN) Renvoi, Foudre X </t>
  </si>
  <si>
    <t xml:space="preserve">(SN) Glacier X, Mort </t>
  </si>
  <si>
    <t>(SN) Fureur</t>
  </si>
  <si>
    <t>(SN) Séisme, Ouragan</t>
  </si>
  <si>
    <t>(SN) Atomnium</t>
  </si>
  <si>
    <t>Epée,Katana,Lance,Marteau,Masse</t>
  </si>
  <si>
    <t>Bouclier impénétrable 1AP (+3 endu/3 tours) permet les rolls de protection si actif </t>
  </si>
  <si>
    <t>Epée en fer, Bouclier de cuir, 50 coins </t>
  </si>
  <si>
    <t>Cri de guerre 1AP (        Aggro 5 tours) </t>
  </si>
  <si>
    <t>Percée 1AP (dégât d’arme seul x2 et garanti) </t>
  </si>
  <si>
    <t>Allonge 1AP (2 cases) </t>
  </si>
  <si>
    <t xml:space="preserve">Frappe tournoyante 2AP (AOE) dégât d’arme -2 </t>
  </si>
  <si>
    <t xml:space="preserve">Rétribution 3AP (Main stat + endurance) </t>
  </si>
  <si>
    <t>Frappe mystique^ 1AP, +2xMana post cond.  </t>
  </si>
  <si>
    <t xml:space="preserve">(Pal) Soin+ </t>
  </si>
  <si>
    <r>
      <rPr>
        <sz val="11"/>
        <color rgb="FF000000"/>
        <rFont val="Calibri"/>
      </rPr>
      <t xml:space="preserve">(Ber.) </t>
    </r>
    <r>
      <rPr>
        <i/>
        <sz val="11"/>
        <color rgb="FF000000"/>
        <rFont val="Calibri"/>
      </rPr>
      <t>Double armement </t>
    </r>
    <r>
      <rPr>
        <sz val="11"/>
        <color rgb="FF000000"/>
        <rFont val="Calibri"/>
      </rPr>
      <t> </t>
    </r>
  </si>
  <si>
    <t xml:space="preserve">(Pal) Lumen </t>
  </si>
  <si>
    <t>(Ber.) Marque du démon (-1PV = +2 tokens) </t>
  </si>
  <si>
    <t xml:space="preserve">(Pal) Garde </t>
  </si>
  <si>
    <t>(Ber.) Saignée (1 Mana, +p/-a Endu) </t>
  </si>
  <si>
    <t xml:space="preserve">(Pal) Grâce + </t>
  </si>
  <si>
    <t>(Ber.) Rage (Force+ mais attaque) </t>
  </si>
  <si>
    <t>(Pal) Lumen +</t>
  </si>
  <si>
    <t>(Ber.) Ténèbres (1/2 des PV, PV/2)  </t>
  </si>
  <si>
    <t>(Pal) Esuna</t>
  </si>
  <si>
    <t>(Ber.) Fureur (Force++ mais attaque)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</si>
</sst>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font>
      <sz val="11"/>
      <color theme="1"/>
      <name val="Calibri"/>
      <family val="2"/>
      <scheme val="minor"/>
    </font>
    <font>
      <b/>
      <sz val="10"/>
      <color rgb="FF000000"/>
      <name val="Liberation Sans"/>
    </font>
    <font>
      <sz val="12"/>
      <color rgb="FF000000"/>
      <name val="Liberation Sans"/>
    </font>
    <font>
      <b/>
      <sz val="11"/>
      <color theme="1"/>
      <name val="Calibri"/>
      <family val="2"/>
      <scheme val="minor"/>
    </font>
    <font>
      <sz val="11"/>
      <name val="Calibri"/>
      <charset val="1"/>
    </font>
    <font>
      <b/>
      <sz val="11"/>
      <color theme="0"/>
      <name val="Calibri"/>
      <charset val="1"/>
    </font>
    <font>
      <b/>
      <sz val="11"/>
      <name val="Calibri"/>
      <charset val="1"/>
    </font>
    <font>
      <sz val="11"/>
      <color theme="0"/>
      <name val="Calibri"/>
      <family val="2"/>
      <scheme val="minor"/>
    </font>
    <font>
      <b/>
      <sz val="11"/>
      <color theme="0"/>
      <name val="Calibri"/>
      <family val="2"/>
      <scheme val="minor"/>
    </font>
    <font>
      <sz val="11"/>
      <color theme="1" tint="0.249977111117893"/>
      <name val="Calibri"/>
      <family val="2"/>
      <scheme val="minor"/>
    </font>
    <font>
      <sz val="11"/>
      <color theme="0"/>
      <name val="Calibri"/>
      <charset val="1"/>
    </font>
    <font>
      <sz val="11"/>
      <color rgb="FF000000"/>
      <name val="Calibri"/>
    </font>
    <font>
      <sz val="11"/>
      <color rgb="FF000000"/>
      <name val="Calibri"/>
      <charset val="1"/>
    </font>
    <font>
      <sz val="11"/>
      <color theme="1"/>
      <name val="Calibri"/>
      <charset val="1"/>
    </font>
    <font>
      <i/>
      <sz val="11"/>
      <color rgb="FF000000"/>
      <name val="Calibri"/>
    </font>
  </fonts>
  <fills count="36">
    <fill>
      <patternFill patternType="none"/>
    </fill>
    <fill>
      <patternFill patternType="gray125"/>
    </fill>
    <fill>
      <patternFill patternType="solid">
        <fgColor rgb="FFDEE6EF"/>
        <bgColor rgb="FFDEE6EF"/>
      </patternFill>
    </fill>
    <fill>
      <patternFill patternType="solid">
        <fgColor rgb="FFFFD7D7"/>
        <bgColor rgb="FFFFD7D7"/>
      </patternFill>
    </fill>
    <fill>
      <patternFill patternType="solid">
        <fgColor rgb="FFF6F9D4"/>
        <bgColor rgb="FFF6F9D4"/>
      </patternFill>
    </fill>
    <fill>
      <patternFill patternType="solid">
        <fgColor rgb="FFFFDBB6"/>
        <bgColor rgb="FFFFDBB6"/>
      </patternFill>
    </fill>
    <fill>
      <patternFill patternType="solid">
        <fgColor rgb="FFE0C2CD"/>
        <bgColor rgb="FFE0C2CD"/>
      </patternFill>
    </fill>
    <fill>
      <patternFill patternType="solid">
        <fgColor rgb="FFEEEEEE"/>
        <bgColor rgb="FFEEEEEE"/>
      </patternFill>
    </fill>
    <fill>
      <patternFill patternType="solid">
        <fgColor rgb="FFDDE8CB"/>
        <bgColor rgb="FFDDE8CB"/>
      </patternFill>
    </fill>
    <fill>
      <patternFill patternType="solid">
        <fgColor rgb="FFFFFFD7"/>
        <bgColor rgb="FFFFFFD7"/>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FDAF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CD7D7"/>
        <bgColor indexed="64"/>
      </patternFill>
    </fill>
    <fill>
      <patternFill patternType="solid">
        <fgColor theme="1" tint="0.249977111117893"/>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4"/>
        <bgColor indexed="64"/>
      </patternFill>
    </fill>
    <fill>
      <patternFill patternType="solid">
        <fgColor rgb="FFC00000"/>
        <bgColor indexed="64"/>
      </patternFill>
    </fill>
    <fill>
      <patternFill patternType="solid">
        <fgColor theme="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2">
    <xf numFmtId="0" fontId="0" fillId="0" borderId="0" xfId="0"/>
    <xf numFmtId="0" fontId="1" fillId="0" borderId="0" xfId="0" applyFont="1"/>
    <xf numFmtId="0" fontId="1" fillId="0" borderId="1" xfId="0" applyFont="1" applyBorder="1"/>
    <xf numFmtId="0" fontId="0" fillId="0" borderId="1" xfId="0" applyBorder="1"/>
    <xf numFmtId="0" fontId="0" fillId="0" borderId="0" xfId="0" quotePrefix="1"/>
    <xf numFmtId="1"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vertical="center"/>
    </xf>
    <xf numFmtId="0" fontId="0" fillId="8" borderId="0" xfId="0" applyFill="1"/>
    <xf numFmtId="0" fontId="0" fillId="9" borderId="0" xfId="0" applyFill="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1" fillId="13" borderId="1" xfId="0" applyFont="1" applyFill="1" applyBorder="1"/>
    <xf numFmtId="0" fontId="0" fillId="13" borderId="1" xfId="0" applyFill="1" applyBorder="1"/>
    <xf numFmtId="0" fontId="1" fillId="14" borderId="1" xfId="0" applyFont="1" applyFill="1" applyBorder="1"/>
    <xf numFmtId="0" fontId="0" fillId="14" borderId="1" xfId="0" applyFill="1" applyBorder="1"/>
    <xf numFmtId="0" fontId="1" fillId="15" borderId="1" xfId="0" applyFont="1" applyFill="1" applyBorder="1"/>
    <xf numFmtId="0" fontId="0" fillId="15" borderId="1" xfId="0" applyFill="1" applyBorder="1"/>
    <xf numFmtId="0" fontId="1" fillId="0" borderId="11" xfId="0" applyFont="1" applyBorder="1"/>
    <xf numFmtId="0" fontId="0" fillId="0" borderId="11" xfId="0" applyBorder="1"/>
    <xf numFmtId="0" fontId="0" fillId="0" borderId="11" xfId="0" applyBorder="1" applyAlignment="1">
      <alignment wrapText="1"/>
    </xf>
    <xf numFmtId="0" fontId="1" fillId="15" borderId="3" xfId="0" applyFont="1" applyFill="1" applyBorder="1" applyAlignment="1">
      <alignment horizontal="center" vertical="center"/>
    </xf>
    <xf numFmtId="0" fontId="1" fillId="14" borderId="4"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5" xfId="0" applyFont="1" applyFill="1" applyBorder="1" applyAlignment="1">
      <alignment horizontal="center" vertical="center"/>
    </xf>
    <xf numFmtId="0" fontId="0" fillId="15" borderId="6" xfId="0" applyFill="1" applyBorder="1" applyAlignment="1">
      <alignment horizontal="center" vertical="center"/>
    </xf>
    <xf numFmtId="0" fontId="0" fillId="14" borderId="1" xfId="0" applyFill="1" applyBorder="1" applyAlignment="1">
      <alignment horizontal="center" vertical="center"/>
    </xf>
    <xf numFmtId="0" fontId="0" fillId="13" borderId="11" xfId="0" applyFill="1" applyBorder="1" applyAlignment="1">
      <alignment horizontal="center" vertical="center"/>
    </xf>
    <xf numFmtId="0" fontId="0" fillId="13" borderId="7" xfId="0" applyFill="1" applyBorder="1" applyAlignment="1">
      <alignment horizontal="center" vertical="center"/>
    </xf>
    <xf numFmtId="0" fontId="0" fillId="15" borderId="8" xfId="0" applyFill="1" applyBorder="1" applyAlignment="1">
      <alignment horizontal="center" vertical="center"/>
    </xf>
    <xf numFmtId="0" fontId="0" fillId="14" borderId="9" xfId="0" applyFill="1" applyBorder="1" applyAlignment="1">
      <alignment horizontal="center" vertical="center"/>
    </xf>
    <xf numFmtId="0" fontId="0" fillId="13" borderId="15" xfId="0" applyFill="1" applyBorder="1" applyAlignment="1">
      <alignment horizontal="center" vertical="center"/>
    </xf>
    <xf numFmtId="0" fontId="0" fillId="13" borderId="10" xfId="0" applyFill="1" applyBorder="1" applyAlignment="1">
      <alignment horizontal="center" vertical="center"/>
    </xf>
    <xf numFmtId="0" fontId="4" fillId="0" borderId="0" xfId="0" applyFont="1"/>
    <xf numFmtId="0" fontId="4" fillId="16" borderId="1" xfId="0" applyFont="1" applyFill="1" applyBorder="1"/>
    <xf numFmtId="0" fontId="4" fillId="18" borderId="1" xfId="0" applyFont="1" applyFill="1" applyBorder="1"/>
    <xf numFmtId="0" fontId="4" fillId="19" borderId="1" xfId="0" applyFont="1" applyFill="1" applyBorder="1"/>
    <xf numFmtId="0" fontId="5" fillId="20" borderId="1" xfId="0" applyFont="1" applyFill="1" applyBorder="1"/>
    <xf numFmtId="0" fontId="6" fillId="16" borderId="1" xfId="0" applyFont="1" applyFill="1" applyBorder="1" applyAlignment="1">
      <alignment horizontal="center"/>
    </xf>
    <xf numFmtId="0" fontId="0" fillId="22" borderId="1" xfId="0" applyFill="1" applyBorder="1"/>
    <xf numFmtId="0" fontId="0" fillId="17" borderId="1" xfId="0" applyFill="1" applyBorder="1"/>
    <xf numFmtId="0" fontId="0" fillId="21" borderId="1" xfId="0" applyFill="1" applyBorder="1"/>
    <xf numFmtId="0" fontId="0" fillId="18" borderId="1" xfId="0" applyFill="1" applyBorder="1"/>
    <xf numFmtId="0" fontId="0" fillId="19" borderId="1" xfId="0" applyFill="1" applyBorder="1"/>
    <xf numFmtId="0" fontId="5" fillId="20" borderId="13" xfId="0" applyFont="1" applyFill="1" applyBorder="1"/>
    <xf numFmtId="0" fontId="5" fillId="20" borderId="18" xfId="0" applyFont="1" applyFill="1" applyBorder="1"/>
    <xf numFmtId="0" fontId="5" fillId="20" borderId="19" xfId="0" applyFont="1" applyFill="1" applyBorder="1"/>
    <xf numFmtId="0" fontId="4" fillId="16" borderId="11" xfId="0" applyFont="1" applyFill="1" applyBorder="1"/>
    <xf numFmtId="0" fontId="4" fillId="16" borderId="12" xfId="0" applyFont="1" applyFill="1" applyBorder="1"/>
    <xf numFmtId="0" fontId="3" fillId="19" borderId="0" xfId="0" applyFont="1" applyFill="1"/>
    <xf numFmtId="0" fontId="8" fillId="20" borderId="0" xfId="0" applyFont="1" applyFill="1"/>
    <xf numFmtId="0" fontId="0" fillId="0" borderId="0" xfId="0" applyAlignment="1">
      <alignment wrapText="1"/>
    </xf>
    <xf numFmtId="0" fontId="8" fillId="20" borderId="1" xfId="0" applyFont="1" applyFill="1" applyBorder="1"/>
    <xf numFmtId="0" fontId="0" fillId="0" borderId="17" xfId="0" applyBorder="1"/>
    <xf numFmtId="0" fontId="0" fillId="23" borderId="0" xfId="0" applyFill="1"/>
    <xf numFmtId="0" fontId="7" fillId="23" borderId="0" xfId="0" applyFont="1" applyFill="1"/>
    <xf numFmtId="0" fontId="0" fillId="10" borderId="0" xfId="0" applyFill="1" applyAlignment="1">
      <alignment horizontal="center"/>
    </xf>
    <xf numFmtId="0" fontId="0" fillId="11" borderId="0" xfId="0" applyFill="1" applyAlignment="1">
      <alignment horizontal="center"/>
    </xf>
    <xf numFmtId="0" fontId="8" fillId="20" borderId="1" xfId="0" applyFont="1" applyFill="1" applyBorder="1" applyAlignment="1">
      <alignment horizontal="center"/>
    </xf>
    <xf numFmtId="0" fontId="0" fillId="12" borderId="1" xfId="0" applyFill="1" applyBorder="1"/>
    <xf numFmtId="0" fontId="8" fillId="20" borderId="13" xfId="0" applyFont="1" applyFill="1" applyBorder="1"/>
    <xf numFmtId="0" fontId="0" fillId="22" borderId="12" xfId="0" applyFill="1" applyBorder="1"/>
    <xf numFmtId="0" fontId="0" fillId="17" borderId="12" xfId="0" applyFill="1" applyBorder="1"/>
    <xf numFmtId="0" fontId="0" fillId="21" borderId="12" xfId="0" applyFill="1" applyBorder="1"/>
    <xf numFmtId="0" fontId="0" fillId="15" borderId="12" xfId="0" applyFill="1" applyBorder="1"/>
    <xf numFmtId="0" fontId="0" fillId="14" borderId="12" xfId="0" applyFill="1" applyBorder="1"/>
    <xf numFmtId="0" fontId="0" fillId="0" borderId="12" xfId="0" applyBorder="1"/>
    <xf numFmtId="0" fontId="0" fillId="18" borderId="12" xfId="0" applyFill="1" applyBorder="1"/>
    <xf numFmtId="0" fontId="0" fillId="19" borderId="12" xfId="0" applyFill="1" applyBorder="1"/>
    <xf numFmtId="0" fontId="0" fillId="24" borderId="1" xfId="0" applyFill="1" applyBorder="1"/>
    <xf numFmtId="0" fontId="0" fillId="25" borderId="1" xfId="0" applyFill="1" applyBorder="1"/>
    <xf numFmtId="0" fontId="0" fillId="0" borderId="20" xfId="0" applyBorder="1"/>
    <xf numFmtId="0" fontId="7" fillId="26" borderId="1" xfId="0" applyFont="1" applyFill="1" applyBorder="1"/>
    <xf numFmtId="0" fontId="7" fillId="27" borderId="1" xfId="0" applyFont="1" applyFill="1" applyBorder="1"/>
    <xf numFmtId="0" fontId="7" fillId="28" borderId="1" xfId="0" applyFont="1" applyFill="1" applyBorder="1"/>
    <xf numFmtId="0" fontId="0" fillId="0" borderId="22" xfId="0" applyBorder="1"/>
    <xf numFmtId="0" fontId="9" fillId="23" borderId="0" xfId="0" applyFont="1" applyFill="1"/>
    <xf numFmtId="0" fontId="1" fillId="0" borderId="0" xfId="0" applyFont="1" applyAlignment="1">
      <alignment vertical="top" wrapText="1"/>
    </xf>
    <xf numFmtId="0" fontId="4" fillId="13" borderId="1" xfId="0" applyFont="1" applyFill="1" applyBorder="1"/>
    <xf numFmtId="0" fontId="4" fillId="22" borderId="1" xfId="0" applyFont="1" applyFill="1" applyBorder="1"/>
    <xf numFmtId="0" fontId="0" fillId="27" borderId="0" xfId="0" applyFill="1"/>
    <xf numFmtId="0" fontId="0" fillId="28" borderId="0" xfId="0" applyFill="1"/>
    <xf numFmtId="0" fontId="0" fillId="26" borderId="0" xfId="0" applyFill="1"/>
    <xf numFmtId="0" fontId="0" fillId="29" borderId="0" xfId="0" applyFill="1"/>
    <xf numFmtId="0" fontId="3" fillId="19" borderId="1" xfId="0" applyFont="1" applyFill="1" applyBorder="1" applyAlignment="1">
      <alignment vertical="center"/>
    </xf>
    <xf numFmtId="0" fontId="3" fillId="19" borderId="1" xfId="0" applyFont="1" applyFill="1" applyBorder="1"/>
    <xf numFmtId="0" fontId="0" fillId="0" borderId="13" xfId="0" applyBorder="1"/>
    <xf numFmtId="0" fontId="5" fillId="20" borderId="11" xfId="0" applyFont="1" applyFill="1" applyBorder="1"/>
    <xf numFmtId="0" fontId="5" fillId="20" borderId="12" xfId="0" applyFont="1" applyFill="1" applyBorder="1"/>
    <xf numFmtId="0" fontId="4" fillId="29" borderId="1" xfId="0" applyFont="1" applyFill="1" applyBorder="1"/>
    <xf numFmtId="0" fontId="10" fillId="30" borderId="1" xfId="0" applyFont="1" applyFill="1" applyBorder="1"/>
    <xf numFmtId="0" fontId="0" fillId="31" borderId="0" xfId="0" applyFill="1"/>
    <xf numFmtId="0" fontId="6" fillId="16" borderId="11" xfId="0" applyFont="1" applyFill="1" applyBorder="1" applyAlignment="1">
      <alignment horizontal="center"/>
    </xf>
    <xf numFmtId="0" fontId="0" fillId="22" borderId="11" xfId="0" applyFill="1" applyBorder="1"/>
    <xf numFmtId="0" fontId="0" fillId="14" borderId="11" xfId="0" applyFill="1" applyBorder="1"/>
    <xf numFmtId="0" fontId="0" fillId="14" borderId="13" xfId="0" applyFill="1" applyBorder="1"/>
    <xf numFmtId="0" fontId="10" fillId="32" borderId="1" xfId="0" applyFont="1" applyFill="1" applyBorder="1"/>
    <xf numFmtId="0" fontId="0" fillId="0" borderId="0" xfId="0" applyAlignment="1">
      <alignment horizontal="center"/>
    </xf>
    <xf numFmtId="0" fontId="1" fillId="0" borderId="0" xfId="0" applyFont="1" applyAlignment="1">
      <alignment horizontal="center" vertical="top" wrapText="1"/>
    </xf>
    <xf numFmtId="0" fontId="1" fillId="0" borderId="0" xfId="0" applyFont="1" applyAlignment="1">
      <alignment horizontal="center"/>
    </xf>
    <xf numFmtId="0" fontId="5" fillId="20" borderId="24" xfId="0" applyFont="1" applyFill="1" applyBorder="1"/>
    <xf numFmtId="0" fontId="4" fillId="0" borderId="1" xfId="0" applyFont="1" applyBorder="1"/>
    <xf numFmtId="0" fontId="11" fillId="0" borderId="1" xfId="0" applyFont="1" applyBorder="1"/>
    <xf numFmtId="0" fontId="0" fillId="0" borderId="18" xfId="0" applyBorder="1"/>
    <xf numFmtId="0" fontId="12" fillId="0" borderId="1" xfId="0" applyFont="1" applyBorder="1" applyAlignment="1">
      <alignment wrapText="1"/>
    </xf>
    <xf numFmtId="0" fontId="1" fillId="21" borderId="1" xfId="0" applyFont="1" applyFill="1" applyBorder="1"/>
    <xf numFmtId="0" fontId="1" fillId="15" borderId="17" xfId="0" applyFont="1" applyFill="1" applyBorder="1"/>
    <xf numFmtId="0" fontId="1" fillId="14" borderId="17" xfId="0" applyFont="1" applyFill="1" applyBorder="1"/>
    <xf numFmtId="0" fontId="1" fillId="13" borderId="17" xfId="0" applyFont="1" applyFill="1" applyBorder="1"/>
    <xf numFmtId="1" fontId="0" fillId="21" borderId="1" xfId="0" applyNumberFormat="1" applyFill="1" applyBorder="1"/>
    <xf numFmtId="0" fontId="0" fillId="0" borderId="13" xfId="0" applyBorder="1" applyAlignment="1">
      <alignment horizontal="center"/>
    </xf>
    <xf numFmtId="0" fontId="0" fillId="33" borderId="0" xfId="0" applyFill="1"/>
    <xf numFmtId="0" fontId="0" fillId="24" borderId="12" xfId="0" applyFill="1" applyBorder="1"/>
    <xf numFmtId="0" fontId="0" fillId="24" borderId="23" xfId="0" applyFill="1" applyBorder="1"/>
    <xf numFmtId="0" fontId="0" fillId="25" borderId="12" xfId="0" applyFill="1" applyBorder="1"/>
    <xf numFmtId="0" fontId="13" fillId="0" borderId="1" xfId="0" applyFont="1" applyBorder="1"/>
    <xf numFmtId="0" fontId="0" fillId="0" borderId="11" xfId="0" applyBorder="1" applyAlignment="1">
      <alignment horizontal="center"/>
    </xf>
    <xf numFmtId="0" fontId="0" fillId="24" borderId="24" xfId="0" applyFill="1" applyBorder="1"/>
    <xf numFmtId="0" fontId="0" fillId="0" borderId="18" xfId="0" applyBorder="1" applyAlignment="1">
      <alignment horizontal="center"/>
    </xf>
    <xf numFmtId="0" fontId="4" fillId="0" borderId="13" xfId="0" applyFont="1" applyBorder="1"/>
    <xf numFmtId="0" fontId="0" fillId="0" borderId="19" xfId="0" applyBorder="1"/>
    <xf numFmtId="0" fontId="11" fillId="34" borderId="1" xfId="0" applyFont="1" applyFill="1" applyBorder="1"/>
    <xf numFmtId="0" fontId="4" fillId="34" borderId="1" xfId="0" applyFont="1" applyFill="1" applyBorder="1"/>
    <xf numFmtId="0" fontId="11" fillId="19" borderId="1" xfId="0" applyFont="1" applyFill="1" applyBorder="1"/>
    <xf numFmtId="0" fontId="0" fillId="0" borderId="13" xfId="0" applyBorder="1" applyAlignment="1">
      <alignment horizontal="center" vertical="center"/>
    </xf>
    <xf numFmtId="0" fontId="0" fillId="21" borderId="11" xfId="0" applyFill="1" applyBorder="1"/>
    <xf numFmtId="164" fontId="0" fillId="0" borderId="1" xfId="0" applyNumberFormat="1" applyBorder="1"/>
    <xf numFmtId="0" fontId="3" fillId="0" borderId="1" xfId="0" applyFont="1" applyBorder="1"/>
    <xf numFmtId="0" fontId="3" fillId="0" borderId="16" xfId="0" applyFont="1" applyBorder="1"/>
    <xf numFmtId="0" fontId="3" fillId="0" borderId="22" xfId="0" applyFont="1" applyBorder="1"/>
    <xf numFmtId="0" fontId="1" fillId="21" borderId="20" xfId="0" applyFont="1" applyFill="1" applyBorder="1"/>
    <xf numFmtId="0" fontId="2" fillId="0" borderId="13" xfId="0" applyFont="1" applyBorder="1" applyAlignment="1">
      <alignment horizontal="center" vertical="center"/>
    </xf>
    <xf numFmtId="0" fontId="0" fillId="15" borderId="13" xfId="0" applyFill="1" applyBorder="1"/>
    <xf numFmtId="0" fontId="0" fillId="13" borderId="13" xfId="0" applyFill="1" applyBorder="1"/>
    <xf numFmtId="0" fontId="0" fillId="21" borderId="13" xfId="0" applyFill="1" applyBorder="1"/>
    <xf numFmtId="1" fontId="0" fillId="21" borderId="13" xfId="0" applyNumberFormat="1" applyFill="1" applyBorder="1"/>
    <xf numFmtId="0" fontId="0" fillId="21" borderId="18" xfId="0" applyFill="1" applyBorder="1"/>
    <xf numFmtId="164" fontId="0" fillId="0" borderId="13" xfId="0" applyNumberFormat="1" applyBorder="1"/>
    <xf numFmtId="0" fontId="1" fillId="22" borderId="1" xfId="0" applyFont="1" applyFill="1" applyBorder="1"/>
    <xf numFmtId="1" fontId="0" fillId="14" borderId="1" xfId="0" applyNumberFormat="1" applyFill="1" applyBorder="1"/>
    <xf numFmtId="0" fontId="0" fillId="35" borderId="1" xfId="0" applyFill="1" applyBorder="1" applyAlignment="1">
      <alignment wrapText="1"/>
    </xf>
    <xf numFmtId="0" fontId="0" fillId="35" borderId="1" xfId="0" applyFill="1" applyBorder="1" applyAlignment="1">
      <alignment vertical="center" wrapText="1"/>
    </xf>
    <xf numFmtId="0" fontId="0" fillId="35" borderId="1" xfId="0" applyFill="1" applyBorder="1"/>
    <xf numFmtId="0" fontId="0" fillId="0" borderId="23" xfId="0" applyBorder="1"/>
    <xf numFmtId="0" fontId="9" fillId="16" borderId="0" xfId="0" applyFont="1" applyFill="1"/>
    <xf numFmtId="1" fontId="0" fillId="0" borderId="0" xfId="0" applyNumberFormat="1"/>
    <xf numFmtId="0" fontId="7" fillId="20" borderId="1" xfId="0" applyFont="1" applyFill="1" applyBorder="1"/>
    <xf numFmtId="165" fontId="0" fillId="0" borderId="0" xfId="0" applyNumberFormat="1"/>
    <xf numFmtId="0" fontId="0" fillId="16" borderId="20" xfId="0" applyFill="1" applyBorder="1"/>
    <xf numFmtId="0" fontId="0" fillId="16" borderId="21" xfId="0" applyFill="1" applyBorder="1"/>
    <xf numFmtId="0" fontId="8" fillId="20" borderId="18" xfId="0" applyFont="1" applyFill="1" applyBorder="1"/>
    <xf numFmtId="0" fontId="8" fillId="20" borderId="19" xfId="0" applyFont="1" applyFill="1" applyBorder="1"/>
    <xf numFmtId="0" fontId="0" fillId="0" borderId="0" xfId="0"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3" fillId="0" borderId="2" xfId="0" applyFont="1" applyBorder="1" applyAlignment="1">
      <alignment horizontal="center"/>
    </xf>
    <xf numFmtId="0" fontId="1" fillId="0" borderId="13" xfId="0" applyFont="1" applyBorder="1" applyAlignment="1">
      <alignment horizontal="center" vertical="center"/>
    </xf>
    <xf numFmtId="0" fontId="3" fillId="0" borderId="1" xfId="0" applyFont="1" applyBorder="1" applyAlignment="1">
      <alignment horizontal="center"/>
    </xf>
    <xf numFmtId="0" fontId="3" fillId="0" borderId="0" xfId="0" applyFont="1" applyAlignment="1">
      <alignment horizontal="center"/>
    </xf>
    <xf numFmtId="0" fontId="1" fillId="0" borderId="11" xfId="0" applyFont="1" applyBorder="1" applyAlignment="1">
      <alignment horizontal="center" vertical="center"/>
    </xf>
    <xf numFmtId="0" fontId="1" fillId="0" borderId="23"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22" borderId="11" xfId="0" applyFont="1" applyFill="1" applyBorder="1" applyAlignment="1">
      <alignment horizontal="center" vertical="center"/>
    </xf>
    <xf numFmtId="0" fontId="1" fillId="22" borderId="23" xfId="0" applyFont="1" applyFill="1" applyBorder="1" applyAlignment="1">
      <alignment horizontal="center" vertical="center"/>
    </xf>
    <xf numFmtId="0" fontId="1" fillId="22" borderId="12" xfId="0" applyFont="1" applyFill="1" applyBorder="1" applyAlignment="1">
      <alignment horizontal="center" vertical="center"/>
    </xf>
    <xf numFmtId="0" fontId="1" fillId="14" borderId="11" xfId="0" applyFont="1" applyFill="1" applyBorder="1" applyAlignment="1">
      <alignment horizontal="center" vertical="center"/>
    </xf>
    <xf numFmtId="0" fontId="1" fillId="14" borderId="23" xfId="0" applyFont="1" applyFill="1" applyBorder="1" applyAlignment="1">
      <alignment horizontal="center" vertical="center"/>
    </xf>
    <xf numFmtId="0" fontId="1" fillId="14" borderId="12"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23" xfId="0" applyFont="1" applyFill="1" applyBorder="1" applyAlignment="1">
      <alignment horizontal="center" vertical="center"/>
    </xf>
    <xf numFmtId="0" fontId="1" fillId="13" borderId="12" xfId="0" applyFont="1" applyFill="1" applyBorder="1" applyAlignment="1">
      <alignment horizontal="center" vertical="center"/>
    </xf>
    <xf numFmtId="0" fontId="1" fillId="21" borderId="11" xfId="0" applyFont="1" applyFill="1" applyBorder="1" applyAlignment="1">
      <alignment horizontal="center" vertical="center"/>
    </xf>
    <xf numFmtId="0" fontId="1" fillId="21" borderId="23" xfId="0" applyFont="1" applyFill="1" applyBorder="1" applyAlignment="1">
      <alignment horizontal="center" vertical="center"/>
    </xf>
    <xf numFmtId="0" fontId="1" fillId="21" borderId="12" xfId="0" applyFont="1" applyFill="1" applyBorder="1" applyAlignment="1">
      <alignment horizontal="center" vertical="center"/>
    </xf>
    <xf numFmtId="0" fontId="4" fillId="16" borderId="11" xfId="0" applyFont="1" applyFill="1" applyBorder="1"/>
    <xf numFmtId="0" fontId="4" fillId="16" borderId="12" xfId="0" applyFont="1" applyFill="1" applyBorder="1"/>
    <xf numFmtId="0" fontId="5" fillId="20" borderId="11" xfId="0" applyFont="1" applyFill="1" applyBorder="1"/>
    <xf numFmtId="0" fontId="5" fillId="20" borderId="12" xfId="0" applyFont="1" applyFill="1" applyBorder="1"/>
    <xf numFmtId="0" fontId="0" fillId="0" borderId="11" xfId="0" applyBorder="1" applyAlignment="1">
      <alignment horizontal="left"/>
    </xf>
    <xf numFmtId="0" fontId="0" fillId="0" borderId="12" xfId="0" applyBorder="1" applyAlignment="1">
      <alignment horizontal="left"/>
    </xf>
    <xf numFmtId="0" fontId="4" fillId="16" borderId="11" xfId="0" applyFont="1" applyFill="1" applyBorder="1" applyAlignment="1">
      <alignment horizontal="left"/>
    </xf>
    <xf numFmtId="0" fontId="4" fillId="16" borderId="12" xfId="0" applyFont="1" applyFill="1" applyBorder="1" applyAlignment="1">
      <alignment horizontal="left"/>
    </xf>
  </cellXfs>
  <cellStyles count="1">
    <cellStyle name="Normal" xfId="0" builtinId="0"/>
  </cellStyles>
  <dxfs count="28">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s>
  <tableStyles count="0" defaultTableStyle="TableStyleMedium2" defaultPivotStyle="PivotStyleMedium9"/>
  <colors>
    <mruColors>
      <color rgb="FFFCD7D7"/>
      <color rgb="FFEF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Equipe!$U$37</c:f>
              <c:strCache>
                <c:ptCount val="1"/>
                <c:pt idx="0">
                  <c:v>Dégâts </c:v>
                </c:pt>
              </c:strCache>
            </c:strRef>
          </c:tx>
          <c:spPr>
            <a:ln w="28575" cap="rnd">
              <a:solidFill>
                <a:schemeClr val="accent1"/>
              </a:solidFill>
              <a:round/>
            </a:ln>
            <a:effectLst/>
          </c:spPr>
          <c:marker>
            <c:symbol val="none"/>
          </c:marker>
          <c:val>
            <c:numRef>
              <c:f>Equipe!$U$38:$U$187</c:f>
              <c:numCache>
                <c:formatCode>0</c:formatCode>
                <c:ptCount val="150"/>
                <c:pt idx="0">
                  <c:v>10</c:v>
                </c:pt>
                <c:pt idx="1">
                  <c:v>11</c:v>
                </c:pt>
                <c:pt idx="2">
                  <c:v>12</c:v>
                </c:pt>
                <c:pt idx="3">
                  <c:v>13</c:v>
                </c:pt>
                <c:pt idx="4">
                  <c:v>20</c:v>
                </c:pt>
                <c:pt idx="5">
                  <c:v>21</c:v>
                </c:pt>
                <c:pt idx="6">
                  <c:v>22</c:v>
                </c:pt>
                <c:pt idx="7">
                  <c:v>23</c:v>
                </c:pt>
                <c:pt idx="8">
                  <c:v>42</c:v>
                </c:pt>
                <c:pt idx="9">
                  <c:v>34</c:v>
                </c:pt>
                <c:pt idx="10">
                  <c:v>35</c:v>
                </c:pt>
                <c:pt idx="11">
                  <c:v>36</c:v>
                </c:pt>
                <c:pt idx="12">
                  <c:v>37</c:v>
                </c:pt>
                <c:pt idx="13">
                  <c:v>72</c:v>
                </c:pt>
                <c:pt idx="14">
                  <c:v>114</c:v>
                </c:pt>
                <c:pt idx="15">
                  <c:v>29</c:v>
                </c:pt>
                <c:pt idx="16">
                  <c:v>31</c:v>
                </c:pt>
                <c:pt idx="17">
                  <c:v>33</c:v>
                </c:pt>
                <c:pt idx="18">
                  <c:v>35</c:v>
                </c:pt>
                <c:pt idx="19">
                  <c:v>53</c:v>
                </c:pt>
                <c:pt idx="20">
                  <c:v>55</c:v>
                </c:pt>
                <c:pt idx="21">
                  <c:v>57</c:v>
                </c:pt>
                <c:pt idx="22">
                  <c:v>59</c:v>
                </c:pt>
                <c:pt idx="23">
                  <c:v>85</c:v>
                </c:pt>
                <c:pt idx="24">
                  <c:v>87</c:v>
                </c:pt>
                <c:pt idx="25">
                  <c:v>89</c:v>
                </c:pt>
                <c:pt idx="26">
                  <c:v>91</c:v>
                </c:pt>
                <c:pt idx="27">
                  <c:v>111</c:v>
                </c:pt>
                <c:pt idx="28">
                  <c:v>183</c:v>
                </c:pt>
                <c:pt idx="29">
                  <c:v>279</c:v>
                </c:pt>
                <c:pt idx="30">
                  <c:v>40</c:v>
                </c:pt>
                <c:pt idx="31">
                  <c:v>42</c:v>
                </c:pt>
                <c:pt idx="32">
                  <c:v>44</c:v>
                </c:pt>
                <c:pt idx="33">
                  <c:v>46</c:v>
                </c:pt>
                <c:pt idx="34">
                  <c:v>68</c:v>
                </c:pt>
                <c:pt idx="35">
                  <c:v>70</c:v>
                </c:pt>
                <c:pt idx="36">
                  <c:v>72</c:v>
                </c:pt>
                <c:pt idx="37">
                  <c:v>74</c:v>
                </c:pt>
                <c:pt idx="38">
                  <c:v>104</c:v>
                </c:pt>
                <c:pt idx="39">
                  <c:v>106</c:v>
                </c:pt>
                <c:pt idx="40">
                  <c:v>108</c:v>
                </c:pt>
                <c:pt idx="41">
                  <c:v>110</c:v>
                </c:pt>
                <c:pt idx="42">
                  <c:v>144</c:v>
                </c:pt>
                <c:pt idx="43">
                  <c:v>228</c:v>
                </c:pt>
                <c:pt idx="44">
                  <c:v>336</c:v>
                </c:pt>
                <c:pt idx="45">
                  <c:v>53</c:v>
                </c:pt>
                <c:pt idx="46">
                  <c:v>55</c:v>
                </c:pt>
                <c:pt idx="47">
                  <c:v>57</c:v>
                </c:pt>
                <c:pt idx="48">
                  <c:v>59</c:v>
                </c:pt>
                <c:pt idx="49">
                  <c:v>85</c:v>
                </c:pt>
                <c:pt idx="50">
                  <c:v>87</c:v>
                </c:pt>
                <c:pt idx="51">
                  <c:v>89</c:v>
                </c:pt>
                <c:pt idx="52">
                  <c:v>91</c:v>
                </c:pt>
                <c:pt idx="53">
                  <c:v>125</c:v>
                </c:pt>
                <c:pt idx="54">
                  <c:v>127</c:v>
                </c:pt>
                <c:pt idx="55">
                  <c:v>129</c:v>
                </c:pt>
                <c:pt idx="56">
                  <c:v>131</c:v>
                </c:pt>
                <c:pt idx="57">
                  <c:v>183</c:v>
                </c:pt>
                <c:pt idx="58">
                  <c:v>279</c:v>
                </c:pt>
                <c:pt idx="59">
                  <c:v>399</c:v>
                </c:pt>
                <c:pt idx="60">
                  <c:v>68</c:v>
                </c:pt>
                <c:pt idx="61">
                  <c:v>70</c:v>
                </c:pt>
                <c:pt idx="62">
                  <c:v>72</c:v>
                </c:pt>
                <c:pt idx="63">
                  <c:v>74</c:v>
                </c:pt>
                <c:pt idx="64">
                  <c:v>104</c:v>
                </c:pt>
                <c:pt idx="65">
                  <c:v>106</c:v>
                </c:pt>
                <c:pt idx="66">
                  <c:v>108</c:v>
                </c:pt>
                <c:pt idx="67">
                  <c:v>110</c:v>
                </c:pt>
                <c:pt idx="68">
                  <c:v>148</c:v>
                </c:pt>
                <c:pt idx="69">
                  <c:v>150</c:v>
                </c:pt>
                <c:pt idx="70">
                  <c:v>152</c:v>
                </c:pt>
                <c:pt idx="71">
                  <c:v>154</c:v>
                </c:pt>
                <c:pt idx="72">
                  <c:v>228</c:v>
                </c:pt>
                <c:pt idx="73">
                  <c:v>336</c:v>
                </c:pt>
                <c:pt idx="74">
                  <c:v>468</c:v>
                </c:pt>
                <c:pt idx="75">
                  <c:v>85</c:v>
                </c:pt>
                <c:pt idx="76">
                  <c:v>87</c:v>
                </c:pt>
                <c:pt idx="77">
                  <c:v>89</c:v>
                </c:pt>
                <c:pt idx="78">
                  <c:v>91</c:v>
                </c:pt>
                <c:pt idx="79">
                  <c:v>125</c:v>
                </c:pt>
                <c:pt idx="80">
                  <c:v>127</c:v>
                </c:pt>
                <c:pt idx="81">
                  <c:v>129</c:v>
                </c:pt>
                <c:pt idx="82">
                  <c:v>131</c:v>
                </c:pt>
                <c:pt idx="83">
                  <c:v>173</c:v>
                </c:pt>
                <c:pt idx="84">
                  <c:v>175</c:v>
                </c:pt>
                <c:pt idx="85">
                  <c:v>177</c:v>
                </c:pt>
                <c:pt idx="86">
                  <c:v>179</c:v>
                </c:pt>
                <c:pt idx="87">
                  <c:v>279</c:v>
                </c:pt>
                <c:pt idx="88">
                  <c:v>399</c:v>
                </c:pt>
                <c:pt idx="89">
                  <c:v>543</c:v>
                </c:pt>
                <c:pt idx="90">
                  <c:v>104</c:v>
                </c:pt>
                <c:pt idx="91">
                  <c:v>106</c:v>
                </c:pt>
                <c:pt idx="92">
                  <c:v>108</c:v>
                </c:pt>
                <c:pt idx="93">
                  <c:v>110</c:v>
                </c:pt>
                <c:pt idx="94">
                  <c:v>148</c:v>
                </c:pt>
                <c:pt idx="95">
                  <c:v>150</c:v>
                </c:pt>
                <c:pt idx="96">
                  <c:v>152</c:v>
                </c:pt>
                <c:pt idx="97">
                  <c:v>154</c:v>
                </c:pt>
                <c:pt idx="98">
                  <c:v>200</c:v>
                </c:pt>
                <c:pt idx="99">
                  <c:v>202</c:v>
                </c:pt>
                <c:pt idx="100">
                  <c:v>204</c:v>
                </c:pt>
                <c:pt idx="101">
                  <c:v>206</c:v>
                </c:pt>
                <c:pt idx="102">
                  <c:v>336</c:v>
                </c:pt>
                <c:pt idx="103">
                  <c:v>468</c:v>
                </c:pt>
                <c:pt idx="104">
                  <c:v>624</c:v>
                </c:pt>
                <c:pt idx="105">
                  <c:v>125</c:v>
                </c:pt>
                <c:pt idx="106">
                  <c:v>127</c:v>
                </c:pt>
                <c:pt idx="107">
                  <c:v>129</c:v>
                </c:pt>
                <c:pt idx="108">
                  <c:v>131</c:v>
                </c:pt>
                <c:pt idx="109">
                  <c:v>173</c:v>
                </c:pt>
                <c:pt idx="110">
                  <c:v>175</c:v>
                </c:pt>
                <c:pt idx="111">
                  <c:v>177</c:v>
                </c:pt>
                <c:pt idx="112">
                  <c:v>179</c:v>
                </c:pt>
                <c:pt idx="113">
                  <c:v>229</c:v>
                </c:pt>
                <c:pt idx="114">
                  <c:v>231</c:v>
                </c:pt>
                <c:pt idx="115">
                  <c:v>233</c:v>
                </c:pt>
                <c:pt idx="116">
                  <c:v>235</c:v>
                </c:pt>
                <c:pt idx="117">
                  <c:v>399</c:v>
                </c:pt>
                <c:pt idx="118">
                  <c:v>543</c:v>
                </c:pt>
                <c:pt idx="119">
                  <c:v>711</c:v>
                </c:pt>
                <c:pt idx="120">
                  <c:v>148</c:v>
                </c:pt>
                <c:pt idx="121">
                  <c:v>150</c:v>
                </c:pt>
                <c:pt idx="122">
                  <c:v>152</c:v>
                </c:pt>
                <c:pt idx="123">
                  <c:v>154</c:v>
                </c:pt>
                <c:pt idx="124">
                  <c:v>200</c:v>
                </c:pt>
                <c:pt idx="125">
                  <c:v>202</c:v>
                </c:pt>
                <c:pt idx="126">
                  <c:v>204</c:v>
                </c:pt>
                <c:pt idx="127">
                  <c:v>206</c:v>
                </c:pt>
                <c:pt idx="128">
                  <c:v>260</c:v>
                </c:pt>
                <c:pt idx="129">
                  <c:v>262</c:v>
                </c:pt>
                <c:pt idx="130">
                  <c:v>264</c:v>
                </c:pt>
                <c:pt idx="131">
                  <c:v>266</c:v>
                </c:pt>
                <c:pt idx="132">
                  <c:v>468</c:v>
                </c:pt>
                <c:pt idx="133">
                  <c:v>624</c:v>
                </c:pt>
                <c:pt idx="134">
                  <c:v>804</c:v>
                </c:pt>
                <c:pt idx="135">
                  <c:v>86.5</c:v>
                </c:pt>
                <c:pt idx="136">
                  <c:v>175</c:v>
                </c:pt>
                <c:pt idx="137">
                  <c:v>177</c:v>
                </c:pt>
                <c:pt idx="138">
                  <c:v>89.5</c:v>
                </c:pt>
                <c:pt idx="139">
                  <c:v>114.5</c:v>
                </c:pt>
                <c:pt idx="140">
                  <c:v>115.5</c:v>
                </c:pt>
                <c:pt idx="141">
                  <c:v>116.5</c:v>
                </c:pt>
                <c:pt idx="142">
                  <c:v>117.5</c:v>
                </c:pt>
                <c:pt idx="143" formatCode="0.0">
                  <c:v>146.5</c:v>
                </c:pt>
                <c:pt idx="144" formatCode="0.0">
                  <c:v>147.5</c:v>
                </c:pt>
                <c:pt idx="145" formatCode="0.0">
                  <c:v>148.5</c:v>
                </c:pt>
                <c:pt idx="146" formatCode="0.0">
                  <c:v>149.5</c:v>
                </c:pt>
                <c:pt idx="147">
                  <c:v>271.5</c:v>
                </c:pt>
                <c:pt idx="148">
                  <c:v>355.5</c:v>
                </c:pt>
                <c:pt idx="149">
                  <c:v>451.5</c:v>
                </c:pt>
              </c:numCache>
            </c:numRef>
          </c:val>
          <c:smooth val="0"/>
          <c:extLst>
            <c:ext xmlns:c16="http://schemas.microsoft.com/office/drawing/2014/chart" uri="{C3380CC4-5D6E-409C-BE32-E72D297353CC}">
              <c16:uniqueId val="{00000001-046E-46AB-881D-80DAD689D872}"/>
            </c:ext>
          </c:extLst>
        </c:ser>
        <c:dLbls>
          <c:showLegendKey val="0"/>
          <c:showVal val="0"/>
          <c:showCatName val="0"/>
          <c:showSerName val="0"/>
          <c:showPercent val="0"/>
          <c:showBubbleSize val="0"/>
        </c:dLbls>
        <c:smooth val="0"/>
        <c:axId val="112081928"/>
        <c:axId val="112092168"/>
      </c:lineChart>
      <c:catAx>
        <c:axId val="1120819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2168"/>
        <c:crosses val="autoZero"/>
        <c:auto val="1"/>
        <c:lblAlgn val="ctr"/>
        <c:lblOffset val="100"/>
        <c:noMultiLvlLbl val="0"/>
      </c:catAx>
      <c:valAx>
        <c:axId val="112092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1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21</xdr:col>
      <xdr:colOff>57150</xdr:colOff>
      <xdr:row>47</xdr:row>
      <xdr:rowOff>28575</xdr:rowOff>
    </xdr:from>
    <xdr:to>
      <xdr:col>26</xdr:col>
      <xdr:colOff>219075</xdr:colOff>
      <xdr:row>61</xdr:row>
      <xdr:rowOff>104775</xdr:rowOff>
    </xdr:to>
    <xdr:graphicFrame macro="">
      <xdr:nvGraphicFramePr>
        <xdr:cNvPr id="2" name="Graphique 1">
          <a:extLst>
            <a:ext uri="{FF2B5EF4-FFF2-40B4-BE49-F238E27FC236}">
              <a16:creationId xmlns:a16="http://schemas.microsoft.com/office/drawing/2014/main" id="{91B9A85E-5987-E816-C6AA-8108F6890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1114425</xdr:colOff>
      <xdr:row>4</xdr:row>
      <xdr:rowOff>0</xdr:rowOff>
    </xdr:from>
    <xdr:to>
      <xdr:col>2</xdr:col>
      <xdr:colOff>1304925</xdr:colOff>
      <xdr:row>5</xdr:row>
      <xdr:rowOff>0</xdr:rowOff>
    </xdr:to>
    <xdr:pic>
      <xdr:nvPicPr>
        <xdr:cNvPr id="2" name="Image 1" descr="Taunt (effect)">
          <a:extLst>
            <a:ext uri="{FF2B5EF4-FFF2-40B4-BE49-F238E27FC236}">
              <a16:creationId xmlns:a16="http://schemas.microsoft.com/office/drawing/2014/main" id="{A630D7F8-AAC0-064D-696E-D9948F525C05}"/>
            </a:ext>
          </a:extLst>
        </xdr:cNvPr>
        <xdr:cNvPicPr>
          <a:picLocks noChangeAspect="1"/>
        </xdr:cNvPicPr>
      </xdr:nvPicPr>
      <xdr:blipFill>
        <a:blip xmlns:r="http://schemas.openxmlformats.org/officeDocument/2006/relationships" r:embed="rId1"/>
        <a:stretch>
          <a:fillRect/>
        </a:stretch>
      </xdr:blipFill>
      <xdr:spPr>
        <a:xfrm>
          <a:off x="2333625" y="762000"/>
          <a:ext cx="190500" cy="1905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A2134-A6C9-4387-A000-0A3895FADDD7}" name="faiblesseresistance" displayName="faiblesseresistance" ref="C2:C4" totalsRowShown="0">
  <tableColumns count="1">
    <tableColumn id="1" xr3:uid="{5ADB86AB-77E6-48C3-859C-9BBE00DA479C}" name="0.5"/>
  </tableColumns>
  <tableStyleInfo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7AAE-1E9E-4FCF-92CB-4B50C269FA39}">
  <dimension ref="A1:AF187"/>
  <sheetViews>
    <sheetView tabSelected="1" topLeftCell="M8" workbookViewId="0">
      <selection activeCell="X10" sqref="X10"/>
    </sheetView>
  </sheetViews>
  <sheetFormatPr baseColWidth="10" defaultColWidth="8.7265625" defaultRowHeight="14.5"/>
  <cols>
    <col min="1" max="1" width="16.1796875" customWidth="1"/>
    <col min="2" max="2" width="6.81640625" customWidth="1"/>
    <col min="3" max="3" width="4.1796875" customWidth="1"/>
    <col min="4" max="4" width="1.81640625" customWidth="1"/>
    <col min="5" max="5" width="17.1796875" customWidth="1"/>
    <col min="6" max="6" width="14.453125" bestFit="1" customWidth="1"/>
    <col min="7" max="7" width="13" customWidth="1"/>
    <col min="8" max="8" width="6.26953125" customWidth="1"/>
    <col min="9" max="9" width="4.7265625" customWidth="1"/>
    <col min="10" max="10" width="2.7265625" customWidth="1"/>
    <col min="11" max="11" width="15.26953125" customWidth="1"/>
    <col min="12" max="12" width="18" customWidth="1"/>
    <col min="13" max="13" width="16.54296875" customWidth="1"/>
    <col min="14" max="14" width="9.1796875" customWidth="1"/>
    <col min="15" max="15" width="4.453125" customWidth="1"/>
    <col min="16" max="16" width="4.54296875" customWidth="1"/>
    <col min="17" max="17" width="15.81640625" customWidth="1"/>
    <col min="18" max="18" width="14.453125" bestFit="1" customWidth="1"/>
    <col min="19" max="19" width="15" customWidth="1"/>
    <col min="22" max="22" width="15.81640625" customWidth="1"/>
    <col min="23" max="23" width="12.26953125" bestFit="1" customWidth="1"/>
    <col min="24" max="24" width="19.7265625" customWidth="1"/>
  </cols>
  <sheetData>
    <row r="1" spans="1:32">
      <c r="A1" s="60" t="s">
        <v>0</v>
      </c>
      <c r="B1" s="3">
        <v>6</v>
      </c>
      <c r="C1" s="62"/>
      <c r="D1" s="62"/>
      <c r="E1" s="62"/>
      <c r="F1" s="58" t="s">
        <v>1</v>
      </c>
      <c r="G1" s="58" t="s">
        <v>2</v>
      </c>
      <c r="H1" s="62"/>
      <c r="I1" s="62"/>
      <c r="J1" s="62"/>
      <c r="K1" s="62"/>
      <c r="L1" s="62"/>
      <c r="M1" s="60" t="s">
        <v>3</v>
      </c>
      <c r="N1" s="3">
        <v>6</v>
      </c>
      <c r="O1" s="62"/>
      <c r="P1" s="62"/>
      <c r="Q1" s="62"/>
      <c r="R1" s="62"/>
      <c r="S1" s="62"/>
      <c r="T1" s="62"/>
      <c r="U1" s="62"/>
      <c r="V1" s="62"/>
      <c r="W1" s="62"/>
      <c r="X1" s="62"/>
      <c r="Y1" s="62"/>
      <c r="Z1" s="62"/>
      <c r="AA1" s="62"/>
      <c r="AB1" s="62"/>
      <c r="AC1" s="62"/>
      <c r="AD1" s="62"/>
      <c r="AE1" s="62"/>
    </row>
    <row r="2" spans="1:32">
      <c r="A2" s="60" t="s">
        <v>4</v>
      </c>
      <c r="B2" s="3">
        <v>6</v>
      </c>
      <c r="C2" s="62"/>
      <c r="D2" s="62"/>
      <c r="E2" s="62"/>
      <c r="F2" s="3">
        <f>_xlfn.IFS(G2&lt;100,1,G2&lt;300,2,G2&lt;600,3,G2&lt;1000,4,G2&lt;1500,5,G2&lt;2100,6,G2&lt;2800,7,G2&lt;3600,8,G2&lt;4500,9,G2&lt;5500,10,G2&lt;6600,11,G2&lt;7800,12,G2&lt;9100,13,G2&lt;10500,14,G2&lt;12000,15,G2&lt;13600,16,G2&lt;15300,17,G2&lt;17100,18,G2&lt;19000,19,G2&lt;21000,20,G2&lt;23100,21,G2&lt;25300,22,G2&lt;27600,23,G2&lt;30000,24,G2&lt;32500,25,G2&lt;35100,26,G2&lt;37800,27,G2&lt;40600,28,G2&lt;43500,29,G2&lt;46500,30)</f>
        <v>30</v>
      </c>
      <c r="G2" s="83">
        <v>46000</v>
      </c>
      <c r="H2" s="62"/>
      <c r="I2" s="62"/>
      <c r="J2" s="62"/>
      <c r="K2" s="62"/>
      <c r="L2" s="62"/>
      <c r="M2" s="62"/>
      <c r="N2" s="62"/>
      <c r="O2" s="62"/>
      <c r="P2" s="62"/>
      <c r="Q2" s="62"/>
      <c r="R2" s="62"/>
      <c r="S2" s="62"/>
      <c r="T2" s="62"/>
      <c r="U2" s="62"/>
      <c r="V2" s="62"/>
      <c r="W2" s="62"/>
      <c r="X2" s="62"/>
      <c r="Y2" s="62"/>
      <c r="Z2" s="62"/>
      <c r="AA2" s="62"/>
      <c r="AB2" s="62"/>
      <c r="AC2" s="62"/>
      <c r="AD2" s="62"/>
      <c r="AE2" s="62"/>
    </row>
    <row r="3" spans="1:32">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row>
    <row r="4" spans="1:32">
      <c r="A4" s="62"/>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row>
    <row r="5" spans="1:32">
      <c r="A5" s="84" t="str">
        <f>E5</f>
        <v>Pierre</v>
      </c>
      <c r="B5" s="63"/>
      <c r="C5" s="80"/>
      <c r="D5" s="84" t="str" cm="1">
        <f t="array" aca="1" ref="D5" ca="1">IFERROR(_xlfn._xlws.FILTER(INDIRECT("'" &amp; F5 &amp; "'!$C$4:$C$20"),(INDIRECT("'" &amp; F5 &amp; "'!$A$4:$A$20")&lt;=$F$2)*(IF(G6="Magie",(INDIRECT("'" &amp; F5 &amp; "'!$B$4:$B$20")="M"),IF(G6="Compétence",(INDIRECT("'" &amp; F5 &amp; "'!$B$4:$B$20")="C"))))),"")</f>
        <v/>
      </c>
      <c r="E5" s="1" t="s">
        <v>5</v>
      </c>
      <c r="F5" t="s">
        <v>6</v>
      </c>
      <c r="G5" s="58" t="s">
        <v>7</v>
      </c>
      <c r="H5" s="62"/>
      <c r="I5" s="81"/>
      <c r="J5" s="84" t="str" cm="1">
        <f t="array" aca="1" ref="J5:J14" ca="1">IFERROR(_xlfn._xlws.FILTER(INDIRECT("'" &amp; L5 &amp; "'!$C$4:$C$20"),(INDIRECT("'" &amp; L5 &amp; "'!$A$4:$A$20")&lt;=$F$2)*(IF(M6="Magie",(INDIRECT("'" &amp; L5 &amp; "'!$B$4:$B$20")="M"),IF(M6="Compétence",(INDIRECT("'" &amp; L5 &amp; "'!$B$4:$B$20")="C"))))),"")</f>
        <v>Brasier</v>
      </c>
      <c r="K5" s="1" t="s">
        <v>8</v>
      </c>
      <c r="L5" s="105" t="s">
        <v>6</v>
      </c>
      <c r="M5" s="58" t="s">
        <v>7</v>
      </c>
      <c r="N5" s="63"/>
      <c r="O5" s="82"/>
      <c r="P5" s="63" t="str" cm="1">
        <f t="array" aca="1" ref="P5:P14" ca="1">IFERROR(_xlfn._xlws.FILTER(INDIRECT("'" &amp; R5 &amp; "'!$C$4:$C$20"),(INDIRECT("'" &amp; R5 &amp; "'!$A$4:$A$20")&lt;=$F$2)*(IF(S6="Magie",(INDIRECT("'" &amp; R5 &amp; "'!$B$4:$B$20")="M"),IF(S6="Compétence",(INDIRECT("'" &amp; R5 &amp; "'!$B$4:$B$20")="C"))))),"")</f>
        <v>Brasier</v>
      </c>
      <c r="Q5" s="1" t="s">
        <v>9</v>
      </c>
      <c r="R5" s="105" t="s">
        <v>6</v>
      </c>
      <c r="S5" s="58" t="s">
        <v>7</v>
      </c>
      <c r="T5" s="62"/>
      <c r="U5" s="84" t="str" cm="1">
        <f t="array" aca="1" ref="U5" ca="1">IFERROR(_xlfn._xlws.FILTER(INDIRECT("'" &amp; W5 &amp; "'!$C$4:$C$20"),(INDIRECT("'" &amp; W5 &amp; "'!$A$4:$A$20")&lt;=$F$2)*(IF(X6="Magie",(INDIRECT("'" &amp; W5 &amp; "'!$B$4:$B$20")="M"),IF(X6="Compétence",(INDIRECT("'" &amp; W5 &amp; "'!$B$4:$B$20")="C"))))),"")</f>
        <v/>
      </c>
      <c r="V5" s="1" t="s">
        <v>10</v>
      </c>
      <c r="W5" s="105" t="s">
        <v>11</v>
      </c>
      <c r="X5" s="58" t="s">
        <v>7</v>
      </c>
      <c r="Y5" s="62"/>
      <c r="Z5" s="62"/>
      <c r="AA5" s="62"/>
      <c r="AB5" s="62"/>
      <c r="AC5" s="62"/>
      <c r="AD5" s="62"/>
    </row>
    <row r="6" spans="1:32" ht="39">
      <c r="A6" s="84" t="str">
        <f>K5</f>
        <v>Vincent</v>
      </c>
      <c r="B6" s="63"/>
      <c r="C6" s="80"/>
      <c r="D6" s="84"/>
      <c r="E6" s="85" t="str">
        <f ca="1">_xlfn.CONCAT("Armes (",INDIRECT("'" &amp; F5 &amp; "'!C2"),")")</f>
        <v>Armes (Katana,Marteau,Masse,Sceptre)</v>
      </c>
      <c r="F6" s="1" t="s">
        <v>12</v>
      </c>
      <c r="G6" s="92" t="s">
        <v>37</v>
      </c>
      <c r="H6" s="62"/>
      <c r="I6" s="81"/>
      <c r="J6" s="84" t="str">
        <f ca="1"/>
        <v>Foudre</v>
      </c>
      <c r="K6" s="85" t="str">
        <f ca="1">_xlfn.CONCAT("Armes (",INDIRECT("'" &amp; L5 &amp; "'!C2"),")")</f>
        <v>Armes (Katana,Marteau,Masse,Sceptre)</v>
      </c>
      <c r="L6" s="106" t="s">
        <v>14</v>
      </c>
      <c r="M6" s="92" t="s">
        <v>13</v>
      </c>
      <c r="N6" s="63"/>
      <c r="O6" s="82"/>
      <c r="P6" s="63" t="str">
        <f ca="1"/>
        <v>Foudre</v>
      </c>
      <c r="Q6" s="85" t="str">
        <f ca="1">_xlfn.CONCAT("Armes (",INDIRECT("'" &amp; R5 &amp; "'!C2"),")")</f>
        <v>Armes (Katana,Marteau,Masse,Sceptre)</v>
      </c>
      <c r="R6" s="107" t="s">
        <v>12</v>
      </c>
      <c r="S6" s="92" t="s">
        <v>13</v>
      </c>
      <c r="T6" s="62"/>
      <c r="U6" s="84"/>
      <c r="V6" s="85" t="str">
        <f ca="1">_xlfn.CONCAT("Armes (",INDIRECT("'" &amp; W5 &amp; "'!C2"),")")</f>
        <v>Armes (Katana,Dagues,Arc)</v>
      </c>
      <c r="W6" s="3" t="s">
        <v>104</v>
      </c>
      <c r="X6" s="92" t="s">
        <v>37</v>
      </c>
      <c r="Y6" s="62"/>
      <c r="Z6" s="62"/>
      <c r="AA6" s="62"/>
      <c r="AB6" s="62"/>
      <c r="AC6" s="62"/>
      <c r="AD6" s="62"/>
      <c r="AE6" t="e" cm="1">
        <f t="array" ref="AE6">IF(AND($X$6="Magie",_xlfn.XLOOKUP($X$7,Magies!$B$2:$B$40,Magies!$A$2:$A$40)="Allié"),$A$5:$A$8,IF($X$6="Compétence",$A$5:$A$8,$L$22:$L$27))</f>
        <v>#N/A</v>
      </c>
      <c r="AF6" t="str" cm="1">
        <f t="array" ref="AF6:AF11">IF(_xlfn.XLOOKUP($X$7,Compétences!$D$2:$D$84,Compétences!$C$2:$C$84)="Allié",$A$5:$A$8,$L$22:$L$27)</f>
        <v>Yéti</v>
      </c>
    </row>
    <row r="7" spans="1:32">
      <c r="A7" s="84" t="str">
        <f>Q5</f>
        <v>Romain</v>
      </c>
      <c r="B7" s="63"/>
      <c r="C7" s="80"/>
      <c r="D7" s="84"/>
      <c r="E7" s="1" t="s">
        <v>16</v>
      </c>
      <c r="F7" s="64">
        <f>10+F11</f>
        <v>11</v>
      </c>
      <c r="G7" s="93" t="s">
        <v>17</v>
      </c>
      <c r="H7" s="62"/>
      <c r="I7" s="81"/>
      <c r="J7" s="84" t="str">
        <f ca="1"/>
        <v>Soin</v>
      </c>
      <c r="K7" s="1" t="s">
        <v>16</v>
      </c>
      <c r="L7" s="64">
        <f>10+L11</f>
        <v>20</v>
      </c>
      <c r="M7" s="93" t="s">
        <v>18</v>
      </c>
      <c r="N7" s="63"/>
      <c r="O7" s="82"/>
      <c r="P7" s="63" t="str">
        <f ca="1"/>
        <v>Soin</v>
      </c>
      <c r="Q7" s="1" t="s">
        <v>16</v>
      </c>
      <c r="R7" s="64">
        <f>10+R11</f>
        <v>11</v>
      </c>
      <c r="S7" s="93" t="s">
        <v>19</v>
      </c>
      <c r="T7" s="62"/>
      <c r="U7" s="63"/>
      <c r="V7" s="1" t="s">
        <v>16</v>
      </c>
      <c r="W7" s="64">
        <f>10+W11</f>
        <v>11</v>
      </c>
      <c r="X7" s="93" t="s">
        <v>20</v>
      </c>
      <c r="Y7" s="62"/>
      <c r="Z7" s="62"/>
      <c r="AA7" s="62"/>
      <c r="AB7" s="62"/>
      <c r="AC7" s="62"/>
      <c r="AD7" s="62"/>
      <c r="AF7" t="str">
        <v>???</v>
      </c>
    </row>
    <row r="8" spans="1:32">
      <c r="A8" s="84" t="str">
        <f>V5</f>
        <v>Ludovic</v>
      </c>
      <c r="B8" s="63"/>
      <c r="C8" s="80"/>
      <c r="D8" s="84"/>
      <c r="E8" s="1" t="s">
        <v>21</v>
      </c>
      <c r="F8" s="65">
        <f>10+F12</f>
        <v>12</v>
      </c>
      <c r="G8" s="58" t="s">
        <v>22</v>
      </c>
      <c r="H8" s="62"/>
      <c r="I8" s="81"/>
      <c r="J8" s="84" t="str">
        <f ca="1"/>
        <v>Glacier</v>
      </c>
      <c r="K8" s="1" t="s">
        <v>21</v>
      </c>
      <c r="L8" s="65">
        <f>10+L12</f>
        <v>10</v>
      </c>
      <c r="M8" s="58" t="s">
        <v>22</v>
      </c>
      <c r="N8" s="63"/>
      <c r="O8" s="82"/>
      <c r="P8" s="63" t="str">
        <f ca="1"/>
        <v>Glacier</v>
      </c>
      <c r="Q8" s="1" t="s">
        <v>21</v>
      </c>
      <c r="R8" s="65">
        <f>10+R12</f>
        <v>12</v>
      </c>
      <c r="S8" s="58" t="s">
        <v>22</v>
      </c>
      <c r="T8" s="62"/>
      <c r="U8" s="63"/>
      <c r="V8" s="1" t="s">
        <v>21</v>
      </c>
      <c r="W8" s="65">
        <f>10+W12</f>
        <v>14</v>
      </c>
      <c r="X8" s="58" t="s">
        <v>22</v>
      </c>
      <c r="Y8" s="62"/>
      <c r="Z8" s="62"/>
      <c r="AA8" s="62"/>
      <c r="AB8" s="62"/>
      <c r="AC8" s="62"/>
      <c r="AD8" s="62"/>
      <c r="AF8" t="str">
        <v>Dragon de glace</v>
      </c>
    </row>
    <row r="9" spans="1:32">
      <c r="A9" s="84"/>
      <c r="B9" s="63"/>
      <c r="C9" s="80"/>
      <c r="D9" s="84"/>
      <c r="E9" s="60" t="s">
        <v>23</v>
      </c>
      <c r="F9" s="66">
        <v>0</v>
      </c>
      <c r="G9" s="57" t="s">
        <v>24</v>
      </c>
      <c r="H9" s="62"/>
      <c r="I9" s="81"/>
      <c r="J9" s="84" t="str">
        <f ca="1"/>
        <v>Brasier +</v>
      </c>
      <c r="K9" s="60" t="s">
        <v>23</v>
      </c>
      <c r="L9" s="66">
        <v>1</v>
      </c>
      <c r="M9" s="57" t="s">
        <v>24</v>
      </c>
      <c r="N9" s="63"/>
      <c r="O9" s="82"/>
      <c r="P9" s="63" t="str">
        <f ca="1"/>
        <v>Brasier +</v>
      </c>
      <c r="Q9" s="60" t="s">
        <v>23</v>
      </c>
      <c r="R9" s="66">
        <v>1</v>
      </c>
      <c r="S9" s="57" t="s">
        <v>25</v>
      </c>
      <c r="T9" s="62"/>
      <c r="U9" s="63"/>
      <c r="V9" s="60" t="s">
        <v>23</v>
      </c>
      <c r="W9" s="66">
        <v>0</v>
      </c>
      <c r="X9" s="57" t="s">
        <v>24</v>
      </c>
      <c r="Y9" s="62"/>
      <c r="Z9" s="62"/>
      <c r="AA9" s="62"/>
      <c r="AB9" s="62"/>
      <c r="AC9" s="62"/>
      <c r="AD9" s="62"/>
      <c r="AF9" t="str">
        <v>Bombo Feu</v>
      </c>
    </row>
    <row r="10" spans="1:32" ht="15" customHeight="1">
      <c r="A10" s="84"/>
      <c r="B10" s="63"/>
      <c r="C10" s="80"/>
      <c r="D10" s="63"/>
      <c r="E10" s="60" t="s">
        <v>26</v>
      </c>
      <c r="F10" s="66">
        <v>1</v>
      </c>
      <c r="G10" s="59" cm="1">
        <f t="array" ref="G10">_xlfn.LET(
_xlpm.crit,$B$2,_xlpm.roll,$B$1,
_xlpm.faiblessemonstre,_xlfn.XLOOKUP(G9,Bestiaire!$C$4:$C$35,Bestiaire!$D$4:$D$35),
_xlpm.immunite,_xlfn.XLOOKUP(G9,Bestiaire!$C$4:$C$35,Bestiaire!$E$4:$E$35),
_xlpm.resistance,_xlfn.XLOOKUP(G9,Bestiaire!$C$4:$C$35,Bestiaire!$F$4:$F$35),
IFERROR(IF(G6="Attaque",
_xlfn.LET(
_xlpm.element,_xlfn.XLOOKUP(F6,Armes!$D$3:$D$60,Armes!$I$3:$I$60),
_xlpm.faiblesse,IF(AND(_xlpm.element&lt;&gt;0,_xlpm.faiblessemonstre=_xlpm.element),2,IF(AND(_xlpm.element&lt;&gt;0,_xlpm.resistance=_xlpm.element),0.5,IF(AND(_xlpm.element&lt;&gt;0,_xlpm.immunite=_xlpm.element),0,1))),
_xlpm.mainstat,_xlfn.XLOOKUP(_xlfn.XLOOKUP(F6,Armes!$D$3:$D$60,Armes!$B$3:$B$60),E9:E15,F9:F15),
_xlpm.substat,IFERROR(_xlfn.XLOOKUP(_xlfn.XLOOKUP(F6,Armes!$D$3:$D$60,Armes!$C$3:$C$60),E9:E15,F9:F15),0),
_xlpm.wstat,_xlfn.XLOOKUP(F6,Armes!$D$3:$D$60,Armes!$E$3:$E$60),
_xlpm.wsstat,_xlfn.XLOOKUP(F6,Armes!$D$3:$D$60,Armes!$F$3:$F$60),_xlpm.calcul,
IF(_xlpm.roll&gt;1,IF(_xlpm.roll&gt;=(_xlpm.wstat-_xlpm.mainstat),((_xlpm.mainstat+_xlpm.roll)*_xlpm.wstat*_xlpm.faiblesse),0)+IF(_xlpm.roll&gt;=(_xlpm.wsstat-_xlpm.substat),_xlpm.wsstat*_xlpm.substat,0)+IF(_xlpm.roll=6,5+_xlpm.crit,0)*_xlpm.faiblesse,"Fumble"),_xlpm.calcul),
IF(G6="Compétence","Compétence",
IF(AND(G6="Magie",_xlfn.XLOOKUP(G7,Magies!$B$2:$B$40,Magies!$A$2:$A$40)="Ennemi"),
_xlfn.LET(
_xlpm.element,_xlfn.XLOOKUP(G7,Magies!$B$2:$B$40,Magies!$C$2:$C$40),
_xlpm.faiblesse,IF(_xlpm.faiblessemonstre=_xlpm.element,2,IF(_xlpm.resistance=_xlpm.element,0.5,IF(_xlpm.immunite=_xlpm.element,0,1))),
_xlpm.sort,_xlfn.XLOOKUP(G7,Magies!$B$2:$B$40,Magies!$E$2:$E$40),
_xlpm.calcul,IF(_xlpm.roll&gt;1,IF(_xlpm.roll&gt;=(_xlpm.sort-F13),
(((F13+_xlpm.sort)^2)/2*_xlpm.faiblesse)+_xlpm.roll+$F$2,0)*IF(_xlpm.roll=6,_xlpm.crit,1),"Fumble"),IFERROR(ROUNDDOWN(_xlpm.calcul,0),_xlpm.calcul)),IF(AND(G6="Magie",_xlfn.XLOOKUP(G7,Magies!$B$2:$B$40,Magies!$A$2:$A$40)="Allié"),_xlfn.CONCAT("Soin ",_xlfn.XLOOKUP(G7,Magies!$B$2:$B$40,Magies!$F$2:$F$40),"PV"),"Erreur Magie")))),"Erreur"))</f>
        <v>25</v>
      </c>
      <c r="H10" s="62"/>
      <c r="I10" s="81"/>
      <c r="J10" s="84" t="str">
        <f ca="1"/>
        <v>Garde</v>
      </c>
      <c r="K10" s="60" t="s">
        <v>26</v>
      </c>
      <c r="L10" s="66">
        <v>10</v>
      </c>
      <c r="M10" s="59" cm="1">
        <f t="array" ref="M10">_xlfn.LET(
_xlpm.crit,$B$2,_xlpm.roll,$B$1,
_xlpm.faiblessemonstre,_xlfn.XLOOKUP(M9,Bestiaire!$C$4:$C$35,Bestiaire!$D$4:$D$35),
_xlpm.immunite,_xlfn.XLOOKUP(M9,Bestiaire!$C$4:$C$35,Bestiaire!$E$4:$E$35),
_xlpm.resistance,_xlfn.XLOOKUP(M9,Bestiaire!$C$4:$C$35,Bestiaire!$F$4:$F$35),
IFERROR(IF(M6="Attaque",
_xlfn.LET(
_xlpm.element,_xlfn.XLOOKUP(L6,Armes!$D$3:$D$60,Armes!$I$3:$I$60),
_xlpm.faiblesse,IF(AND(_xlpm.element&lt;&gt;0,_xlpm.faiblessemonstre=_xlpm.element),2,IF(AND(_xlpm.element&lt;&gt;0,_xlpm.resistance=_xlpm.element),0.5,IF(AND(_xlpm.element&lt;&gt;0,_xlpm.immunite=_xlpm.element),0,1))),
_xlpm.mainstat,_xlfn.XLOOKUP(_xlfn.XLOOKUP(L6,Armes!$D$3:$D$60,Armes!$B$3:$B$60),K9:K15,L9:L15),
_xlpm.substat,IFERROR(_xlfn.XLOOKUP(_xlfn.XLOOKUP(L6,Armes!$D$3:$D$60,Armes!$C$3:$C$60),K9:K15,L9:L15),0),
_xlpm.wstat,_xlfn.XLOOKUP(L6,Armes!$D$3:$D$60,Armes!$E$3:$E$60),
_xlpm.wsstat,_xlfn.XLOOKUP(L6,Armes!$D$3:$D$60,Armes!$F$3:$F$60),_xlpm.calcul,
IF(_xlpm.roll&gt;1,IF(_xlpm.roll&gt;=(_xlpm.wstat-_xlpm.mainstat),((_xlpm.mainstat+_xlpm.roll)*_xlpm.wstat*_xlpm.faiblesse),0)+IF(_xlpm.roll&gt;=(_xlpm.wsstat-_xlpm.substat),_xlpm.wsstat*_xlpm.substat,0)+IF(_xlpm.roll=6,5+_xlpm.crit,0)*_xlpm.faiblesse,"Fumble"),_xlpm.calcul),
IF(M6="Compétence","Compétence",
IF(AND(M6="Magie",_xlfn.XLOOKUP(M7,Magies!$B$2:$B$40,Magies!$A$2:$A$40)="Ennemi"),
_xlfn.LET(
_xlpm.element,_xlfn.XLOOKUP(M7,Magies!$B$2:$B$40,Magies!$C$2:$C$40),
_xlpm.faiblesse,IF(_xlpm.faiblessemonstre=_xlpm.element,2,IF(_xlpm.resistance=_xlpm.element,0.5,IF(_xlpm.immunite=_xlpm.element,0,1))),
_xlpm.sort,_xlfn.XLOOKUP(M7,Magies!$B$2:$B$40,Magies!$E$2:$E$40),
_xlpm.calcul,IF(_xlpm.roll&gt;1,IF(_xlpm.roll&gt;=(_xlpm.sort-L13),
(((L13+_xlpm.sort)^2)/2*_xlpm.faiblesse)+_xlpm.roll+$F$2,0)*IF(_xlpm.roll=6,_xlpm.crit,1),"Fumble"),IFERROR(ROUNDDOWN(_xlpm.calcul,0),_xlpm.calcul)),IF(AND(M6="Magie",_xlfn.XLOOKUP(M7,Magies!$B$2:$B$40,Magies!$A$2:$A$40)="Allié"),_xlfn.CONCAT("Soin ",_xlfn.XLOOKUP(M7,Magies!$B$2:$B$40,Magies!$F$2:$F$40),"PV"),"Erreur Magie")))),"Erreur"))</f>
        <v>1950</v>
      </c>
      <c r="N10" s="63"/>
      <c r="O10" s="82"/>
      <c r="P10" s="63" t="str">
        <f ca="1"/>
        <v>Garde</v>
      </c>
      <c r="Q10" s="60" t="s">
        <v>26</v>
      </c>
      <c r="R10" s="66">
        <v>1</v>
      </c>
      <c r="S10" s="59" cm="1">
        <f t="array" ref="S10">_xlfn.LET(
_xlpm.crit,$B$2,_xlpm.roll,$B$1,
_xlpm.faiblessemonstre,_xlfn.XLOOKUP(S9,Bestiaire!$C$4:$C$35,Bestiaire!$D$4:$D$35),
_xlpm.immunite,_xlfn.XLOOKUP(S9,Bestiaire!$C$4:$C$35,Bestiaire!$E$4:$E$35),
_xlpm.resistance,_xlfn.XLOOKUP(S9,Bestiaire!$C$4:$C$35,Bestiaire!$F$4:$F$35),
IFERROR(IF(S6="Attaque",
_xlfn.LET(
_xlpm.element,_xlfn.XLOOKUP(R6,Armes!$D$3:$D$60,Armes!$I$3:$I$60),
_xlpm.faiblesse,IF(AND(_xlpm.element&lt;&gt;0,_xlpm.faiblessemonstre=_xlpm.element),2,IF(AND(_xlpm.element&lt;&gt;0,_xlpm.resistance=_xlpm.element),0.5,IF(AND(_xlpm.element&lt;&gt;0,_xlpm.immunite=_xlpm.element),0,1))),
_xlpm.mainstat,_xlfn.XLOOKUP(_xlfn.XLOOKUP(R6,Armes!$D$3:$D$60,Armes!$B$3:$B$60),Q9:Q15,R9:R15),
_xlpm.substat,IFERROR(_xlfn.XLOOKUP(_xlfn.XLOOKUP(R6,Armes!$D$3:$D$60,Armes!$C$3:$C$60),Q9:Q15,R9:R15),0),
_xlpm.wstat,_xlfn.XLOOKUP(R6,Armes!$D$3:$D$60,Armes!$E$3:$E$60),
_xlpm.wsstat,_xlfn.XLOOKUP(R6,Armes!$D$3:$D$60,Armes!$F$3:$F$60),_xlpm.calcul,
IF(_xlpm.roll&gt;1,IF(_xlpm.roll&gt;=(_xlpm.wstat-_xlpm.mainstat),((_xlpm.mainstat+_xlpm.roll)*_xlpm.wstat*_xlpm.faiblesse),0)+IF(_xlpm.roll&gt;=(_xlpm.wsstat-_xlpm.substat),_xlpm.wsstat*_xlpm.substat,0)+IF(_xlpm.roll=6,5+_xlpm.crit,0)*_xlpm.faiblesse,"Fumble"),_xlpm.calcul),
IF(S6="Compétence","Compétence",
IF(AND(S6="Magie",_xlfn.XLOOKUP(S7,Magies!$B$2:$B$40,Magies!$A$2:$A$40)="Ennemi"),
_xlfn.LET(
_xlpm.element,_xlfn.XLOOKUP(S7,Magies!$B$2:$B$40,Magies!$C$2:$C$40),
_xlpm.faiblesse,IF(_xlpm.faiblessemonstre=_xlpm.element,2,IF(_xlpm.resistance=_xlpm.element,0.5,IF(_xlpm.immunite=_xlpm.element,0,1))),
_xlpm.sort,_xlfn.XLOOKUP(S7,Magies!$B$2:$B$40,Magies!$E$2:$E$40),
_xlpm.calcul,IF(_xlpm.roll&gt;1,IF(_xlpm.roll&gt;=(_xlpm.sort-R13),
(((R13+_xlpm.sort)^2)/2*_xlpm.faiblesse)+_xlpm.roll+$F$2,0)*IF(_xlpm.roll=6,_xlpm.crit,1),"Fumble"),
IFERROR(ROUNDDOWN(_xlpm.calcul,0),_xlpm.calcul)),IF(AND(S6="Magie",_xlfn.XLOOKUP(S7,Magies!$B$2:$B$40,Magies!$A$2:$A$40)="Allié"),_xlfn.CONCAT("Soin ",_xlfn.XLOOKUP(S7,Magies!$B$2:$B$40,Magies!$F$2:$F$40),"PV"),"Erreur Magie")))),"Erreur"))</f>
        <v>816</v>
      </c>
      <c r="T10" s="62"/>
      <c r="U10" s="63"/>
      <c r="V10" s="60" t="s">
        <v>26</v>
      </c>
      <c r="W10" s="66">
        <v>10</v>
      </c>
      <c r="X10" s="59">
        <f>_xlfn.LET(
_xlpm.crit,$B$2,_xlpm.roll,$B$1,
_xlpm.faiblessemonstre,_xlfn.XLOOKUP(X9,Bestiaire!$C$4:$C$35,Bestiaire!$D$4:$D$35),
_xlpm.immunite,_xlfn.XLOOKUP(X9,Bestiaire!$C$4:$C$35,Bestiaire!$E$4:$E$35),
_xlpm.resistance,_xlfn.XLOOKUP(X9,Bestiaire!$C$4:$C$35,Bestiaire!$F$4:$F$35),
_xlpm.elementArme,_xlfn.XLOOKUP(W6,Armes!$D$3:$D$60,Armes!$I$3:$I$60),
_xlpm.faiblesseArme,IF(AND(_xlpm.elementArme&lt;&gt;0,_xlpm.faiblessemonstre=_xlpm.elementArme),2,IF(AND(_xlpm.elementArme&lt;&gt;0,_xlpm.resistance=_xlpm.elementArme),0.5,IF(AND(_xlpm.elementArme&lt;&gt;0,_xlpm.immunite=_xlpm.elementArme),0,1))),
_xlpm.mainstat,_xlfn.XLOOKUP(_xlfn.XLOOKUP(W6,Armes!$D$3:$D$60,Armes!$B$3:$B$60),V9:V15,W9:W15),
_xlpm.substat,IFERROR(_xlfn.XLOOKUP(_xlfn.XLOOKUP(W6,Armes!$D$3:$D$60,Armes!$C$3:$C$60),V9:V15,W9:W15),0),
_xlpm.wstat,_xlfn.XLOOKUP(W6,Armes!$D$3:$D$60,Armes!$E$3:$E$60),
_xlpm.wsstat,_xlfn.XLOOKUP(W6,Armes!$D$3:$D$60,Armes!$F$3:$F$60),
_xlpm.attaquenormale,
IF(_xlpm.roll&gt;1,(IF(_xlpm.roll&gt;=(_xlpm.wstat-_xlpm.mainstat),((_xlpm.mainstat+_xlpm.roll)*_xlpm.wstat),0)+IF(_xlpm.roll&gt;=(_xlpm.wsstat-_xlpm.substat),_xlpm.wsstat*_xlpm.substat,0))*IF(_xlpm.roll=6,_xlpm.crit,1)*_xlpm.faiblesseArme,"Fumble"),
IFERROR(IF(X6="Attaque",
_xlpm.attaquenormale,
IF(X6="Compétence",
IF((_xlfn.XLOOKUP(X7,Compétences!$D$2:$D$84,Compétences!$O$2:$O$84))=0,_xlpm.attaquenormale,_xlfn.CONCAT(_xlfn.XLOOKUP(X7,Compétences!$D$2:$D$84,Compétences!$O$2:$O$84),X9)),
IF(AND(X6="Magie",_xlfn.XLOOKUP(X7,Magies!$B$2:$B$40,Magies!$A$2:$A$40)="Ennemi"),
_xlfn.LET(
_xlpm.element,_xlfn.XLOOKUP(X7,Magies!$B$2:$B$40,Magies!$C$2:$C$40),
_xlpm.faiblesse,IF(_xlpm.faiblessemonstre=_xlpm.element,2,IF(_xlpm.resistance=_xlpm.element,0.5,IF(_xlpm.immunite=_xlpm.element,0,1))),
_xlpm.sort,_xlfn.XLOOKUP(X7,Magies!$B$2:$B$40,Magies!$E$2:$E$40),
_xlpm.calcul,IF(_xlpm.roll&gt;1,IF(_xlpm.roll&gt;=(_xlpm.sort-W13),
((W13+_xlpm.sort)*_xlpm.faiblesse),0)+IF(_xlpm.roll=6,_xlpm.crit+5,0)*_xlpm.faiblesse,"Fumble"),_xlpm.calcul),
IF(AND(X6="Magie",_xlfn.XLOOKUP(X7,Magies!$B$2:$B$40,Magies!$A$2:$A$40)="Allié"),
_xlfn.CONCAT("Soin ",_xlfn.XLOOKUP(X7,Magies!$B$2:$B$40,Magies!$F$2:$F$40),"PV"),"Erreur Magie")))),"Erreur"))</f>
        <v>864</v>
      </c>
      <c r="Y10" s="62"/>
      <c r="Z10" s="62"/>
      <c r="AA10" s="62"/>
      <c r="AB10" s="62"/>
      <c r="AC10" s="62"/>
      <c r="AD10" s="62"/>
      <c r="AF10" t="str">
        <v>Bombo Foudre</v>
      </c>
    </row>
    <row r="11" spans="1:32">
      <c r="A11" s="63"/>
      <c r="B11" s="63"/>
      <c r="C11" s="80"/>
      <c r="D11" s="63"/>
      <c r="E11" s="60" t="s">
        <v>27</v>
      </c>
      <c r="F11" s="66">
        <v>1</v>
      </c>
      <c r="H11" s="62"/>
      <c r="I11" s="81"/>
      <c r="J11" s="84" t="str">
        <f ca="1"/>
        <v>Foudre +</v>
      </c>
      <c r="K11" s="60" t="s">
        <v>27</v>
      </c>
      <c r="L11" s="66">
        <v>10</v>
      </c>
      <c r="N11" s="63"/>
      <c r="O11" s="82"/>
      <c r="P11" s="63" t="str">
        <f ca="1"/>
        <v>Foudre +</v>
      </c>
      <c r="Q11" s="60" t="s">
        <v>27</v>
      </c>
      <c r="R11" s="66">
        <v>1</v>
      </c>
      <c r="T11" s="62"/>
      <c r="U11" s="63"/>
      <c r="V11" s="60" t="s">
        <v>27</v>
      </c>
      <c r="W11" s="66">
        <v>1</v>
      </c>
      <c r="Y11" s="62"/>
      <c r="Z11" s="62"/>
      <c r="AA11" s="62"/>
      <c r="AB11" s="62"/>
      <c r="AC11" s="62"/>
      <c r="AD11" s="62"/>
      <c r="AF11" t="str">
        <v>Loup</v>
      </c>
    </row>
    <row r="12" spans="1:32">
      <c r="A12" s="63"/>
      <c r="B12" s="63"/>
      <c r="C12" s="80"/>
      <c r="D12" s="63"/>
      <c r="E12" s="60" t="s">
        <v>21</v>
      </c>
      <c r="F12" s="66">
        <v>2</v>
      </c>
      <c r="H12" s="62"/>
      <c r="I12" s="81"/>
      <c r="J12" s="84" t="str">
        <f ca="1"/>
        <v>Glacier +</v>
      </c>
      <c r="K12" s="60" t="s">
        <v>21</v>
      </c>
      <c r="L12" s="66">
        <v>0</v>
      </c>
      <c r="N12" s="63"/>
      <c r="O12" s="82"/>
      <c r="P12" s="63" t="str">
        <f ca="1"/>
        <v>Glacier +</v>
      </c>
      <c r="Q12" s="60" t="s">
        <v>21</v>
      </c>
      <c r="R12" s="66">
        <v>2</v>
      </c>
      <c r="T12" s="62"/>
      <c r="U12" s="63"/>
      <c r="V12" s="60" t="s">
        <v>21</v>
      </c>
      <c r="W12" s="66">
        <v>4</v>
      </c>
      <c r="Y12" s="62"/>
      <c r="Z12" s="62"/>
      <c r="AA12" s="62"/>
      <c r="AB12" s="62"/>
      <c r="AC12" s="62"/>
      <c r="AD12" s="62"/>
    </row>
    <row r="13" spans="1:32">
      <c r="A13" s="63"/>
      <c r="B13" s="63"/>
      <c r="C13" s="80"/>
      <c r="D13" s="63"/>
      <c r="E13" s="60" t="s">
        <v>28</v>
      </c>
      <c r="F13" s="66">
        <v>10</v>
      </c>
      <c r="H13" s="62"/>
      <c r="I13" s="81"/>
      <c r="J13" s="84" t="str">
        <f ca="1"/>
        <v>Lumen</v>
      </c>
      <c r="K13" s="60" t="s">
        <v>28</v>
      </c>
      <c r="L13" s="66">
        <v>10</v>
      </c>
      <c r="N13" s="63"/>
      <c r="O13" s="82"/>
      <c r="P13" s="63" t="str">
        <f ca="1"/>
        <v>Lumen</v>
      </c>
      <c r="Q13" s="60" t="s">
        <v>28</v>
      </c>
      <c r="R13" s="66">
        <v>7</v>
      </c>
      <c r="T13" s="62"/>
      <c r="U13" s="63"/>
      <c r="V13" s="60" t="s">
        <v>28</v>
      </c>
      <c r="W13" s="66">
        <v>2</v>
      </c>
      <c r="Y13" s="62"/>
      <c r="Z13" s="62"/>
      <c r="AA13" s="62"/>
      <c r="AB13" s="62"/>
      <c r="AC13" s="62"/>
      <c r="AD13" s="62"/>
    </row>
    <row r="14" spans="1:32">
      <c r="A14" s="63"/>
      <c r="B14" s="63"/>
      <c r="C14" s="80"/>
      <c r="D14" s="63"/>
      <c r="E14" s="60" t="s">
        <v>29</v>
      </c>
      <c r="F14" s="66">
        <v>2</v>
      </c>
      <c r="H14" s="62"/>
      <c r="I14" s="81"/>
      <c r="J14" s="152" t="str">
        <f ca="1"/>
        <v>Brasier X</v>
      </c>
      <c r="K14" s="60" t="s">
        <v>29</v>
      </c>
      <c r="L14" s="66">
        <v>2</v>
      </c>
      <c r="N14" s="63"/>
      <c r="O14" s="82"/>
      <c r="P14" s="63" t="str">
        <f ca="1"/>
        <v>Brasier X</v>
      </c>
      <c r="Q14" s="60" t="s">
        <v>29</v>
      </c>
      <c r="R14" s="66">
        <v>3</v>
      </c>
      <c r="T14" s="62"/>
      <c r="U14" s="63"/>
      <c r="V14" s="60" t="s">
        <v>29</v>
      </c>
      <c r="W14" s="66">
        <v>1</v>
      </c>
      <c r="Y14" s="62"/>
      <c r="Z14" s="62"/>
      <c r="AA14" s="62"/>
      <c r="AB14" s="62"/>
      <c r="AC14" s="62"/>
      <c r="AD14" s="62"/>
    </row>
    <row r="15" spans="1:32">
      <c r="A15" s="63"/>
      <c r="B15" s="63"/>
      <c r="C15" s="58" t="s">
        <v>30</v>
      </c>
      <c r="D15" s="63"/>
      <c r="E15" s="60" t="s">
        <v>31</v>
      </c>
      <c r="F15" s="66">
        <v>0</v>
      </c>
      <c r="H15" s="62"/>
      <c r="I15" s="58" t="s">
        <v>30</v>
      </c>
      <c r="J15" s="84"/>
      <c r="K15" s="60" t="s">
        <v>31</v>
      </c>
      <c r="L15" s="66">
        <v>0</v>
      </c>
      <c r="N15" s="63"/>
      <c r="O15" s="58" t="s">
        <v>30</v>
      </c>
      <c r="P15" s="63"/>
      <c r="Q15" s="60" t="s">
        <v>31</v>
      </c>
      <c r="R15" s="66">
        <v>0</v>
      </c>
      <c r="T15" s="62"/>
      <c r="U15" s="63"/>
      <c r="V15" s="60" t="s">
        <v>31</v>
      </c>
      <c r="W15" s="66">
        <v>1</v>
      </c>
      <c r="Y15" s="62"/>
      <c r="Z15" s="62"/>
      <c r="AA15" s="62"/>
      <c r="AB15" s="62"/>
      <c r="AC15" s="62"/>
      <c r="AD15" s="62"/>
    </row>
    <row r="16" spans="1:32">
      <c r="A16" s="63"/>
      <c r="B16" s="63"/>
      <c r="C16" s="63"/>
      <c r="D16" s="63"/>
      <c r="E16" s="62"/>
      <c r="F16" s="62"/>
      <c r="G16" s="62"/>
      <c r="H16" s="62"/>
      <c r="I16" s="62"/>
      <c r="J16" s="62"/>
      <c r="K16" s="62"/>
      <c r="L16" s="62"/>
      <c r="M16" s="62"/>
      <c r="N16" s="62"/>
      <c r="O16" s="62"/>
      <c r="P16" s="63"/>
      <c r="Q16" s="62"/>
      <c r="R16" s="62"/>
      <c r="S16" s="62"/>
      <c r="T16" s="62"/>
      <c r="U16" s="84"/>
      <c r="V16" s="62"/>
      <c r="W16" s="62"/>
      <c r="X16" s="62"/>
      <c r="Y16" s="62"/>
      <c r="Z16" s="62"/>
      <c r="AA16" s="62"/>
      <c r="AB16" s="62"/>
      <c r="AC16" s="62"/>
      <c r="AD16" s="62"/>
    </row>
    <row r="17" spans="1:30">
      <c r="A17" s="63"/>
      <c r="B17" s="63"/>
      <c r="C17" s="63"/>
      <c r="D17" s="63"/>
      <c r="E17" s="62"/>
      <c r="F17" s="62"/>
      <c r="G17" s="62"/>
      <c r="H17" s="62"/>
      <c r="I17" s="62"/>
      <c r="J17" s="62"/>
      <c r="K17" s="62"/>
      <c r="L17" s="62"/>
      <c r="M17" s="62"/>
      <c r="N17" s="62"/>
      <c r="O17" s="62"/>
      <c r="P17" s="63"/>
      <c r="Q17" s="62"/>
      <c r="R17" s="62"/>
      <c r="S17" s="62"/>
      <c r="T17" s="62"/>
      <c r="U17" s="84"/>
      <c r="V17" s="62"/>
      <c r="W17" s="62"/>
      <c r="X17" s="62"/>
      <c r="Y17" s="62"/>
      <c r="Z17" s="62"/>
      <c r="AA17" s="62"/>
      <c r="AB17" s="62"/>
      <c r="AC17" s="62"/>
      <c r="AD17" s="62"/>
    </row>
    <row r="18" spans="1:30">
      <c r="A18" s="63"/>
      <c r="B18" s="63"/>
      <c r="C18" s="63"/>
      <c r="D18" s="63"/>
      <c r="E18" s="62"/>
      <c r="F18" s="62"/>
      <c r="G18" s="62"/>
      <c r="H18" s="62"/>
      <c r="I18" s="62"/>
      <c r="J18" s="62"/>
      <c r="K18" s="62"/>
      <c r="L18" s="62"/>
      <c r="M18" s="62"/>
      <c r="N18" s="62"/>
      <c r="O18" s="62"/>
      <c r="P18" s="63"/>
      <c r="Q18" s="62"/>
      <c r="R18" s="62"/>
      <c r="S18" s="62"/>
      <c r="T18" s="62"/>
      <c r="U18" s="84"/>
      <c r="V18" s="62"/>
      <c r="W18" s="62"/>
      <c r="X18" s="62"/>
      <c r="Y18" s="62"/>
      <c r="Z18" s="62"/>
      <c r="AA18" s="62"/>
      <c r="AB18" s="62"/>
      <c r="AC18" s="62"/>
      <c r="AD18" s="62"/>
    </row>
    <row r="19" spans="1:30">
      <c r="A19" s="63"/>
      <c r="B19" s="63"/>
      <c r="C19" s="63"/>
      <c r="D19" s="63"/>
      <c r="E19" s="62"/>
      <c r="F19" s="62"/>
      <c r="G19" s="62"/>
      <c r="H19" s="62"/>
      <c r="I19" s="62"/>
      <c r="J19" s="62"/>
      <c r="K19" s="62"/>
      <c r="L19" s="62"/>
      <c r="M19" s="62"/>
      <c r="N19" s="62"/>
      <c r="O19" s="62"/>
      <c r="P19" s="63"/>
      <c r="Q19" s="62"/>
      <c r="R19" s="62"/>
      <c r="S19" s="62"/>
      <c r="T19" s="62"/>
      <c r="U19" s="84"/>
      <c r="V19" s="62"/>
      <c r="W19" s="62"/>
      <c r="X19" s="62"/>
      <c r="Y19" s="62"/>
      <c r="Z19" s="62"/>
      <c r="AA19" s="62"/>
      <c r="AB19" s="62"/>
      <c r="AC19" s="62"/>
      <c r="AD19" s="62"/>
    </row>
    <row r="20" spans="1:30">
      <c r="A20" s="63"/>
      <c r="B20" s="63"/>
      <c r="C20" s="63"/>
      <c r="D20" s="63"/>
      <c r="E20" s="62"/>
      <c r="F20" s="62"/>
      <c r="G20" s="62"/>
      <c r="H20" s="62"/>
      <c r="I20" s="62"/>
      <c r="J20" s="62"/>
      <c r="K20" s="62"/>
      <c r="L20" s="62"/>
      <c r="M20" s="62"/>
      <c r="N20" s="62"/>
      <c r="O20" s="62"/>
      <c r="P20" s="63"/>
      <c r="Q20" s="62"/>
      <c r="R20" s="62"/>
      <c r="S20" s="62"/>
      <c r="T20" s="62"/>
      <c r="U20" s="84" t="str" cm="1">
        <f t="array" aca="1" ref="U20" ca="1">IFERROR(_xlfn._xlws.FILTER(INDIRECT("'" &amp; W20 &amp; "'!$C$4:$C$20"),(INDIRECT("'" &amp; W20 &amp; "'!$A$4:$A$20")&lt;=$F$2)*(IF(X21="Magie",(INDIRECT("'" &amp; W20 &amp; "'!$B$4:$B$20")="M"),IF(X21="Compétence",(INDIRECT("'" &amp; W20 &amp; "'!$B$4:$B$20")="C"))))),"")</f>
        <v/>
      </c>
      <c r="V20" s="1" t="s">
        <v>32</v>
      </c>
      <c r="W20" s="105" t="s">
        <v>11</v>
      </c>
      <c r="X20" s="58" t="s">
        <v>7</v>
      </c>
      <c r="Y20" s="62"/>
      <c r="Z20" s="62"/>
      <c r="AA20" s="62"/>
      <c r="AB20" s="62"/>
      <c r="AC20" s="62"/>
      <c r="AD20" s="62"/>
    </row>
    <row r="21" spans="1:30" ht="39">
      <c r="A21" s="63"/>
      <c r="B21" s="63"/>
      <c r="C21" s="63"/>
      <c r="D21" s="63"/>
      <c r="E21" s="68" t="s">
        <v>33</v>
      </c>
      <c r="F21" s="62"/>
      <c r="G21" s="62"/>
      <c r="H21" s="62"/>
      <c r="I21" s="62"/>
      <c r="J21" s="62"/>
      <c r="K21" s="62"/>
      <c r="L21" s="60" t="s">
        <v>34</v>
      </c>
      <c r="M21" s="60" t="s">
        <v>35</v>
      </c>
      <c r="N21" s="60" t="s">
        <v>16</v>
      </c>
      <c r="O21" s="158" t="s">
        <v>36</v>
      </c>
      <c r="P21" s="159"/>
      <c r="Q21" s="62"/>
      <c r="R21" s="62"/>
      <c r="S21" s="62"/>
      <c r="T21" s="62"/>
      <c r="U21" s="84"/>
      <c r="V21" s="85" t="str">
        <f ca="1">_xlfn.CONCAT("Armes (",INDIRECT("'" &amp; W20 &amp; "'!C2"),")")</f>
        <v>Armes (Katana,Dagues,Arc)</v>
      </c>
      <c r="W21" s="3" t="s">
        <v>15</v>
      </c>
      <c r="X21" s="92" t="s">
        <v>37</v>
      </c>
      <c r="Y21" s="62"/>
      <c r="Z21" s="62"/>
      <c r="AA21" s="62"/>
      <c r="AB21" s="62"/>
      <c r="AC21" s="62"/>
      <c r="AD21" s="62"/>
    </row>
    <row r="22" spans="1:30">
      <c r="A22" s="63"/>
      <c r="B22" s="63"/>
      <c r="C22" s="63"/>
      <c r="D22" s="63"/>
      <c r="E22" s="3" t="s">
        <v>38</v>
      </c>
      <c r="F22" s="67">
        <v>610</v>
      </c>
      <c r="G22" s="62"/>
      <c r="H22" s="62"/>
      <c r="I22" s="62"/>
      <c r="J22" s="62"/>
      <c r="K22" s="62"/>
      <c r="L22" s="61" t="s">
        <v>25</v>
      </c>
      <c r="M22" s="61" cm="1">
        <f t="array" aca="1" ref="M22" ca="1">IFERROR(INDIRECT(_xlfn.CONCAT("'Bestiaire'!",ADDRESS(ROW(_xlfn.XLOOKUP(Equipe!L22,Bestiaire!$C$4:$C$35,Bestiaire!$C$4:$C$35)),10+4*($N$1-1)))),"")</f>
        <v>480</v>
      </c>
      <c r="N22" s="79">
        <f ca="1">IFERROR(M22-(IF(ISNUMBER(G10),G10,0)+IF(ISNUMBER(M10),M10,0)+IF(ISNUMBER(S10),S10,0)+IF(ISNUMBER(X10),X10,0)),"")</f>
        <v>-3175</v>
      </c>
      <c r="O22" s="156" cm="1">
        <f t="array" aca="1" ref="O22" ca="1">IFERROR(INDIRECT(_xlfn.CONCAT("'Bestiaire'!",ADDRESS(ROW(_xlfn.XLOOKUP(Equipe!L22,Bestiaire!$C$4:$C$35,Bestiaire!$C$4:$C$35)),11+3*($N$1-1)))),"")</f>
        <v>400</v>
      </c>
      <c r="P22" s="157"/>
      <c r="Q22" s="62"/>
      <c r="R22" s="62"/>
      <c r="S22" s="62"/>
      <c r="T22" s="62"/>
      <c r="U22" s="63"/>
      <c r="V22" s="1" t="s">
        <v>16</v>
      </c>
      <c r="W22" s="64">
        <f>10+W26</f>
        <v>11</v>
      </c>
      <c r="X22" s="93"/>
      <c r="Y22" s="62"/>
      <c r="Z22" s="62"/>
      <c r="AA22" s="62"/>
      <c r="AB22" s="62"/>
      <c r="AC22" s="62"/>
      <c r="AD22" s="62"/>
    </row>
    <row r="23" spans="1:30">
      <c r="A23" s="63"/>
      <c r="B23" s="63"/>
      <c r="C23" s="63"/>
      <c r="D23" s="63"/>
      <c r="E23" s="3" t="s">
        <v>39</v>
      </c>
      <c r="F23" s="3">
        <v>18</v>
      </c>
      <c r="G23" s="62"/>
      <c r="H23" s="62"/>
      <c r="I23" s="62"/>
      <c r="J23" s="62"/>
      <c r="K23" s="62"/>
      <c r="L23" s="61" t="s">
        <v>40</v>
      </c>
      <c r="M23" s="61" cm="1">
        <f t="array" aca="1" ref="M23" ca="1">IFERROR(INDIRECT(_xlfn.CONCAT("'Bestiaire'!",ADDRESS(ROW(_xlfn.XLOOKUP(Equipe!L23,Bestiaire!$C$4:$C$35,Bestiaire!$C$4:$C$35)),10+4*($N$1-1)))),"")</f>
        <v>3000</v>
      </c>
      <c r="N23" s="79">
        <f t="shared" ref="N23:N26" ca="1" si="0">IFERROR(M23-(IF(ISNUMBER(G11),G11,0)+IF(ISNUMBER(M9),M9,0)+IF(ISNUMBER(S11),S11,0)+IF(ISNUMBER(X11),X11,0)),"")</f>
        <v>3000</v>
      </c>
      <c r="O23" s="156" cm="1">
        <f t="array" aca="1" ref="O23" ca="1">IFERROR(INDIRECT(_xlfn.CONCAT("'Bestiaire'!",ADDRESS(ROW(_xlfn.XLOOKUP(Equipe!L23,Bestiaire!$C$4:$C$35,Bestiaire!$C$4:$C$35)),11+3*($N$1-1)))),"")</f>
        <v>2500</v>
      </c>
      <c r="P23" s="157"/>
      <c r="Q23" s="62"/>
      <c r="R23" s="62"/>
      <c r="S23" s="62"/>
      <c r="T23" s="62"/>
      <c r="U23" s="63"/>
      <c r="V23" s="1" t="s">
        <v>21</v>
      </c>
      <c r="W23" s="65">
        <f>10+W27</f>
        <v>14</v>
      </c>
      <c r="X23" s="58" t="s">
        <v>22</v>
      </c>
      <c r="Y23" s="62"/>
      <c r="Z23" s="62"/>
      <c r="AA23" s="62"/>
      <c r="AB23" s="62"/>
      <c r="AC23" s="62"/>
      <c r="AD23" s="62"/>
    </row>
    <row r="24" spans="1:30">
      <c r="A24" s="62"/>
      <c r="B24" s="62"/>
      <c r="C24" s="62"/>
      <c r="D24" s="62"/>
      <c r="E24" s="3" t="s">
        <v>41</v>
      </c>
      <c r="F24" s="3">
        <v>3</v>
      </c>
      <c r="G24" s="62"/>
      <c r="H24" s="62"/>
      <c r="I24" s="62"/>
      <c r="J24" s="62"/>
      <c r="K24" s="62"/>
      <c r="L24" s="61" t="s">
        <v>24</v>
      </c>
      <c r="M24" s="61" cm="1">
        <f t="array" aca="1" ref="M24" ca="1">IFERROR(INDIRECT(_xlfn.CONCAT("'Bestiaire'!",ADDRESS(ROW(_xlfn.XLOOKUP(Equipe!L24,Bestiaire!$C$4:$C$35,Bestiaire!$C$4:$C$35)),10+4*($N$1-1)))),"")</f>
        <v>1200</v>
      </c>
      <c r="N24" s="79">
        <f t="shared" ca="1" si="0"/>
        <v>-750</v>
      </c>
      <c r="O24" s="156" cm="1">
        <f t="array" aca="1" ref="O24" ca="1">IFERROR(INDIRECT(_xlfn.CONCAT("'Bestiaire'!",ADDRESS(ROW(_xlfn.XLOOKUP(Equipe!L24,Bestiaire!$C$4:$C$35,Bestiaire!$C$4:$C$35)),11+3*($N$1-1)))),"")</f>
        <v>1000</v>
      </c>
      <c r="P24" s="157"/>
      <c r="Q24" s="62"/>
      <c r="R24" s="62"/>
      <c r="S24" s="62"/>
      <c r="T24" s="62"/>
      <c r="U24" s="63"/>
      <c r="V24" s="60" t="s">
        <v>23</v>
      </c>
      <c r="W24" s="66">
        <v>0</v>
      </c>
      <c r="X24" s="57" t="s">
        <v>42</v>
      </c>
      <c r="Y24" s="62"/>
      <c r="Z24" s="62"/>
      <c r="AA24" s="62"/>
      <c r="AB24" s="62"/>
      <c r="AC24" s="62"/>
      <c r="AD24" s="62"/>
    </row>
    <row r="25" spans="1:30">
      <c r="A25" s="62"/>
      <c r="B25" s="62"/>
      <c r="C25" s="62"/>
      <c r="D25" s="62"/>
      <c r="E25" s="3" t="s">
        <v>43</v>
      </c>
      <c r="F25" s="3">
        <v>1</v>
      </c>
      <c r="G25" s="62"/>
      <c r="H25" s="62"/>
      <c r="I25" s="62"/>
      <c r="J25" s="62"/>
      <c r="K25" s="62"/>
      <c r="L25" s="61" t="s">
        <v>44</v>
      </c>
      <c r="M25" s="61" cm="1">
        <f t="array" aca="1" ref="M25" ca="1">IFERROR(INDIRECT(_xlfn.CONCAT("'Bestiaire'!",ADDRESS(ROW(_xlfn.XLOOKUP(Equipe!L25,Bestiaire!$C$4:$C$35,Bestiaire!$C$4:$C$35)),10+4*($N$1-1)))),"")</f>
        <v>150</v>
      </c>
      <c r="N25" s="79">
        <f t="shared" ca="1" si="0"/>
        <v>150</v>
      </c>
      <c r="O25" s="156" cm="1">
        <f t="array" aca="1" ref="O25" ca="1">IFERROR(INDIRECT(_xlfn.CONCAT("'Bestiaire'!",ADDRESS(ROW(_xlfn.XLOOKUP(Equipe!L25,Bestiaire!$C$4:$C$35,Bestiaire!$C$4:$C$35)),11+3*($N$1-1)))),"")</f>
        <v>125</v>
      </c>
      <c r="P25" s="157"/>
      <c r="Q25" s="62"/>
      <c r="R25" s="62"/>
      <c r="S25" s="62"/>
      <c r="T25" s="62"/>
      <c r="U25" s="63"/>
      <c r="V25" s="60" t="s">
        <v>26</v>
      </c>
      <c r="W25" s="66">
        <v>2</v>
      </c>
      <c r="X25" s="59" cm="1">
        <f t="array" ref="X25">_xlfn.LET(
_xlpm.crit,$B$2,_xlpm.roll,$B$1,
_xlpm.faiblessemonstre,_xlfn.XLOOKUP(X24,Bestiaire!$C$4:$C$35,Bestiaire!$D$4:$D$35),
_xlpm.immunite,_xlfn.XLOOKUP(X24,Bestiaire!$C$4:$C$35,Bestiaire!$E$4:$E$35),
_xlpm.resistance,_xlfn.XLOOKUP(X24,Bestiaire!$C$4:$C$35,Bestiaire!$F$4:$F$35),
_xlpm.elementArme,_xlfn.XLOOKUP(W21,Armes!$D$3:$D$60,Armes!$I$3:$I$60),
_xlpm.faiblesseArme,IF(AND(_xlpm.elementArme&lt;&gt;0,_xlpm.faiblessemonstre=_xlpm.elementArme),2,IF(AND(_xlpm.elementArme&lt;&gt;0,_xlpm.resistance=_xlpm.elementArme),0.5,IF(AND(_xlpm.elementArme&lt;&gt;0,_xlpm.immunite=_xlpm.elementArme),0,1))),
_xlpm.mainstat,_xlfn.XLOOKUP(_xlfn.XLOOKUP(W21,Armes!$D$3:$D$60,Armes!$B$3:$B$60),V24:V30,W24:W30),
_xlpm.substat,IFERROR(_xlfn.XLOOKUP(_xlfn.XLOOKUP(W21,Armes!$D$3:$D$60,Armes!$C$3:$C$60),V24:V30,W24:W30),0),
_xlpm.wstat,_xlfn.XLOOKUP(W21,Armes!$D$3:$D$60,Armes!$E$3:$E$60),
_xlpm.wsstat,_xlfn.XLOOKUP(W21,Armes!$D$3:$D$60,Armes!$F$3:$F$60),
_xlpm.reussite,(_xlpm.mainstat+_xlpm.roll)*_xlpm.wstat*_xlpm.faiblesseArme,
_xlpm.subdg,_xlpm.wsstat*_xlpm.substat,
_xlpm.attaquenormale,
IF(_xlpm.roll&gt;1,IF(_xlpm.roll&gt;=(_xlpm.wstat-_xlpm.mainstat),_xlpm.reussite,0)+IF(_xlpm.roll&gt;=(_xlpm.wsstat-_xlpm.substat),_xlpm.subdg,0)+IF(_xlpm.roll=6,5+_xlpm.crit,0)*_xlpm.faiblesseArme,"Fumble"),
IFERROR(IF(X21="Attaque",
_xlpm.attaquenormale,
IF(X21="Compétence",
IF((_xlfn.XLOOKUP(X22,Compétences!$D$2:$D$84,Compétences!$O$2:$O$84))=0,_xlpm.attaquenormale,_xlfn.CONCAT(_xlfn.XLOOKUP(X22,Compétences!$D$2:$D$84,Compétences!$O$2:$O$84),X24)),
IF(AND(X21="Magie",_xlfn.XLOOKUP(X22,Magies!$B$2:$B$40,Magies!$A$2:$A$40)="Ennemi"),
_xlfn.LET(
_xlpm.element,_xlfn.XLOOKUP(X22,Magies!$B$2:$B$40,Magies!$C$2:$C$40),
_xlpm.faiblesse,IF(_xlpm.faiblessemonstre=_xlpm.element,2,IF(_xlpm.resistance=_xlpm.element,0.5,IF(_xlpm.immunite=_xlpm.element,0,1))),
_xlpm.sort,_xlfn.XLOOKUP(X22,Magies!$B$2:$B$40,Magies!$E$2:$E$40),
_xlpm.calcul,IF(_xlpm.roll&gt;1,IF(_xlpm.roll&gt;=(_xlpm.sort-W28),
((W28+_xlpm.sort)*_xlpm.faiblesse),0)+IF(_xlpm.roll=6,_xlpm.crit+5,0)*_xlpm.faiblesse,"Fumble"),_xlpm.calcul),
IF(AND(X21="Magie",_xlfn.XLOOKUP(X22,Magies!$B$2:$B$40,Magies!$A$2:$A$40)="Allié"),
_xlfn.CONCAT("Soin ",_xlfn.XLOOKUP(X22,Magies!$B$2:$B$40,Magies!$F$2:$F$40),"PV"),"Erreur Magie")))),"Erreur"))</f>
        <v>27</v>
      </c>
      <c r="Y25" s="62"/>
      <c r="Z25" s="62"/>
      <c r="AA25" s="62"/>
      <c r="AB25" s="62"/>
      <c r="AC25" s="62"/>
      <c r="AD25" s="62"/>
    </row>
    <row r="26" spans="1:30">
      <c r="A26" s="62"/>
      <c r="B26" s="62"/>
      <c r="C26" s="62"/>
      <c r="D26" s="62"/>
      <c r="E26" s="3"/>
      <c r="F26" s="3"/>
      <c r="G26" s="62"/>
      <c r="H26" s="62"/>
      <c r="I26" s="62"/>
      <c r="J26" s="62"/>
      <c r="K26" s="62"/>
      <c r="L26" s="61" t="s">
        <v>45</v>
      </c>
      <c r="M26" s="61" cm="1">
        <f t="array" aca="1" ref="M26" ca="1">IFERROR(INDIRECT(_xlfn.CONCAT("'Bestiaire'!",ADDRESS(ROW(_xlfn.XLOOKUP(Equipe!L26,Bestiaire!$C$4:$C$35,Bestiaire!$C$4:$C$35)),10+4*($N$1-1)))),"")</f>
        <v>150</v>
      </c>
      <c r="N26" s="79">
        <f t="shared" ca="1" si="0"/>
        <v>150</v>
      </c>
      <c r="O26" s="156" cm="1">
        <f t="array" aca="1" ref="O26" ca="1">IFERROR(INDIRECT(_xlfn.CONCAT("'Bestiaire'!",ADDRESS(ROW(_xlfn.XLOOKUP(Equipe!L26,Bestiaire!$C$4:$C$35,Bestiaire!$C$4:$C$35)),11+3*($N$1-1)))),"")</f>
        <v>125</v>
      </c>
      <c r="P26" s="157"/>
      <c r="Q26" s="62"/>
      <c r="R26" s="62"/>
      <c r="S26" s="62"/>
      <c r="T26" s="62"/>
      <c r="U26" s="63"/>
      <c r="V26" s="60" t="s">
        <v>27</v>
      </c>
      <c r="W26" s="66">
        <v>1</v>
      </c>
      <c r="Y26" s="62"/>
      <c r="Z26" s="62"/>
      <c r="AA26" s="62"/>
      <c r="AB26" s="62"/>
      <c r="AC26" s="62"/>
      <c r="AD26" s="62"/>
    </row>
    <row r="27" spans="1:30">
      <c r="A27" s="62"/>
      <c r="B27" s="62"/>
      <c r="C27" s="62"/>
      <c r="D27" s="62"/>
      <c r="E27" s="3"/>
      <c r="F27" s="3"/>
      <c r="G27" s="62"/>
      <c r="H27" s="62"/>
      <c r="I27" s="62"/>
      <c r="J27" s="62"/>
      <c r="K27" s="62"/>
      <c r="L27" s="61" t="s">
        <v>42</v>
      </c>
      <c r="M27" s="61" cm="1">
        <f t="array" aca="1" ref="M27" ca="1">IFERROR(INDIRECT(_xlfn.CONCAT("'Bestiaire'!",ADDRESS(ROW(_xlfn.XLOOKUP(Equipe!L27,Bestiaire!$C$4:$C$35,Bestiaire!$C$4:$C$35)),10+4*($N$1-1)))),"")</f>
        <v>150</v>
      </c>
      <c r="N27" s="79">
        <f ca="1">IFERROR(M27-(IF(ISNUMBER(G15),G15,0)+IF(ISNUMBER(M13),M13,0)+IF(ISNUMBER(S15),S15,0)+IF(ISNUMBER(X15),X15,0)),"")</f>
        <v>150</v>
      </c>
      <c r="O27" s="156" cm="1">
        <f t="array" aca="1" ref="O27" ca="1">IFERROR(INDIRECT(_xlfn.CONCAT("'Bestiaire'!",ADDRESS(ROW(_xlfn.XLOOKUP(Equipe!L27,Bestiaire!$C$4:$C$35,Bestiaire!$C$4:$C$35)),11+3*($N$1-1)))),"")</f>
        <v>125</v>
      </c>
      <c r="P27" s="157"/>
      <c r="Q27" s="62"/>
      <c r="R27" s="62"/>
      <c r="S27" s="62"/>
      <c r="T27" s="62"/>
      <c r="U27" s="63"/>
      <c r="V27" s="60" t="s">
        <v>21</v>
      </c>
      <c r="W27" s="66">
        <v>4</v>
      </c>
      <c r="Y27" s="62"/>
      <c r="Z27" s="62"/>
      <c r="AA27" s="62"/>
      <c r="AB27" s="62"/>
      <c r="AC27" s="62"/>
      <c r="AD27" s="62"/>
    </row>
    <row r="28" spans="1:30">
      <c r="A28" s="62"/>
      <c r="B28" s="62"/>
      <c r="C28" s="62"/>
      <c r="D28" s="62"/>
      <c r="E28" s="62"/>
      <c r="F28" s="62"/>
      <c r="G28" s="62"/>
      <c r="H28" s="62"/>
      <c r="I28" s="62"/>
      <c r="J28" s="62"/>
      <c r="K28" s="62"/>
      <c r="L28" s="62"/>
      <c r="M28" s="62"/>
      <c r="N28" s="62"/>
      <c r="O28" s="62"/>
      <c r="P28" s="62"/>
      <c r="Q28" s="62"/>
      <c r="R28" s="62"/>
      <c r="S28" s="62"/>
      <c r="T28" s="62"/>
      <c r="U28" s="63"/>
      <c r="V28" s="60" t="s">
        <v>28</v>
      </c>
      <c r="W28" s="66">
        <v>2</v>
      </c>
      <c r="Y28" s="62"/>
      <c r="Z28" s="62"/>
      <c r="AA28" s="62"/>
      <c r="AB28" s="62"/>
      <c r="AC28" s="62"/>
      <c r="AD28" s="62"/>
    </row>
    <row r="29" spans="1:30">
      <c r="A29" s="62"/>
      <c r="B29" s="62"/>
      <c r="C29" s="62"/>
      <c r="D29" s="62"/>
      <c r="E29" s="62"/>
      <c r="F29" s="62"/>
      <c r="G29" s="62"/>
      <c r="H29" s="62"/>
      <c r="I29" s="62"/>
      <c r="J29" s="62"/>
      <c r="K29" s="62"/>
      <c r="L29" s="62"/>
      <c r="M29" s="62"/>
      <c r="N29" s="62"/>
      <c r="O29" s="62"/>
      <c r="P29" s="62"/>
      <c r="Q29" s="62"/>
      <c r="R29" s="62"/>
      <c r="S29" s="62"/>
      <c r="T29" s="62"/>
      <c r="U29" s="63"/>
      <c r="V29" s="60" t="s">
        <v>29</v>
      </c>
      <c r="W29" s="66">
        <v>1</v>
      </c>
      <c r="Y29" s="62"/>
      <c r="Z29" s="62"/>
      <c r="AA29" s="62"/>
      <c r="AB29" s="62"/>
      <c r="AC29" s="62"/>
      <c r="AD29" s="62"/>
    </row>
    <row r="30" spans="1:30">
      <c r="A30" s="62"/>
      <c r="B30" s="62"/>
      <c r="C30" s="62"/>
      <c r="D30" s="62"/>
      <c r="E30" s="62"/>
      <c r="F30" s="62"/>
      <c r="G30" s="62"/>
      <c r="H30" s="62"/>
      <c r="I30" s="62"/>
      <c r="J30" s="62"/>
      <c r="K30" s="62"/>
      <c r="L30" s="62"/>
      <c r="M30" s="62"/>
      <c r="N30" s="62"/>
      <c r="O30" s="62"/>
      <c r="P30" s="62"/>
      <c r="Q30" s="62"/>
      <c r="R30" s="62"/>
      <c r="S30" s="62"/>
      <c r="T30" s="62"/>
      <c r="U30" s="63"/>
      <c r="V30" s="60" t="s">
        <v>31</v>
      </c>
      <c r="W30" s="66">
        <v>1</v>
      </c>
      <c r="Y30" s="62"/>
      <c r="Z30" s="62"/>
      <c r="AA30" s="62"/>
      <c r="AB30" s="62"/>
      <c r="AC30" s="62"/>
      <c r="AD30" s="62"/>
    </row>
    <row r="31" spans="1:30">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1:30">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spans="1:30">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1:30">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spans="1:30">
      <c r="L35" s="59" t="str" cm="1">
        <f t="array" aca="1" ref="L35:L40" ca="1">_xlfn._xlws.FILTER(Armes!$D$3:$D$60, ISNUMBER(FIND(_xlfn.CHOOSECOLS(_xlfn.TEXTSPLIT(INDIRECT("'" &amp; F5 &amp; "'!C2"),","),-1), Armes!$A$3:$A$60)))</f>
        <v>Bâton de mage</v>
      </c>
      <c r="M35" t="str" cm="1">
        <f t="array" aca="1" ref="M35:M40" ca="1">_xlfn._xlws.FILTER(Armes!$D$3:$D$60, ISNUMBER(FIND(_xlfn.CHOOSECOLS(_xlfn.TEXTSPLIT(INDIRECT("'" &amp; $F$5 &amp; "'!$C$2"),","),2), Armes!$A$3:$A$60)))</f>
        <v>Marteau</v>
      </c>
      <c r="N35" t="str" cm="1">
        <f t="array" aca="1" ref="N35:N40" ca="1">_xlfn._xlws.FILTER(Armes!$D$3:$D$60, ISNUMBER(FIND(_xlfn.CHOOSECOLS(_xlfn.TEXTSPLIT(INDIRECT("'" &amp; $L$5 &amp; "'!$C$2"),","),2), Armes!$A$3:$A$60)))</f>
        <v>Marteau</v>
      </c>
      <c r="Q35" cm="1">
        <f t="array" aca="1" ref="Q35" ca="1">IFERROR(INDIRECT(_xlfn.CONCAT("'Bestiaire'!",ADDRESS(ROW(_xlfn.XLOOKUP(Equipe!L22,Bestiaire!$C$4:$C$35,Bestiaire!$C$4:$C$35)),10+3*($N$1-1)))),"")</f>
        <v>8</v>
      </c>
    </row>
    <row r="36" spans="1:30">
      <c r="A36" t="b" cm="1">
        <f t="array" ref="A36:A93">(ISNUMBER(FIND(_xlfn.CHOOSECOLS(_xlfn.TEXTSPLIT(E35,","),1), Armes!$A$3:$A$60))+ISNUMBER(FIND(_xlfn.CHOOSECOLS(_xlfn.TEXTSPLIT(F35,","),1), Armes!$A$3:$A$60))+ISNUMBER(FIND(_xlfn.CHOOSECOLS(_xlfn.TEXTSPLIT(G35,","),1), Armes!$A$3:$A$60))+ISNUMBER(FIND(_xlfn.CHOOSECOLS(_xlfn.TEXTSPLIT(H35,","),1), Armes!$A$3:$A$60)))=1</f>
        <v>0</v>
      </c>
      <c r="F36" t="str" cm="1">
        <f t="array" aca="1" ref="F36" ca="1">INDIRECT("'" &amp; F5 &amp; "'!G2")</f>
        <v>Marteau</v>
      </c>
      <c r="L36" t="str">
        <f ca="1"/>
        <v>Bâton doré</v>
      </c>
      <c r="M36" t="str">
        <f ca="1"/>
        <v>Marteau de guerre</v>
      </c>
      <c r="N36" t="str">
        <f ca="1"/>
        <v>Marteau de guerre</v>
      </c>
    </row>
    <row r="37" spans="1:30">
      <c r="A37" t="b">
        <v>0</v>
      </c>
      <c r="L37" t="str">
        <f ca="1"/>
        <v>Caducée</v>
      </c>
      <c r="M37" t="str">
        <f ca="1"/>
        <v>Règle cylindrique</v>
      </c>
      <c r="N37" t="str">
        <f ca="1"/>
        <v>Règle cylindrique</v>
      </c>
      <c r="R37" t="s">
        <v>28</v>
      </c>
      <c r="S37" t="s">
        <v>46</v>
      </c>
      <c r="T37" t="s">
        <v>47</v>
      </c>
      <c r="U37" t="s">
        <v>48</v>
      </c>
    </row>
    <row r="38" spans="1:30">
      <c r="A38" t="b">
        <v>0</v>
      </c>
      <c r="L38" t="str">
        <f ca="1"/>
        <v>Sceptre Ophidien</v>
      </c>
      <c r="M38" t="str">
        <f ca="1"/>
        <v>Marteau de mithril</v>
      </c>
      <c r="N38" t="str">
        <f ca="1"/>
        <v>Marteau de mithril</v>
      </c>
      <c r="R38">
        <v>1</v>
      </c>
      <c r="S38">
        <v>3</v>
      </c>
      <c r="T38">
        <v>2</v>
      </c>
      <c r="U38" s="153">
        <f t="shared" ref="U38:U52" si="1">(((R38+S38)^2)/2 +T38)*1 *IF(T38=6,3,1)</f>
        <v>10</v>
      </c>
      <c r="X38" s="153">
        <f>((R38+S38)^2 +T38) *IF(T38=6,3,1)</f>
        <v>18</v>
      </c>
    </row>
    <row r="39" spans="1:30">
      <c r="A39" t="b">
        <v>0</v>
      </c>
      <c r="L39" t="str">
        <f ca="1"/>
        <v>Sceptre Céleste</v>
      </c>
      <c r="M39" t="str">
        <f ca="1"/>
        <v>Mjölnir</v>
      </c>
      <c r="N39" t="str">
        <f ca="1"/>
        <v>Mjölnir</v>
      </c>
      <c r="R39">
        <v>1</v>
      </c>
      <c r="S39">
        <v>3</v>
      </c>
      <c r="T39">
        <v>3</v>
      </c>
      <c r="U39" s="153">
        <f t="shared" si="1"/>
        <v>11</v>
      </c>
      <c r="X39" s="153">
        <f>((R39+S39)^2 +T39) *IF(T39=6,3,1)</f>
        <v>19</v>
      </c>
    </row>
    <row r="40" spans="1:30">
      <c r="A40" t="b">
        <v>0</v>
      </c>
      <c r="L40" t="str">
        <f ca="1"/>
        <v>Sceptre de la foi</v>
      </c>
      <c r="M40" t="str">
        <f ca="1"/>
        <v>Héphaïstos</v>
      </c>
      <c r="N40" t="str">
        <f ca="1"/>
        <v>Héphaïstos</v>
      </c>
      <c r="R40">
        <v>1</v>
      </c>
      <c r="S40">
        <v>3</v>
      </c>
      <c r="T40">
        <v>4</v>
      </c>
      <c r="U40" s="153">
        <f t="shared" si="1"/>
        <v>12</v>
      </c>
      <c r="X40" s="153">
        <f t="shared" ref="X40:X103" si="2">((R40+S40)^2 +T40) *IF(T40=6,3,1)</f>
        <v>20</v>
      </c>
    </row>
    <row r="41" spans="1:30">
      <c r="A41" t="b">
        <v>0</v>
      </c>
      <c r="R41">
        <v>1</v>
      </c>
      <c r="S41">
        <v>3</v>
      </c>
      <c r="T41">
        <v>5</v>
      </c>
      <c r="U41" s="153">
        <f t="shared" si="1"/>
        <v>13</v>
      </c>
      <c r="X41" s="153">
        <f t="shared" si="2"/>
        <v>21</v>
      </c>
    </row>
    <row r="42" spans="1:30">
      <c r="A42" t="b">
        <v>0</v>
      </c>
      <c r="R42">
        <v>1</v>
      </c>
      <c r="S42">
        <v>5</v>
      </c>
      <c r="T42">
        <v>2</v>
      </c>
      <c r="U42" s="153">
        <f t="shared" si="1"/>
        <v>20</v>
      </c>
      <c r="X42" s="153">
        <f t="shared" si="2"/>
        <v>38</v>
      </c>
    </row>
    <row r="43" spans="1:30">
      <c r="A43" t="b">
        <v>0</v>
      </c>
      <c r="R43">
        <v>1</v>
      </c>
      <c r="S43">
        <v>5</v>
      </c>
      <c r="T43">
        <v>3</v>
      </c>
      <c r="U43" s="153">
        <f t="shared" si="1"/>
        <v>21</v>
      </c>
      <c r="X43" s="153">
        <f t="shared" si="2"/>
        <v>39</v>
      </c>
    </row>
    <row r="44" spans="1:30">
      <c r="A44" t="b">
        <v>0</v>
      </c>
      <c r="R44">
        <v>1</v>
      </c>
      <c r="S44">
        <v>5</v>
      </c>
      <c r="T44">
        <v>4</v>
      </c>
      <c r="U44" s="153">
        <f t="shared" si="1"/>
        <v>22</v>
      </c>
      <c r="X44" s="153">
        <f t="shared" si="2"/>
        <v>40</v>
      </c>
    </row>
    <row r="45" spans="1:30">
      <c r="A45" t="b">
        <v>0</v>
      </c>
      <c r="R45">
        <v>1</v>
      </c>
      <c r="S45">
        <v>5</v>
      </c>
      <c r="T45">
        <v>5</v>
      </c>
      <c r="U45" s="153">
        <f t="shared" si="1"/>
        <v>23</v>
      </c>
      <c r="X45" s="153">
        <f t="shared" si="2"/>
        <v>41</v>
      </c>
    </row>
    <row r="46" spans="1:30">
      <c r="A46" t="b">
        <v>0</v>
      </c>
      <c r="R46">
        <v>1</v>
      </c>
      <c r="S46">
        <v>3</v>
      </c>
      <c r="T46">
        <v>6</v>
      </c>
      <c r="U46" s="153">
        <f t="shared" si="1"/>
        <v>42</v>
      </c>
      <c r="X46" s="153">
        <f t="shared" si="2"/>
        <v>66</v>
      </c>
    </row>
    <row r="47" spans="1:30">
      <c r="A47" t="b">
        <v>0</v>
      </c>
      <c r="R47">
        <v>1</v>
      </c>
      <c r="S47">
        <v>7</v>
      </c>
      <c r="T47">
        <v>2</v>
      </c>
      <c r="U47" s="153">
        <f t="shared" si="1"/>
        <v>34</v>
      </c>
      <c r="X47" s="153">
        <f t="shared" si="2"/>
        <v>66</v>
      </c>
    </row>
    <row r="48" spans="1:30">
      <c r="A48" t="b">
        <v>0</v>
      </c>
      <c r="R48">
        <v>1</v>
      </c>
      <c r="S48">
        <v>7</v>
      </c>
      <c r="T48">
        <v>3</v>
      </c>
      <c r="U48" s="153">
        <f t="shared" si="1"/>
        <v>35</v>
      </c>
      <c r="X48" s="153">
        <f t="shared" si="2"/>
        <v>67</v>
      </c>
    </row>
    <row r="49" spans="1:24">
      <c r="A49" t="b">
        <v>0</v>
      </c>
      <c r="R49">
        <v>1</v>
      </c>
      <c r="S49">
        <v>7</v>
      </c>
      <c r="T49">
        <v>4</v>
      </c>
      <c r="U49" s="153">
        <f t="shared" si="1"/>
        <v>36</v>
      </c>
      <c r="X49" s="153">
        <f t="shared" si="2"/>
        <v>68</v>
      </c>
    </row>
    <row r="50" spans="1:24">
      <c r="A50" t="b">
        <v>0</v>
      </c>
      <c r="R50">
        <v>1</v>
      </c>
      <c r="S50">
        <v>7</v>
      </c>
      <c r="T50">
        <v>5</v>
      </c>
      <c r="U50" s="153">
        <f t="shared" si="1"/>
        <v>37</v>
      </c>
      <c r="X50" s="153">
        <f t="shared" si="2"/>
        <v>69</v>
      </c>
    </row>
    <row r="51" spans="1:24">
      <c r="A51" t="b">
        <v>0</v>
      </c>
      <c r="R51">
        <v>1</v>
      </c>
      <c r="S51">
        <v>5</v>
      </c>
      <c r="T51">
        <v>6</v>
      </c>
      <c r="U51" s="153">
        <f t="shared" si="1"/>
        <v>72</v>
      </c>
      <c r="X51" s="153">
        <f t="shared" si="2"/>
        <v>126</v>
      </c>
    </row>
    <row r="52" spans="1:24">
      <c r="A52" t="b">
        <v>0</v>
      </c>
      <c r="R52">
        <v>1</v>
      </c>
      <c r="S52">
        <v>7</v>
      </c>
      <c r="T52">
        <v>6</v>
      </c>
      <c r="U52" s="153">
        <f t="shared" si="1"/>
        <v>114</v>
      </c>
      <c r="X52" s="153">
        <f t="shared" si="2"/>
        <v>210</v>
      </c>
    </row>
    <row r="53" spans="1:24">
      <c r="A53" t="b">
        <v>0</v>
      </c>
      <c r="R53">
        <v>2</v>
      </c>
      <c r="S53">
        <v>3</v>
      </c>
      <c r="T53">
        <v>2</v>
      </c>
      <c r="U53" s="153">
        <f>(((R53+S53)^2)/2 +T53)*2 *IF(T53=6,3,1)</f>
        <v>29</v>
      </c>
      <c r="X53" s="153">
        <f t="shared" si="2"/>
        <v>27</v>
      </c>
    </row>
    <row r="54" spans="1:24">
      <c r="A54" t="b">
        <v>0</v>
      </c>
      <c r="R54">
        <v>2</v>
      </c>
      <c r="S54">
        <v>3</v>
      </c>
      <c r="T54">
        <v>3</v>
      </c>
      <c r="U54" s="153">
        <f t="shared" ref="U54:U117" si="3">(((R54+S54)^2)/2 +T54)*2 *IF(T54=6,3,1)</f>
        <v>31</v>
      </c>
      <c r="X54" s="153">
        <f t="shared" si="2"/>
        <v>28</v>
      </c>
    </row>
    <row r="55" spans="1:24">
      <c r="A55" t="b">
        <v>0</v>
      </c>
      <c r="R55">
        <v>2</v>
      </c>
      <c r="S55">
        <v>3</v>
      </c>
      <c r="T55">
        <v>4</v>
      </c>
      <c r="U55" s="153">
        <f t="shared" si="3"/>
        <v>33</v>
      </c>
      <c r="X55" s="153">
        <f t="shared" si="2"/>
        <v>29</v>
      </c>
    </row>
    <row r="56" spans="1:24">
      <c r="A56" t="b">
        <v>0</v>
      </c>
      <c r="R56">
        <v>2</v>
      </c>
      <c r="S56">
        <v>3</v>
      </c>
      <c r="T56">
        <v>5</v>
      </c>
      <c r="U56" s="153">
        <f t="shared" si="3"/>
        <v>35</v>
      </c>
      <c r="X56" s="153">
        <f t="shared" si="2"/>
        <v>30</v>
      </c>
    </row>
    <row r="57" spans="1:24">
      <c r="A57" t="b">
        <v>0</v>
      </c>
      <c r="R57">
        <v>2</v>
      </c>
      <c r="S57">
        <v>5</v>
      </c>
      <c r="T57">
        <v>2</v>
      </c>
      <c r="U57" s="153">
        <f t="shared" si="3"/>
        <v>53</v>
      </c>
      <c r="V57">
        <f>U57/U51</f>
        <v>0.73611111111111116</v>
      </c>
      <c r="X57" s="153">
        <f t="shared" si="2"/>
        <v>51</v>
      </c>
    </row>
    <row r="58" spans="1:24">
      <c r="A58" t="b">
        <v>0</v>
      </c>
      <c r="R58">
        <v>2</v>
      </c>
      <c r="S58">
        <v>5</v>
      </c>
      <c r="T58">
        <v>3</v>
      </c>
      <c r="U58" s="153">
        <f t="shared" si="3"/>
        <v>55</v>
      </c>
      <c r="X58" s="153">
        <f t="shared" si="2"/>
        <v>52</v>
      </c>
    </row>
    <row r="59" spans="1:24">
      <c r="A59" t="b">
        <v>0</v>
      </c>
      <c r="R59">
        <v>2</v>
      </c>
      <c r="S59">
        <v>5</v>
      </c>
      <c r="T59">
        <v>4</v>
      </c>
      <c r="U59" s="153">
        <f t="shared" si="3"/>
        <v>57</v>
      </c>
      <c r="X59" s="153">
        <f t="shared" si="2"/>
        <v>53</v>
      </c>
    </row>
    <row r="60" spans="1:24">
      <c r="A60" t="b">
        <v>0</v>
      </c>
      <c r="R60">
        <v>2</v>
      </c>
      <c r="S60">
        <v>5</v>
      </c>
      <c r="T60">
        <v>5</v>
      </c>
      <c r="U60" s="153">
        <f t="shared" si="3"/>
        <v>59</v>
      </c>
      <c r="X60" s="153">
        <f t="shared" si="2"/>
        <v>54</v>
      </c>
    </row>
    <row r="61" spans="1:24">
      <c r="A61" t="b">
        <v>0</v>
      </c>
      <c r="R61">
        <v>2</v>
      </c>
      <c r="S61">
        <v>7</v>
      </c>
      <c r="T61">
        <v>2</v>
      </c>
      <c r="U61" s="153">
        <f t="shared" si="3"/>
        <v>85</v>
      </c>
      <c r="X61" s="153">
        <f t="shared" si="2"/>
        <v>83</v>
      </c>
    </row>
    <row r="62" spans="1:24">
      <c r="A62" t="b">
        <v>0</v>
      </c>
      <c r="R62">
        <v>2</v>
      </c>
      <c r="S62">
        <v>7</v>
      </c>
      <c r="T62">
        <v>3</v>
      </c>
      <c r="U62" s="153">
        <f t="shared" si="3"/>
        <v>87</v>
      </c>
      <c r="X62" s="153">
        <f t="shared" si="2"/>
        <v>84</v>
      </c>
    </row>
    <row r="63" spans="1:24">
      <c r="A63" t="b">
        <v>0</v>
      </c>
      <c r="R63">
        <v>2</v>
      </c>
      <c r="S63">
        <v>7</v>
      </c>
      <c r="T63">
        <v>4</v>
      </c>
      <c r="U63" s="153">
        <f t="shared" si="3"/>
        <v>89</v>
      </c>
      <c r="X63" s="153">
        <f t="shared" si="2"/>
        <v>85</v>
      </c>
    </row>
    <row r="64" spans="1:24">
      <c r="A64" t="b">
        <v>0</v>
      </c>
      <c r="R64">
        <v>2</v>
      </c>
      <c r="S64">
        <v>7</v>
      </c>
      <c r="T64">
        <v>5</v>
      </c>
      <c r="U64" s="153">
        <f t="shared" si="3"/>
        <v>91</v>
      </c>
      <c r="X64" s="153">
        <f t="shared" si="2"/>
        <v>86</v>
      </c>
    </row>
    <row r="65" spans="1:24">
      <c r="A65" t="b">
        <v>0</v>
      </c>
      <c r="R65">
        <v>2</v>
      </c>
      <c r="S65">
        <v>3</v>
      </c>
      <c r="T65">
        <v>6</v>
      </c>
      <c r="U65" s="153">
        <f t="shared" si="3"/>
        <v>111</v>
      </c>
      <c r="X65" s="153">
        <f t="shared" si="2"/>
        <v>93</v>
      </c>
    </row>
    <row r="66" spans="1:24">
      <c r="A66" t="b">
        <v>0</v>
      </c>
      <c r="R66">
        <v>2</v>
      </c>
      <c r="S66">
        <v>5</v>
      </c>
      <c r="T66">
        <v>6</v>
      </c>
      <c r="U66" s="153">
        <f t="shared" si="3"/>
        <v>183</v>
      </c>
      <c r="X66" s="153">
        <f t="shared" si="2"/>
        <v>165</v>
      </c>
    </row>
    <row r="67" spans="1:24">
      <c r="A67" t="b">
        <v>0</v>
      </c>
      <c r="R67">
        <v>2</v>
      </c>
      <c r="S67">
        <v>7</v>
      </c>
      <c r="T67">
        <v>6</v>
      </c>
      <c r="U67" s="153">
        <f t="shared" si="3"/>
        <v>279</v>
      </c>
      <c r="X67" s="153">
        <f t="shared" si="2"/>
        <v>261</v>
      </c>
    </row>
    <row r="68" spans="1:24">
      <c r="A68" t="b">
        <v>0</v>
      </c>
      <c r="R68">
        <v>3</v>
      </c>
      <c r="S68">
        <v>3</v>
      </c>
      <c r="T68">
        <v>2</v>
      </c>
      <c r="U68" s="153">
        <f t="shared" si="3"/>
        <v>40</v>
      </c>
      <c r="X68" s="153">
        <f t="shared" si="2"/>
        <v>38</v>
      </c>
    </row>
    <row r="69" spans="1:24">
      <c r="A69" t="b">
        <v>0</v>
      </c>
      <c r="R69">
        <v>3</v>
      </c>
      <c r="S69">
        <v>3</v>
      </c>
      <c r="T69">
        <v>3</v>
      </c>
      <c r="U69" s="153">
        <f t="shared" si="3"/>
        <v>42</v>
      </c>
      <c r="X69" s="153">
        <f t="shared" si="2"/>
        <v>39</v>
      </c>
    </row>
    <row r="70" spans="1:24">
      <c r="A70" t="b">
        <v>0</v>
      </c>
      <c r="R70">
        <v>3</v>
      </c>
      <c r="S70">
        <v>3</v>
      </c>
      <c r="T70">
        <v>4</v>
      </c>
      <c r="U70" s="153">
        <f t="shared" si="3"/>
        <v>44</v>
      </c>
      <c r="X70" s="153">
        <f t="shared" si="2"/>
        <v>40</v>
      </c>
    </row>
    <row r="71" spans="1:24">
      <c r="A71" t="b">
        <v>0</v>
      </c>
      <c r="R71">
        <v>3</v>
      </c>
      <c r="S71">
        <v>3</v>
      </c>
      <c r="T71">
        <v>5</v>
      </c>
      <c r="U71" s="153">
        <f t="shared" si="3"/>
        <v>46</v>
      </c>
      <c r="X71" s="153">
        <f t="shared" si="2"/>
        <v>41</v>
      </c>
    </row>
    <row r="72" spans="1:24">
      <c r="A72" t="b">
        <v>0</v>
      </c>
      <c r="R72">
        <v>3</v>
      </c>
      <c r="S72">
        <v>5</v>
      </c>
      <c r="T72">
        <v>2</v>
      </c>
      <c r="U72" s="153">
        <f t="shared" si="3"/>
        <v>68</v>
      </c>
      <c r="X72" s="153">
        <f t="shared" si="2"/>
        <v>66</v>
      </c>
    </row>
    <row r="73" spans="1:24">
      <c r="A73" t="b">
        <v>0</v>
      </c>
      <c r="R73">
        <v>3</v>
      </c>
      <c r="S73">
        <v>5</v>
      </c>
      <c r="T73">
        <v>3</v>
      </c>
      <c r="U73" s="153">
        <f t="shared" si="3"/>
        <v>70</v>
      </c>
      <c r="X73" s="153">
        <f t="shared" si="2"/>
        <v>67</v>
      </c>
    </row>
    <row r="74" spans="1:24">
      <c r="A74" t="b">
        <v>0</v>
      </c>
      <c r="R74">
        <v>3</v>
      </c>
      <c r="S74">
        <v>5</v>
      </c>
      <c r="T74">
        <v>4</v>
      </c>
      <c r="U74" s="153">
        <f t="shared" si="3"/>
        <v>72</v>
      </c>
      <c r="X74" s="153">
        <f t="shared" si="2"/>
        <v>68</v>
      </c>
    </row>
    <row r="75" spans="1:24">
      <c r="A75" t="b">
        <v>0</v>
      </c>
      <c r="R75">
        <v>3</v>
      </c>
      <c r="S75">
        <v>5</v>
      </c>
      <c r="T75">
        <v>5</v>
      </c>
      <c r="U75" s="153">
        <f t="shared" si="3"/>
        <v>74</v>
      </c>
      <c r="X75" s="153">
        <f t="shared" si="2"/>
        <v>69</v>
      </c>
    </row>
    <row r="76" spans="1:24">
      <c r="A76" t="b">
        <v>0</v>
      </c>
      <c r="R76">
        <v>3</v>
      </c>
      <c r="S76">
        <v>7</v>
      </c>
      <c r="T76">
        <v>2</v>
      </c>
      <c r="U76" s="153">
        <f t="shared" si="3"/>
        <v>104</v>
      </c>
      <c r="X76" s="153">
        <f t="shared" si="2"/>
        <v>102</v>
      </c>
    </row>
    <row r="77" spans="1:24">
      <c r="A77" t="b">
        <v>0</v>
      </c>
      <c r="R77">
        <v>3</v>
      </c>
      <c r="S77">
        <v>7</v>
      </c>
      <c r="T77">
        <v>3</v>
      </c>
      <c r="U77" s="153">
        <f t="shared" si="3"/>
        <v>106</v>
      </c>
      <c r="X77" s="153">
        <f t="shared" si="2"/>
        <v>103</v>
      </c>
    </row>
    <row r="78" spans="1:24">
      <c r="A78" t="b">
        <v>0</v>
      </c>
      <c r="R78">
        <v>3</v>
      </c>
      <c r="S78">
        <v>7</v>
      </c>
      <c r="T78">
        <v>4</v>
      </c>
      <c r="U78" s="153">
        <f t="shared" si="3"/>
        <v>108</v>
      </c>
      <c r="X78" s="153">
        <f t="shared" si="2"/>
        <v>104</v>
      </c>
    </row>
    <row r="79" spans="1:24">
      <c r="A79" t="b">
        <v>0</v>
      </c>
      <c r="R79">
        <v>3</v>
      </c>
      <c r="S79">
        <v>7</v>
      </c>
      <c r="T79">
        <v>5</v>
      </c>
      <c r="U79" s="153">
        <f t="shared" si="3"/>
        <v>110</v>
      </c>
      <c r="X79" s="153">
        <f t="shared" si="2"/>
        <v>105</v>
      </c>
    </row>
    <row r="80" spans="1:24">
      <c r="A80" t="b">
        <v>0</v>
      </c>
      <c r="R80">
        <v>3</v>
      </c>
      <c r="S80">
        <v>3</v>
      </c>
      <c r="T80">
        <v>6</v>
      </c>
      <c r="U80" s="153">
        <f t="shared" si="3"/>
        <v>144</v>
      </c>
      <c r="X80" s="153">
        <f t="shared" si="2"/>
        <v>126</v>
      </c>
    </row>
    <row r="81" spans="1:24">
      <c r="A81" t="b">
        <v>0</v>
      </c>
      <c r="R81">
        <v>3</v>
      </c>
      <c r="S81">
        <v>5</v>
      </c>
      <c r="T81">
        <v>6</v>
      </c>
      <c r="U81" s="153">
        <f t="shared" si="3"/>
        <v>228</v>
      </c>
      <c r="X81" s="153">
        <f t="shared" si="2"/>
        <v>210</v>
      </c>
    </row>
    <row r="82" spans="1:24">
      <c r="A82" t="b">
        <v>0</v>
      </c>
      <c r="R82">
        <v>3</v>
      </c>
      <c r="S82">
        <v>7</v>
      </c>
      <c r="T82">
        <v>6</v>
      </c>
      <c r="U82" s="153">
        <f t="shared" si="3"/>
        <v>336</v>
      </c>
      <c r="X82" s="153">
        <f t="shared" si="2"/>
        <v>318</v>
      </c>
    </row>
    <row r="83" spans="1:24">
      <c r="A83" t="b">
        <v>0</v>
      </c>
      <c r="R83">
        <v>4</v>
      </c>
      <c r="S83">
        <v>3</v>
      </c>
      <c r="T83">
        <v>2</v>
      </c>
      <c r="U83" s="153">
        <f t="shared" si="3"/>
        <v>53</v>
      </c>
      <c r="X83" s="153">
        <f t="shared" si="2"/>
        <v>51</v>
      </c>
    </row>
    <row r="84" spans="1:24">
      <c r="A84" t="b">
        <v>0</v>
      </c>
      <c r="R84">
        <v>4</v>
      </c>
      <c r="S84">
        <v>3</v>
      </c>
      <c r="T84">
        <v>3</v>
      </c>
      <c r="U84" s="153">
        <f t="shared" si="3"/>
        <v>55</v>
      </c>
      <c r="X84" s="153">
        <f t="shared" si="2"/>
        <v>52</v>
      </c>
    </row>
    <row r="85" spans="1:24">
      <c r="A85" t="b">
        <v>0</v>
      </c>
      <c r="R85">
        <v>4</v>
      </c>
      <c r="S85">
        <v>3</v>
      </c>
      <c r="T85">
        <v>4</v>
      </c>
      <c r="U85" s="153">
        <f t="shared" si="3"/>
        <v>57</v>
      </c>
      <c r="V85" t="s">
        <v>49</v>
      </c>
      <c r="X85" s="153">
        <f t="shared" si="2"/>
        <v>53</v>
      </c>
    </row>
    <row r="86" spans="1:24">
      <c r="A86" t="b">
        <v>0</v>
      </c>
      <c r="R86">
        <v>4</v>
      </c>
      <c r="S86">
        <v>3</v>
      </c>
      <c r="T86">
        <v>5</v>
      </c>
      <c r="U86" s="153">
        <f t="shared" si="3"/>
        <v>59</v>
      </c>
      <c r="X86" s="153">
        <f t="shared" si="2"/>
        <v>54</v>
      </c>
    </row>
    <row r="87" spans="1:24">
      <c r="A87" t="b">
        <v>0</v>
      </c>
      <c r="R87">
        <v>4</v>
      </c>
      <c r="S87">
        <v>5</v>
      </c>
      <c r="T87">
        <v>2</v>
      </c>
      <c r="U87" s="153">
        <f t="shared" si="3"/>
        <v>85</v>
      </c>
      <c r="X87" s="153">
        <f t="shared" si="2"/>
        <v>83</v>
      </c>
    </row>
    <row r="88" spans="1:24">
      <c r="A88" t="b">
        <v>0</v>
      </c>
      <c r="R88">
        <v>4</v>
      </c>
      <c r="S88">
        <v>5</v>
      </c>
      <c r="T88">
        <v>3</v>
      </c>
      <c r="U88" s="153">
        <f t="shared" si="3"/>
        <v>87</v>
      </c>
      <c r="X88" s="153">
        <f t="shared" si="2"/>
        <v>84</v>
      </c>
    </row>
    <row r="89" spans="1:24">
      <c r="A89" t="b">
        <v>0</v>
      </c>
      <c r="R89">
        <v>4</v>
      </c>
      <c r="S89">
        <v>5</v>
      </c>
      <c r="T89">
        <v>4</v>
      </c>
      <c r="U89" s="153">
        <f t="shared" si="3"/>
        <v>89</v>
      </c>
      <c r="X89" s="153">
        <f t="shared" si="2"/>
        <v>85</v>
      </c>
    </row>
    <row r="90" spans="1:24">
      <c r="A90" t="b">
        <v>0</v>
      </c>
      <c r="R90">
        <v>4</v>
      </c>
      <c r="S90">
        <v>5</v>
      </c>
      <c r="T90">
        <v>5</v>
      </c>
      <c r="U90" s="153">
        <f t="shared" si="3"/>
        <v>91</v>
      </c>
      <c r="X90" s="153">
        <f t="shared" si="2"/>
        <v>86</v>
      </c>
    </row>
    <row r="91" spans="1:24">
      <c r="A91" t="b">
        <v>0</v>
      </c>
      <c r="R91">
        <v>4</v>
      </c>
      <c r="S91">
        <v>7</v>
      </c>
      <c r="T91">
        <v>2</v>
      </c>
      <c r="U91" s="153">
        <f t="shared" si="3"/>
        <v>125</v>
      </c>
      <c r="X91" s="153">
        <f t="shared" si="2"/>
        <v>123</v>
      </c>
    </row>
    <row r="92" spans="1:24">
      <c r="A92" t="b">
        <v>0</v>
      </c>
      <c r="R92">
        <v>4</v>
      </c>
      <c r="S92">
        <v>7</v>
      </c>
      <c r="T92">
        <v>3</v>
      </c>
      <c r="U92" s="153">
        <f t="shared" si="3"/>
        <v>127</v>
      </c>
      <c r="X92" s="153">
        <f t="shared" si="2"/>
        <v>124</v>
      </c>
    </row>
    <row r="93" spans="1:24">
      <c r="A93" t="b">
        <v>0</v>
      </c>
      <c r="R93">
        <v>4</v>
      </c>
      <c r="S93">
        <v>7</v>
      </c>
      <c r="T93">
        <v>4</v>
      </c>
      <c r="U93" s="153">
        <f t="shared" si="3"/>
        <v>129</v>
      </c>
      <c r="X93" s="153">
        <f t="shared" si="2"/>
        <v>125</v>
      </c>
    </row>
    <row r="94" spans="1:24">
      <c r="R94">
        <v>4</v>
      </c>
      <c r="S94">
        <v>7</v>
      </c>
      <c r="T94">
        <v>5</v>
      </c>
      <c r="U94" s="153">
        <f t="shared" si="3"/>
        <v>131</v>
      </c>
      <c r="X94" s="153">
        <f t="shared" si="2"/>
        <v>126</v>
      </c>
    </row>
    <row r="95" spans="1:24">
      <c r="R95">
        <v>4</v>
      </c>
      <c r="S95">
        <v>3</v>
      </c>
      <c r="T95">
        <v>6</v>
      </c>
      <c r="U95" s="153">
        <f t="shared" si="3"/>
        <v>183</v>
      </c>
      <c r="X95" s="153">
        <f t="shared" si="2"/>
        <v>165</v>
      </c>
    </row>
    <row r="96" spans="1:24">
      <c r="R96">
        <v>4</v>
      </c>
      <c r="S96">
        <v>5</v>
      </c>
      <c r="T96">
        <v>6</v>
      </c>
      <c r="U96" s="153">
        <f t="shared" si="3"/>
        <v>279</v>
      </c>
      <c r="X96" s="153">
        <f t="shared" si="2"/>
        <v>261</v>
      </c>
    </row>
    <row r="97" spans="18:24">
      <c r="R97">
        <v>4</v>
      </c>
      <c r="S97">
        <v>7</v>
      </c>
      <c r="T97">
        <v>6</v>
      </c>
      <c r="U97" s="153">
        <f t="shared" si="3"/>
        <v>399</v>
      </c>
      <c r="X97" s="153">
        <f t="shared" si="2"/>
        <v>381</v>
      </c>
    </row>
    <row r="98" spans="18:24">
      <c r="R98">
        <v>5</v>
      </c>
      <c r="S98">
        <v>3</v>
      </c>
      <c r="T98">
        <v>2</v>
      </c>
      <c r="U98" s="153">
        <f t="shared" si="3"/>
        <v>68</v>
      </c>
      <c r="X98" s="153">
        <f t="shared" si="2"/>
        <v>66</v>
      </c>
    </row>
    <row r="99" spans="18:24">
      <c r="R99">
        <v>5</v>
      </c>
      <c r="S99">
        <v>3</v>
      </c>
      <c r="T99">
        <v>3</v>
      </c>
      <c r="U99" s="153">
        <f t="shared" si="3"/>
        <v>70</v>
      </c>
      <c r="X99" s="153">
        <f t="shared" si="2"/>
        <v>67</v>
      </c>
    </row>
    <row r="100" spans="18:24">
      <c r="R100">
        <v>5</v>
      </c>
      <c r="S100">
        <v>3</v>
      </c>
      <c r="T100">
        <v>4</v>
      </c>
      <c r="U100" s="153">
        <f t="shared" si="3"/>
        <v>72</v>
      </c>
      <c r="X100" s="153">
        <f t="shared" si="2"/>
        <v>68</v>
      </c>
    </row>
    <row r="101" spans="18:24">
      <c r="R101">
        <v>5</v>
      </c>
      <c r="S101">
        <v>3</v>
      </c>
      <c r="T101">
        <v>5</v>
      </c>
      <c r="U101" s="153">
        <f t="shared" si="3"/>
        <v>74</v>
      </c>
      <c r="X101" s="153">
        <f t="shared" si="2"/>
        <v>69</v>
      </c>
    </row>
    <row r="102" spans="18:24">
      <c r="R102">
        <v>5</v>
      </c>
      <c r="S102">
        <v>5</v>
      </c>
      <c r="T102">
        <v>2</v>
      </c>
      <c r="U102" s="153">
        <f t="shared" si="3"/>
        <v>104</v>
      </c>
      <c r="X102" s="153">
        <f t="shared" si="2"/>
        <v>102</v>
      </c>
    </row>
    <row r="103" spans="18:24">
      <c r="R103">
        <v>5</v>
      </c>
      <c r="S103">
        <v>5</v>
      </c>
      <c r="T103">
        <v>3</v>
      </c>
      <c r="U103" s="153">
        <f t="shared" si="3"/>
        <v>106</v>
      </c>
      <c r="X103" s="153">
        <f t="shared" si="2"/>
        <v>103</v>
      </c>
    </row>
    <row r="104" spans="18:24">
      <c r="R104">
        <v>5</v>
      </c>
      <c r="S104">
        <v>5</v>
      </c>
      <c r="T104">
        <v>4</v>
      </c>
      <c r="U104" s="153">
        <f t="shared" si="3"/>
        <v>108</v>
      </c>
      <c r="X104" s="153">
        <f t="shared" ref="X104:X167" si="4">((R104+S104)^2 +T104) *IF(T104=6,3,1)</f>
        <v>104</v>
      </c>
    </row>
    <row r="105" spans="18:24">
      <c r="R105">
        <v>5</v>
      </c>
      <c r="S105">
        <v>5</v>
      </c>
      <c r="T105">
        <v>5</v>
      </c>
      <c r="U105" s="153">
        <f t="shared" si="3"/>
        <v>110</v>
      </c>
      <c r="X105" s="153">
        <f t="shared" si="4"/>
        <v>105</v>
      </c>
    </row>
    <row r="106" spans="18:24">
      <c r="R106">
        <v>5</v>
      </c>
      <c r="S106">
        <v>7</v>
      </c>
      <c r="T106">
        <v>2</v>
      </c>
      <c r="U106" s="153">
        <f t="shared" si="3"/>
        <v>148</v>
      </c>
      <c r="X106" s="153">
        <f t="shared" si="4"/>
        <v>146</v>
      </c>
    </row>
    <row r="107" spans="18:24">
      <c r="R107">
        <v>5</v>
      </c>
      <c r="S107">
        <v>7</v>
      </c>
      <c r="T107">
        <v>3</v>
      </c>
      <c r="U107" s="153">
        <f t="shared" si="3"/>
        <v>150</v>
      </c>
      <c r="X107" s="153">
        <f t="shared" si="4"/>
        <v>147</v>
      </c>
    </row>
    <row r="108" spans="18:24">
      <c r="R108">
        <v>5</v>
      </c>
      <c r="S108">
        <v>7</v>
      </c>
      <c r="T108">
        <v>4</v>
      </c>
      <c r="U108" s="153">
        <f t="shared" si="3"/>
        <v>152</v>
      </c>
      <c r="X108" s="153">
        <f t="shared" si="4"/>
        <v>148</v>
      </c>
    </row>
    <row r="109" spans="18:24">
      <c r="R109">
        <v>5</v>
      </c>
      <c r="S109">
        <v>7</v>
      </c>
      <c r="T109">
        <v>5</v>
      </c>
      <c r="U109" s="153">
        <f t="shared" si="3"/>
        <v>154</v>
      </c>
      <c r="X109" s="153">
        <f t="shared" si="4"/>
        <v>149</v>
      </c>
    </row>
    <row r="110" spans="18:24">
      <c r="R110">
        <v>5</v>
      </c>
      <c r="S110">
        <v>3</v>
      </c>
      <c r="T110">
        <v>6</v>
      </c>
      <c r="U110" s="153">
        <f t="shared" si="3"/>
        <v>228</v>
      </c>
      <c r="X110" s="153">
        <f t="shared" si="4"/>
        <v>210</v>
      </c>
    </row>
    <row r="111" spans="18:24">
      <c r="R111">
        <v>5</v>
      </c>
      <c r="S111">
        <v>5</v>
      </c>
      <c r="T111">
        <v>6</v>
      </c>
      <c r="U111" s="153">
        <f t="shared" si="3"/>
        <v>336</v>
      </c>
      <c r="X111" s="153">
        <f t="shared" si="4"/>
        <v>318</v>
      </c>
    </row>
    <row r="112" spans="18:24">
      <c r="R112">
        <v>5</v>
      </c>
      <c r="S112">
        <v>7</v>
      </c>
      <c r="T112">
        <v>6</v>
      </c>
      <c r="U112" s="153">
        <f t="shared" si="3"/>
        <v>468</v>
      </c>
      <c r="X112" s="153">
        <f t="shared" si="4"/>
        <v>450</v>
      </c>
    </row>
    <row r="113" spans="18:24">
      <c r="R113">
        <v>6</v>
      </c>
      <c r="S113">
        <v>3</v>
      </c>
      <c r="T113">
        <v>2</v>
      </c>
      <c r="U113" s="153">
        <f t="shared" si="3"/>
        <v>85</v>
      </c>
      <c r="X113" s="153">
        <f t="shared" si="4"/>
        <v>83</v>
      </c>
    </row>
    <row r="114" spans="18:24">
      <c r="R114">
        <v>6</v>
      </c>
      <c r="S114">
        <v>3</v>
      </c>
      <c r="T114">
        <v>3</v>
      </c>
      <c r="U114" s="153">
        <f t="shared" si="3"/>
        <v>87</v>
      </c>
      <c r="X114" s="153">
        <f t="shared" si="4"/>
        <v>84</v>
      </c>
    </row>
    <row r="115" spans="18:24">
      <c r="R115">
        <v>6</v>
      </c>
      <c r="S115">
        <v>3</v>
      </c>
      <c r="T115">
        <v>4</v>
      </c>
      <c r="U115" s="153">
        <f t="shared" si="3"/>
        <v>89</v>
      </c>
      <c r="X115" s="153">
        <f t="shared" si="4"/>
        <v>85</v>
      </c>
    </row>
    <row r="116" spans="18:24">
      <c r="R116">
        <v>6</v>
      </c>
      <c r="S116">
        <v>3</v>
      </c>
      <c r="T116">
        <v>5</v>
      </c>
      <c r="U116" s="153">
        <f t="shared" si="3"/>
        <v>91</v>
      </c>
      <c r="X116" s="153">
        <f t="shared" si="4"/>
        <v>86</v>
      </c>
    </row>
    <row r="117" spans="18:24">
      <c r="R117">
        <v>6</v>
      </c>
      <c r="S117">
        <v>5</v>
      </c>
      <c r="T117">
        <v>2</v>
      </c>
      <c r="U117" s="153">
        <f t="shared" si="3"/>
        <v>125</v>
      </c>
      <c r="X117" s="153">
        <f t="shared" si="4"/>
        <v>123</v>
      </c>
    </row>
    <row r="118" spans="18:24">
      <c r="R118">
        <v>6</v>
      </c>
      <c r="S118">
        <v>5</v>
      </c>
      <c r="T118">
        <v>3</v>
      </c>
      <c r="U118" s="153">
        <f t="shared" ref="U118:U172" si="5">(((R118+S118)^2)/2 +T118)*2 *IF(T118=6,3,1)</f>
        <v>127</v>
      </c>
      <c r="X118" s="153">
        <f t="shared" si="4"/>
        <v>124</v>
      </c>
    </row>
    <row r="119" spans="18:24">
      <c r="R119">
        <v>6</v>
      </c>
      <c r="S119">
        <v>5</v>
      </c>
      <c r="T119">
        <v>4</v>
      </c>
      <c r="U119" s="153">
        <f t="shared" si="5"/>
        <v>129</v>
      </c>
      <c r="X119" s="153">
        <f t="shared" si="4"/>
        <v>125</v>
      </c>
    </row>
    <row r="120" spans="18:24">
      <c r="R120">
        <v>6</v>
      </c>
      <c r="S120">
        <v>5</v>
      </c>
      <c r="T120">
        <v>5</v>
      </c>
      <c r="U120" s="153">
        <f t="shared" si="5"/>
        <v>131</v>
      </c>
      <c r="X120" s="153">
        <f t="shared" si="4"/>
        <v>126</v>
      </c>
    </row>
    <row r="121" spans="18:24">
      <c r="R121">
        <v>6</v>
      </c>
      <c r="S121">
        <v>7</v>
      </c>
      <c r="T121">
        <v>2</v>
      </c>
      <c r="U121" s="153">
        <f t="shared" si="5"/>
        <v>173</v>
      </c>
      <c r="X121" s="153">
        <f t="shared" si="4"/>
        <v>171</v>
      </c>
    </row>
    <row r="122" spans="18:24">
      <c r="R122">
        <v>6</v>
      </c>
      <c r="S122">
        <v>7</v>
      </c>
      <c r="T122">
        <v>3</v>
      </c>
      <c r="U122" s="153">
        <f t="shared" si="5"/>
        <v>175</v>
      </c>
      <c r="X122" s="153">
        <f t="shared" si="4"/>
        <v>172</v>
      </c>
    </row>
    <row r="123" spans="18:24">
      <c r="R123">
        <v>6</v>
      </c>
      <c r="S123">
        <v>7</v>
      </c>
      <c r="T123">
        <v>4</v>
      </c>
      <c r="U123" s="153">
        <f t="shared" si="5"/>
        <v>177</v>
      </c>
      <c r="X123" s="153">
        <f t="shared" si="4"/>
        <v>173</v>
      </c>
    </row>
    <row r="124" spans="18:24">
      <c r="R124">
        <v>6</v>
      </c>
      <c r="S124">
        <v>7</v>
      </c>
      <c r="T124">
        <v>5</v>
      </c>
      <c r="U124" s="153">
        <f t="shared" si="5"/>
        <v>179</v>
      </c>
      <c r="X124" s="153">
        <f t="shared" si="4"/>
        <v>174</v>
      </c>
    </row>
    <row r="125" spans="18:24">
      <c r="R125">
        <v>6</v>
      </c>
      <c r="S125">
        <v>3</v>
      </c>
      <c r="T125">
        <v>6</v>
      </c>
      <c r="U125" s="153">
        <f t="shared" si="5"/>
        <v>279</v>
      </c>
      <c r="X125" s="153">
        <f t="shared" si="4"/>
        <v>261</v>
      </c>
    </row>
    <row r="126" spans="18:24">
      <c r="R126">
        <v>6</v>
      </c>
      <c r="S126">
        <v>5</v>
      </c>
      <c r="T126">
        <v>6</v>
      </c>
      <c r="U126" s="153">
        <f t="shared" si="5"/>
        <v>399</v>
      </c>
      <c r="X126" s="153">
        <f t="shared" si="4"/>
        <v>381</v>
      </c>
    </row>
    <row r="127" spans="18:24">
      <c r="R127">
        <v>6</v>
      </c>
      <c r="S127">
        <v>7</v>
      </c>
      <c r="T127">
        <v>6</v>
      </c>
      <c r="U127" s="153">
        <f t="shared" si="5"/>
        <v>543</v>
      </c>
      <c r="X127" s="153">
        <f t="shared" si="4"/>
        <v>525</v>
      </c>
    </row>
    <row r="128" spans="18:24">
      <c r="R128">
        <v>7</v>
      </c>
      <c r="S128">
        <v>3</v>
      </c>
      <c r="T128">
        <v>2</v>
      </c>
      <c r="U128" s="153">
        <f t="shared" si="5"/>
        <v>104</v>
      </c>
      <c r="X128" s="153">
        <f t="shared" si="4"/>
        <v>102</v>
      </c>
    </row>
    <row r="129" spans="18:24">
      <c r="R129">
        <v>7</v>
      </c>
      <c r="S129">
        <v>3</v>
      </c>
      <c r="T129">
        <v>3</v>
      </c>
      <c r="U129" s="153">
        <f t="shared" si="5"/>
        <v>106</v>
      </c>
      <c r="X129" s="153">
        <f t="shared" si="4"/>
        <v>103</v>
      </c>
    </row>
    <row r="130" spans="18:24">
      <c r="R130">
        <v>7</v>
      </c>
      <c r="S130">
        <v>3</v>
      </c>
      <c r="T130">
        <v>4</v>
      </c>
      <c r="U130" s="153">
        <f t="shared" si="5"/>
        <v>108</v>
      </c>
      <c r="X130" s="153">
        <f t="shared" si="4"/>
        <v>104</v>
      </c>
    </row>
    <row r="131" spans="18:24">
      <c r="R131">
        <v>7</v>
      </c>
      <c r="S131">
        <v>3</v>
      </c>
      <c r="T131">
        <v>5</v>
      </c>
      <c r="U131" s="153">
        <f t="shared" si="5"/>
        <v>110</v>
      </c>
      <c r="X131" s="153">
        <f t="shared" si="4"/>
        <v>105</v>
      </c>
    </row>
    <row r="132" spans="18:24">
      <c r="R132">
        <v>7</v>
      </c>
      <c r="S132">
        <v>5</v>
      </c>
      <c r="T132">
        <v>2</v>
      </c>
      <c r="U132" s="153">
        <f t="shared" si="5"/>
        <v>148</v>
      </c>
      <c r="X132" s="153">
        <f t="shared" si="4"/>
        <v>146</v>
      </c>
    </row>
    <row r="133" spans="18:24">
      <c r="R133">
        <v>7</v>
      </c>
      <c r="S133">
        <v>5</v>
      </c>
      <c r="T133">
        <v>3</v>
      </c>
      <c r="U133" s="153">
        <f t="shared" si="5"/>
        <v>150</v>
      </c>
      <c r="X133" s="153">
        <f t="shared" si="4"/>
        <v>147</v>
      </c>
    </row>
    <row r="134" spans="18:24">
      <c r="R134">
        <v>7</v>
      </c>
      <c r="S134">
        <v>5</v>
      </c>
      <c r="T134">
        <v>4</v>
      </c>
      <c r="U134" s="153">
        <f t="shared" si="5"/>
        <v>152</v>
      </c>
      <c r="X134" s="153">
        <f t="shared" si="4"/>
        <v>148</v>
      </c>
    </row>
    <row r="135" spans="18:24">
      <c r="R135">
        <v>7</v>
      </c>
      <c r="S135">
        <v>5</v>
      </c>
      <c r="T135">
        <v>5</v>
      </c>
      <c r="U135" s="153">
        <f t="shared" si="5"/>
        <v>154</v>
      </c>
      <c r="X135" s="153">
        <f t="shared" si="4"/>
        <v>149</v>
      </c>
    </row>
    <row r="136" spans="18:24">
      <c r="R136">
        <v>7</v>
      </c>
      <c r="S136">
        <v>7</v>
      </c>
      <c r="T136">
        <v>2</v>
      </c>
      <c r="U136" s="153">
        <f t="shared" si="5"/>
        <v>200</v>
      </c>
      <c r="X136" s="153">
        <f t="shared" si="4"/>
        <v>198</v>
      </c>
    </row>
    <row r="137" spans="18:24">
      <c r="R137">
        <v>7</v>
      </c>
      <c r="S137">
        <v>7</v>
      </c>
      <c r="T137">
        <v>3</v>
      </c>
      <c r="U137" s="153">
        <f t="shared" si="5"/>
        <v>202</v>
      </c>
      <c r="X137" s="153">
        <f t="shared" si="4"/>
        <v>199</v>
      </c>
    </row>
    <row r="138" spans="18:24">
      <c r="R138">
        <v>7</v>
      </c>
      <c r="S138">
        <v>7</v>
      </c>
      <c r="T138">
        <v>4</v>
      </c>
      <c r="U138" s="153">
        <f t="shared" si="5"/>
        <v>204</v>
      </c>
      <c r="X138" s="153">
        <f t="shared" si="4"/>
        <v>200</v>
      </c>
    </row>
    <row r="139" spans="18:24">
      <c r="R139">
        <v>7</v>
      </c>
      <c r="S139">
        <v>7</v>
      </c>
      <c r="T139">
        <v>5</v>
      </c>
      <c r="U139" s="153">
        <f t="shared" si="5"/>
        <v>206</v>
      </c>
      <c r="X139" s="153">
        <f t="shared" si="4"/>
        <v>201</v>
      </c>
    </row>
    <row r="140" spans="18:24">
      <c r="R140">
        <v>7</v>
      </c>
      <c r="S140">
        <v>3</v>
      </c>
      <c r="T140">
        <v>6</v>
      </c>
      <c r="U140" s="153">
        <f t="shared" si="5"/>
        <v>336</v>
      </c>
      <c r="X140" s="153">
        <f t="shared" si="4"/>
        <v>318</v>
      </c>
    </row>
    <row r="141" spans="18:24">
      <c r="R141">
        <v>7</v>
      </c>
      <c r="S141">
        <v>5</v>
      </c>
      <c r="T141">
        <v>6</v>
      </c>
      <c r="U141" s="153">
        <f t="shared" si="5"/>
        <v>468</v>
      </c>
      <c r="X141" s="153">
        <f t="shared" si="4"/>
        <v>450</v>
      </c>
    </row>
    <row r="142" spans="18:24">
      <c r="R142">
        <v>7</v>
      </c>
      <c r="S142">
        <v>7</v>
      </c>
      <c r="T142">
        <v>6</v>
      </c>
      <c r="U142" s="153">
        <f t="shared" si="5"/>
        <v>624</v>
      </c>
      <c r="X142" s="153">
        <f t="shared" si="4"/>
        <v>606</v>
      </c>
    </row>
    <row r="143" spans="18:24">
      <c r="R143">
        <v>8</v>
      </c>
      <c r="S143">
        <v>3</v>
      </c>
      <c r="T143">
        <v>2</v>
      </c>
      <c r="U143" s="153">
        <f t="shared" si="5"/>
        <v>125</v>
      </c>
      <c r="X143" s="153">
        <f t="shared" si="4"/>
        <v>123</v>
      </c>
    </row>
    <row r="144" spans="18:24">
      <c r="R144">
        <v>8</v>
      </c>
      <c r="S144">
        <v>3</v>
      </c>
      <c r="T144">
        <v>3</v>
      </c>
      <c r="U144" s="153">
        <f t="shared" si="5"/>
        <v>127</v>
      </c>
      <c r="X144" s="153">
        <f t="shared" si="4"/>
        <v>124</v>
      </c>
    </row>
    <row r="145" spans="18:24">
      <c r="R145">
        <v>8</v>
      </c>
      <c r="S145">
        <v>3</v>
      </c>
      <c r="T145">
        <v>4</v>
      </c>
      <c r="U145" s="153">
        <f t="shared" si="5"/>
        <v>129</v>
      </c>
      <c r="X145" s="153">
        <f t="shared" si="4"/>
        <v>125</v>
      </c>
    </row>
    <row r="146" spans="18:24">
      <c r="R146">
        <v>8</v>
      </c>
      <c r="S146">
        <v>3</v>
      </c>
      <c r="T146">
        <v>5</v>
      </c>
      <c r="U146" s="153">
        <f t="shared" si="5"/>
        <v>131</v>
      </c>
      <c r="X146" s="153">
        <f t="shared" si="4"/>
        <v>126</v>
      </c>
    </row>
    <row r="147" spans="18:24">
      <c r="R147">
        <v>8</v>
      </c>
      <c r="S147">
        <v>5</v>
      </c>
      <c r="T147">
        <v>2</v>
      </c>
      <c r="U147" s="153">
        <f t="shared" si="5"/>
        <v>173</v>
      </c>
      <c r="X147" s="153">
        <f t="shared" si="4"/>
        <v>171</v>
      </c>
    </row>
    <row r="148" spans="18:24">
      <c r="R148">
        <v>8</v>
      </c>
      <c r="S148">
        <v>5</v>
      </c>
      <c r="T148">
        <v>3</v>
      </c>
      <c r="U148" s="153">
        <f t="shared" si="5"/>
        <v>175</v>
      </c>
      <c r="X148" s="153">
        <f t="shared" si="4"/>
        <v>172</v>
      </c>
    </row>
    <row r="149" spans="18:24">
      <c r="R149">
        <v>8</v>
      </c>
      <c r="S149">
        <v>5</v>
      </c>
      <c r="T149">
        <v>4</v>
      </c>
      <c r="U149" s="153">
        <f t="shared" si="5"/>
        <v>177</v>
      </c>
      <c r="X149" s="153">
        <f t="shared" si="4"/>
        <v>173</v>
      </c>
    </row>
    <row r="150" spans="18:24">
      <c r="R150">
        <v>8</v>
      </c>
      <c r="S150">
        <v>5</v>
      </c>
      <c r="T150">
        <v>5</v>
      </c>
      <c r="U150" s="153">
        <f t="shared" si="5"/>
        <v>179</v>
      </c>
      <c r="X150" s="153">
        <f t="shared" si="4"/>
        <v>174</v>
      </c>
    </row>
    <row r="151" spans="18:24">
      <c r="R151">
        <v>8</v>
      </c>
      <c r="S151">
        <v>7</v>
      </c>
      <c r="T151">
        <v>2</v>
      </c>
      <c r="U151" s="153">
        <f t="shared" si="5"/>
        <v>229</v>
      </c>
      <c r="X151" s="153">
        <f t="shared" si="4"/>
        <v>227</v>
      </c>
    </row>
    <row r="152" spans="18:24">
      <c r="R152">
        <v>8</v>
      </c>
      <c r="S152">
        <v>7</v>
      </c>
      <c r="T152">
        <v>3</v>
      </c>
      <c r="U152" s="153">
        <f t="shared" si="5"/>
        <v>231</v>
      </c>
      <c r="X152" s="153">
        <f t="shared" si="4"/>
        <v>228</v>
      </c>
    </row>
    <row r="153" spans="18:24">
      <c r="R153">
        <v>8</v>
      </c>
      <c r="S153">
        <v>7</v>
      </c>
      <c r="T153">
        <v>4</v>
      </c>
      <c r="U153" s="153">
        <f t="shared" si="5"/>
        <v>233</v>
      </c>
      <c r="X153" s="153">
        <f t="shared" si="4"/>
        <v>229</v>
      </c>
    </row>
    <row r="154" spans="18:24">
      <c r="R154">
        <v>8</v>
      </c>
      <c r="S154">
        <v>7</v>
      </c>
      <c r="T154">
        <v>5</v>
      </c>
      <c r="U154" s="153">
        <f t="shared" si="5"/>
        <v>235</v>
      </c>
      <c r="X154" s="153">
        <f t="shared" si="4"/>
        <v>230</v>
      </c>
    </row>
    <row r="155" spans="18:24">
      <c r="R155">
        <v>8</v>
      </c>
      <c r="S155">
        <v>3</v>
      </c>
      <c r="T155">
        <v>6</v>
      </c>
      <c r="U155" s="153">
        <f t="shared" si="5"/>
        <v>399</v>
      </c>
      <c r="X155" s="153">
        <f t="shared" si="4"/>
        <v>381</v>
      </c>
    </row>
    <row r="156" spans="18:24">
      <c r="R156">
        <v>8</v>
      </c>
      <c r="S156">
        <v>5</v>
      </c>
      <c r="T156">
        <v>6</v>
      </c>
      <c r="U156" s="153">
        <f t="shared" si="5"/>
        <v>543</v>
      </c>
      <c r="X156" s="153">
        <f t="shared" si="4"/>
        <v>525</v>
      </c>
    </row>
    <row r="157" spans="18:24">
      <c r="R157">
        <v>8</v>
      </c>
      <c r="S157">
        <v>7</v>
      </c>
      <c r="T157">
        <v>6</v>
      </c>
      <c r="U157" s="153">
        <f t="shared" si="5"/>
        <v>711</v>
      </c>
      <c r="X157" s="153">
        <f t="shared" si="4"/>
        <v>693</v>
      </c>
    </row>
    <row r="158" spans="18:24">
      <c r="R158">
        <v>9</v>
      </c>
      <c r="S158">
        <v>3</v>
      </c>
      <c r="T158">
        <v>2</v>
      </c>
      <c r="U158" s="153">
        <f t="shared" si="5"/>
        <v>148</v>
      </c>
      <c r="X158" s="153">
        <f t="shared" si="4"/>
        <v>146</v>
      </c>
    </row>
    <row r="159" spans="18:24">
      <c r="R159">
        <v>9</v>
      </c>
      <c r="S159">
        <v>3</v>
      </c>
      <c r="T159">
        <v>3</v>
      </c>
      <c r="U159" s="153">
        <f t="shared" si="5"/>
        <v>150</v>
      </c>
      <c r="X159" s="153">
        <f t="shared" si="4"/>
        <v>147</v>
      </c>
    </row>
    <row r="160" spans="18:24">
      <c r="R160">
        <v>9</v>
      </c>
      <c r="S160">
        <v>3</v>
      </c>
      <c r="T160">
        <v>4</v>
      </c>
      <c r="U160" s="153">
        <f t="shared" si="5"/>
        <v>152</v>
      </c>
      <c r="X160" s="153">
        <f t="shared" si="4"/>
        <v>148</v>
      </c>
    </row>
    <row r="161" spans="18:24">
      <c r="R161">
        <v>9</v>
      </c>
      <c r="S161">
        <v>3</v>
      </c>
      <c r="T161">
        <v>5</v>
      </c>
      <c r="U161" s="153">
        <f t="shared" si="5"/>
        <v>154</v>
      </c>
      <c r="X161" s="153">
        <f t="shared" si="4"/>
        <v>149</v>
      </c>
    </row>
    <row r="162" spans="18:24">
      <c r="R162">
        <v>9</v>
      </c>
      <c r="S162">
        <v>5</v>
      </c>
      <c r="T162">
        <v>2</v>
      </c>
      <c r="U162" s="153">
        <f t="shared" si="5"/>
        <v>200</v>
      </c>
      <c r="X162" s="153">
        <f t="shared" si="4"/>
        <v>198</v>
      </c>
    </row>
    <row r="163" spans="18:24">
      <c r="R163">
        <v>9</v>
      </c>
      <c r="S163">
        <v>5</v>
      </c>
      <c r="T163">
        <v>3</v>
      </c>
      <c r="U163" s="153">
        <f t="shared" si="5"/>
        <v>202</v>
      </c>
      <c r="V163">
        <f>U163/U155</f>
        <v>0.50626566416040097</v>
      </c>
      <c r="W163">
        <f>7/3</f>
        <v>2.3333333333333335</v>
      </c>
      <c r="X163" s="153">
        <f t="shared" si="4"/>
        <v>199</v>
      </c>
    </row>
    <row r="164" spans="18:24">
      <c r="R164">
        <v>9</v>
      </c>
      <c r="S164">
        <v>5</v>
      </c>
      <c r="T164">
        <v>4</v>
      </c>
      <c r="U164" s="153">
        <f t="shared" si="5"/>
        <v>204</v>
      </c>
      <c r="X164" s="153">
        <f t="shared" si="4"/>
        <v>200</v>
      </c>
    </row>
    <row r="165" spans="18:24">
      <c r="R165">
        <v>9</v>
      </c>
      <c r="S165">
        <v>5</v>
      </c>
      <c r="T165">
        <v>5</v>
      </c>
      <c r="U165" s="153">
        <f t="shared" si="5"/>
        <v>206</v>
      </c>
      <c r="X165" s="153">
        <f t="shared" si="4"/>
        <v>201</v>
      </c>
    </row>
    <row r="166" spans="18:24">
      <c r="R166">
        <v>9</v>
      </c>
      <c r="S166">
        <v>7</v>
      </c>
      <c r="T166">
        <v>2</v>
      </c>
      <c r="U166" s="153">
        <f t="shared" si="5"/>
        <v>260</v>
      </c>
      <c r="X166" s="153">
        <f t="shared" si="4"/>
        <v>258</v>
      </c>
    </row>
    <row r="167" spans="18:24">
      <c r="R167">
        <v>9</v>
      </c>
      <c r="S167">
        <v>7</v>
      </c>
      <c r="T167">
        <v>3</v>
      </c>
      <c r="U167" s="153">
        <f t="shared" si="5"/>
        <v>262</v>
      </c>
      <c r="X167" s="153">
        <f t="shared" si="4"/>
        <v>259</v>
      </c>
    </row>
    <row r="168" spans="18:24">
      <c r="R168">
        <v>9</v>
      </c>
      <c r="S168">
        <v>7</v>
      </c>
      <c r="T168">
        <v>4</v>
      </c>
      <c r="U168" s="153">
        <f t="shared" si="5"/>
        <v>264</v>
      </c>
      <c r="X168" s="153">
        <f t="shared" ref="X168:X187" si="6">((R168+S168)^2 +T168) *IF(T168=6,3,1)</f>
        <v>260</v>
      </c>
    </row>
    <row r="169" spans="18:24">
      <c r="R169">
        <v>9</v>
      </c>
      <c r="S169">
        <v>7</v>
      </c>
      <c r="T169">
        <v>5</v>
      </c>
      <c r="U169" s="153">
        <f t="shared" si="5"/>
        <v>266</v>
      </c>
      <c r="X169" s="153">
        <f t="shared" si="6"/>
        <v>261</v>
      </c>
    </row>
    <row r="170" spans="18:24">
      <c r="R170">
        <v>9</v>
      </c>
      <c r="S170">
        <v>3</v>
      </c>
      <c r="T170">
        <v>6</v>
      </c>
      <c r="U170" s="153">
        <f t="shared" si="5"/>
        <v>468</v>
      </c>
      <c r="X170" s="153">
        <f t="shared" si="6"/>
        <v>450</v>
      </c>
    </row>
    <row r="171" spans="18:24">
      <c r="R171">
        <v>9</v>
      </c>
      <c r="S171">
        <v>5</v>
      </c>
      <c r="T171">
        <v>6</v>
      </c>
      <c r="U171" s="153">
        <f t="shared" si="5"/>
        <v>624</v>
      </c>
      <c r="X171" s="153">
        <f t="shared" si="6"/>
        <v>606</v>
      </c>
    </row>
    <row r="172" spans="18:24">
      <c r="R172">
        <v>9</v>
      </c>
      <c r="S172">
        <v>7</v>
      </c>
      <c r="T172">
        <v>6</v>
      </c>
      <c r="U172" s="153">
        <f t="shared" si="5"/>
        <v>804</v>
      </c>
      <c r="X172" s="153">
        <f t="shared" si="6"/>
        <v>786</v>
      </c>
    </row>
    <row r="173" spans="18:24">
      <c r="R173">
        <v>10</v>
      </c>
      <c r="S173">
        <v>3</v>
      </c>
      <c r="T173">
        <v>2</v>
      </c>
      <c r="U173" s="153">
        <f t="shared" ref="U173:U186" si="7">(((R173+S173)^2)/2 +T173)*1 *IF(T173=6,3,1)</f>
        <v>86.5</v>
      </c>
      <c r="X173" s="153">
        <f t="shared" si="6"/>
        <v>171</v>
      </c>
    </row>
    <row r="174" spans="18:24">
      <c r="R174">
        <v>10</v>
      </c>
      <c r="S174">
        <v>3</v>
      </c>
      <c r="T174">
        <v>3</v>
      </c>
      <c r="U174" s="153">
        <f>(((R174+S174)^2)/2 +T174)*2 *IF(T174=6,3,1)</f>
        <v>175</v>
      </c>
      <c r="X174" s="153">
        <f t="shared" si="6"/>
        <v>172</v>
      </c>
    </row>
    <row r="175" spans="18:24">
      <c r="R175">
        <v>10</v>
      </c>
      <c r="S175">
        <v>3</v>
      </c>
      <c r="T175">
        <v>4</v>
      </c>
      <c r="U175" s="153">
        <f>(((R175+S175)^2)/2 +T175)*2 *IF(T175=6,3,1)</f>
        <v>177</v>
      </c>
      <c r="X175" s="153">
        <f t="shared" si="6"/>
        <v>173</v>
      </c>
    </row>
    <row r="176" spans="18:24">
      <c r="R176">
        <v>10</v>
      </c>
      <c r="S176">
        <v>3</v>
      </c>
      <c r="T176">
        <v>5</v>
      </c>
      <c r="U176" s="153">
        <f t="shared" si="7"/>
        <v>89.5</v>
      </c>
      <c r="X176" s="153">
        <f t="shared" si="6"/>
        <v>174</v>
      </c>
    </row>
    <row r="177" spans="18:24">
      <c r="R177">
        <v>10</v>
      </c>
      <c r="S177">
        <v>5</v>
      </c>
      <c r="T177">
        <v>2</v>
      </c>
      <c r="U177" s="153">
        <f t="shared" si="7"/>
        <v>114.5</v>
      </c>
      <c r="X177" s="153">
        <f t="shared" si="6"/>
        <v>227</v>
      </c>
    </row>
    <row r="178" spans="18:24">
      <c r="R178">
        <v>10</v>
      </c>
      <c r="S178">
        <v>5</v>
      </c>
      <c r="T178">
        <v>3</v>
      </c>
      <c r="U178" s="153">
        <f t="shared" si="7"/>
        <v>115.5</v>
      </c>
      <c r="X178" s="153">
        <f t="shared" si="6"/>
        <v>228</v>
      </c>
    </row>
    <row r="179" spans="18:24">
      <c r="R179">
        <v>10</v>
      </c>
      <c r="S179">
        <v>5</v>
      </c>
      <c r="T179">
        <v>4</v>
      </c>
      <c r="U179" s="153">
        <f t="shared" si="7"/>
        <v>116.5</v>
      </c>
      <c r="X179" s="153">
        <f t="shared" si="6"/>
        <v>229</v>
      </c>
    </row>
    <row r="180" spans="18:24">
      <c r="R180">
        <v>10</v>
      </c>
      <c r="S180">
        <v>5</v>
      </c>
      <c r="T180">
        <v>5</v>
      </c>
      <c r="U180" s="153">
        <f t="shared" si="7"/>
        <v>117.5</v>
      </c>
      <c r="X180" s="153">
        <f t="shared" si="6"/>
        <v>230</v>
      </c>
    </row>
    <row r="181" spans="18:24">
      <c r="R181">
        <v>10</v>
      </c>
      <c r="S181">
        <v>7</v>
      </c>
      <c r="T181">
        <v>2</v>
      </c>
      <c r="U181" s="155">
        <f t="shared" si="7"/>
        <v>146.5</v>
      </c>
      <c r="X181" s="153">
        <f t="shared" si="6"/>
        <v>291</v>
      </c>
    </row>
    <row r="182" spans="18:24">
      <c r="R182">
        <v>10</v>
      </c>
      <c r="S182">
        <v>7</v>
      </c>
      <c r="T182">
        <v>3</v>
      </c>
      <c r="U182" s="155">
        <f t="shared" si="7"/>
        <v>147.5</v>
      </c>
      <c r="X182" s="153">
        <f t="shared" si="6"/>
        <v>292</v>
      </c>
    </row>
    <row r="183" spans="18:24">
      <c r="R183">
        <v>10</v>
      </c>
      <c r="S183">
        <v>7</v>
      </c>
      <c r="T183">
        <v>4</v>
      </c>
      <c r="U183" s="155">
        <f t="shared" si="7"/>
        <v>148.5</v>
      </c>
      <c r="X183" s="153">
        <f t="shared" si="6"/>
        <v>293</v>
      </c>
    </row>
    <row r="184" spans="18:24">
      <c r="R184">
        <v>10</v>
      </c>
      <c r="S184">
        <v>7</v>
      </c>
      <c r="T184">
        <v>5</v>
      </c>
      <c r="U184" s="155">
        <f t="shared" si="7"/>
        <v>149.5</v>
      </c>
      <c r="X184" s="153">
        <f t="shared" si="6"/>
        <v>294</v>
      </c>
    </row>
    <row r="185" spans="18:24">
      <c r="R185">
        <v>10</v>
      </c>
      <c r="S185">
        <v>3</v>
      </c>
      <c r="T185">
        <v>6</v>
      </c>
      <c r="U185" s="153">
        <f t="shared" si="7"/>
        <v>271.5</v>
      </c>
      <c r="X185" s="153">
        <f t="shared" si="6"/>
        <v>525</v>
      </c>
    </row>
    <row r="186" spans="18:24">
      <c r="R186">
        <v>10</v>
      </c>
      <c r="S186">
        <v>5</v>
      </c>
      <c r="T186">
        <v>6</v>
      </c>
      <c r="U186" s="153">
        <f t="shared" si="7"/>
        <v>355.5</v>
      </c>
      <c r="X186" s="153">
        <f t="shared" si="6"/>
        <v>693</v>
      </c>
    </row>
    <row r="187" spans="18:24">
      <c r="R187">
        <v>10</v>
      </c>
      <c r="S187">
        <v>7</v>
      </c>
      <c r="T187">
        <v>6</v>
      </c>
      <c r="U187" s="153">
        <f>(((R187+S187)^2)/2 +T187)*1 *IF(T187=6,3,1)</f>
        <v>451.5</v>
      </c>
      <c r="X187" s="153">
        <f t="shared" si="6"/>
        <v>885</v>
      </c>
    </row>
  </sheetData>
  <autoFilter ref="R37:U37" xr:uid="{ADBB7AAE-1E9E-4FCF-92CB-4B50C269FA39}">
    <sortState xmlns:xlrd2="http://schemas.microsoft.com/office/spreadsheetml/2017/richdata2" ref="R38:U187">
      <sortCondition ref="R37"/>
    </sortState>
  </autoFilter>
  <sortState xmlns:xlrd2="http://schemas.microsoft.com/office/spreadsheetml/2017/richdata2" ref="R38:W187">
    <sortCondition ref="U38:U187"/>
  </sortState>
  <mergeCells count="7">
    <mergeCell ref="O27:P27"/>
    <mergeCell ref="O21:P21"/>
    <mergeCell ref="O22:P22"/>
    <mergeCell ref="O23:P23"/>
    <mergeCell ref="O24:P24"/>
    <mergeCell ref="O25:P25"/>
    <mergeCell ref="O26:P26"/>
  </mergeCells>
  <conditionalFormatting sqref="W6">
    <cfRule type="cellIs" dxfId="27" priority="5" operator="equal">
      <formula>"Dextérité"</formula>
    </cfRule>
    <cfRule type="cellIs" dxfId="26" priority="6" operator="equal">
      <formula>"Force"</formula>
    </cfRule>
  </conditionalFormatting>
  <conditionalFormatting sqref="W21">
    <cfRule type="cellIs" dxfId="25" priority="1" operator="equal">
      <formula>"Dextérité"</formula>
    </cfRule>
    <cfRule type="cellIs" dxfId="24" priority="2" operator="equal">
      <formula>"Force"</formula>
    </cfRule>
  </conditionalFormatting>
  <dataValidations count="6">
    <dataValidation type="list" allowBlank="1" showInputMessage="1" showErrorMessage="1" sqref="S7" xr:uid="{F4ED68C8-9DBD-4E63-80C7-B89DC5A479EB}">
      <formula1>$P$5:$P$20</formula1>
    </dataValidation>
    <dataValidation type="list" allowBlank="1" showInputMessage="1" showErrorMessage="1" sqref="P7" xr:uid="{12875E8E-B041-4446-993A-AFD0F79C12EE}">
      <formula1>IF($G$6="Magie",$A$5:$A$23,"bloop")</formula1>
    </dataValidation>
    <dataValidation type="list" allowBlank="1" showInputMessage="1" showErrorMessage="1" sqref="X7 X22" xr:uid="{1DC054A8-B460-4A5A-8A76-9F99C641B31E}">
      <formula1>$U$5:$U$23</formula1>
    </dataValidation>
    <dataValidation type="list" allowBlank="1" showInputMessage="1" showErrorMessage="1" sqref="G7" xr:uid="{CB7E1936-CC03-4FCE-A92A-55570753F0CA}">
      <formula1>$D$5:$D$23</formula1>
    </dataValidation>
    <dataValidation type="list" allowBlank="1" showInputMessage="1" showErrorMessage="1" sqref="M7" xr:uid="{8945D881-80E2-4B06-8A9E-B5ADE14C1B97}">
      <formula1>$J$5:$J$23</formula1>
    </dataValidation>
    <dataValidation type="list" allowBlank="1" showInputMessage="1" showErrorMessage="1" sqref="G9 X24" xr:uid="{74F0086D-86ED-46B2-806E-0CCC941C225F}">
      <formula1>$L$22:$L$27</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F49B2BA0-7E1A-424B-9903-B90A3FC81D08}">
          <x14:formula1>
            <xm:f>Données!$A$2:$A$3</xm:f>
          </x14:formula1>
          <xm:sqref>P6</xm:sqref>
        </x14:dataValidation>
        <x14:dataValidation type="list" allowBlank="1" showInputMessage="1" showErrorMessage="1" xr:uid="{A340AFD7-A9D5-4A1A-B70F-D9417FEBC168}">
          <x14:formula1>
            <xm:f>Bestiaire!$C$4:$C$35</xm:f>
          </x14:formula1>
          <xm:sqref>L22:L27</xm:sqref>
        </x14:dataValidation>
        <x14:dataValidation type="list" allowBlank="1" showInputMessage="1" showErrorMessage="1" xr:uid="{8E15F94C-E76E-4859-8046-B9B8F740F5AD}">
          <x14:formula1>
            <xm:f>Données!$A$2:$A$4</xm:f>
          </x14:formula1>
          <xm:sqref>M6 S6 X6 G6 X21</xm:sqref>
        </x14:dataValidation>
        <x14:dataValidation type="list" allowBlank="1" showInputMessage="1" showErrorMessage="1" xr:uid="{9924A1A5-ABA6-4965-8ABB-5021EBCDD434}">
          <x14:formula1>
            <xm:f>IF(_xlfn.XLOOKUP($S$7,Magies!$B$2:$B$40,Magies!$A$2:$A$40)="Allié",$A$5:$A$8,$L$22:$L$27)</xm:f>
          </x14:formula1>
          <xm:sqref>X9</xm:sqref>
        </x14:dataValidation>
        <x14:dataValidation type="list" allowBlank="1" showInputMessage="1" showErrorMessage="1" xr:uid="{2A02FF60-1846-421D-BB9F-A1FCA11530C9}">
          <x14:formula1>
            <xm:f>IF(_xlfn.XLOOKUP($M$7,Magies!$B$2:$B$40,Magies!$A$2:$A$40)="Allié",$A$5:$A$8,$L$22:$L$27)</xm:f>
          </x14:formula1>
          <xm:sqref>M9</xm:sqref>
        </x14:dataValidation>
        <x14:dataValidation type="list" allowBlank="1" showInputMessage="1" showErrorMessage="1" xr:uid="{3E3F5040-379A-4A00-B264-3FE18876E60A}">
          <x14:formula1>
            <xm:f>IF(S6&lt;&gt;"Magie",$L$22:$L$27,IF(_xlfn.XLOOKUP($S$7,Magies!$B$2:$B$40,Magies!$A$2:$A$40)="Allié",$A$5:$A$8,$L$22:$L$27))</xm:f>
          </x14:formula1>
          <xm:sqref>S9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C58A-A239-4DC6-AAE5-5D40840BBA2C}">
  <dimension ref="A1:F75"/>
  <sheetViews>
    <sheetView workbookViewId="0">
      <selection activeCell="A4" sqref="A4"/>
    </sheetView>
  </sheetViews>
  <sheetFormatPr baseColWidth="10" defaultColWidth="8.7265625" defaultRowHeight="14.5"/>
  <cols>
    <col min="1" max="1" width="27.81640625" customWidth="1"/>
    <col min="2" max="2" width="15.81640625" customWidth="1"/>
    <col min="3" max="3" width="40.1796875" bestFit="1" customWidth="1"/>
    <col min="4" max="4" width="13.26953125" customWidth="1"/>
    <col min="5" max="5" width="16" customWidth="1"/>
  </cols>
  <sheetData>
    <row r="1" spans="1:6">
      <c r="A1" s="3" t="s">
        <v>50</v>
      </c>
      <c r="B1" s="3" t="s">
        <v>51</v>
      </c>
      <c r="C1" s="27" t="s">
        <v>52</v>
      </c>
      <c r="D1" s="3" t="s">
        <v>53</v>
      </c>
      <c r="E1" s="27" t="s">
        <v>54</v>
      </c>
      <c r="F1" s="3" t="s">
        <v>55</v>
      </c>
    </row>
    <row r="2" spans="1:6">
      <c r="A2" s="3" t="s">
        <v>56</v>
      </c>
      <c r="B2" s="3" t="s">
        <v>57</v>
      </c>
      <c r="C2" s="27"/>
      <c r="D2" s="3">
        <f>_xlfn.XLOOKUP(A2,Armes!$D$3:$D$60,Armes!$E$3:$E$60)*100</f>
        <v>200</v>
      </c>
      <c r="E2" s="27">
        <f>D2/2</f>
        <v>100</v>
      </c>
      <c r="F2" s="3">
        <v>0</v>
      </c>
    </row>
    <row r="3" spans="1:6">
      <c r="A3" s="3" t="s">
        <v>58</v>
      </c>
      <c r="B3" s="3" t="s">
        <v>57</v>
      </c>
      <c r="C3" s="27"/>
      <c r="D3" s="3">
        <f>_xlfn.XLOOKUP(A3,Armes!$D$3:$D$60,Armes!$E$3:$E$60)*100</f>
        <v>400</v>
      </c>
      <c r="E3" s="27">
        <f t="shared" ref="E3:E66" si="0">D3/2</f>
        <v>200</v>
      </c>
      <c r="F3" s="3">
        <v>1</v>
      </c>
    </row>
    <row r="4" spans="1:6">
      <c r="A4" s="3" t="s">
        <v>59</v>
      </c>
      <c r="B4" s="3" t="s">
        <v>57</v>
      </c>
      <c r="C4" s="27"/>
      <c r="D4" s="3">
        <f>_xlfn.XLOOKUP(A4,Armes!$D$3:$D$60,Armes!$E$3:$E$60)*100</f>
        <v>500</v>
      </c>
      <c r="E4" s="27">
        <f t="shared" si="0"/>
        <v>250</v>
      </c>
      <c r="F4" s="3">
        <v>2</v>
      </c>
    </row>
    <row r="5" spans="1:6">
      <c r="A5" s="3" t="s">
        <v>60</v>
      </c>
      <c r="B5" s="3" t="s">
        <v>57</v>
      </c>
      <c r="C5" s="27"/>
      <c r="D5" s="3">
        <f>_xlfn.XLOOKUP(A5,Armes!$D$3:$D$60,Armes!$E$3:$E$60)*100</f>
        <v>600</v>
      </c>
      <c r="E5" s="27">
        <f t="shared" si="0"/>
        <v>300</v>
      </c>
      <c r="F5" s="3">
        <v>3</v>
      </c>
    </row>
    <row r="6" spans="1:6">
      <c r="A6" s="3" t="s">
        <v>61</v>
      </c>
      <c r="B6" s="3" t="s">
        <v>57</v>
      </c>
      <c r="C6" s="27"/>
      <c r="D6" s="3">
        <f>_xlfn.XLOOKUP(A6,Armes!$D$3:$D$60,Armes!$E$3:$E$60)*100</f>
        <v>700</v>
      </c>
      <c r="E6" s="27">
        <f t="shared" si="0"/>
        <v>350</v>
      </c>
      <c r="F6" s="3">
        <v>4</v>
      </c>
    </row>
    <row r="7" spans="1:6">
      <c r="A7" s="3" t="s">
        <v>62</v>
      </c>
      <c r="B7" s="3" t="s">
        <v>57</v>
      </c>
      <c r="C7" s="27"/>
      <c r="D7" s="3">
        <f>_xlfn.XLOOKUP(A7,Armes!$D$3:$D$60,Armes!$E$3:$E$60)*100</f>
        <v>800</v>
      </c>
      <c r="E7" s="27">
        <f t="shared" si="0"/>
        <v>400</v>
      </c>
      <c r="F7" s="3">
        <v>5</v>
      </c>
    </row>
    <row r="8" spans="1:6">
      <c r="A8" s="3" t="s">
        <v>63</v>
      </c>
      <c r="B8" s="3" t="s">
        <v>57</v>
      </c>
      <c r="C8" s="27"/>
      <c r="D8" s="3">
        <f>_xlfn.XLOOKUP(A8,Armes!$D$3:$D$60,Armes!$E$3:$E$60)*100</f>
        <v>1000</v>
      </c>
      <c r="E8" s="27">
        <f t="shared" si="0"/>
        <v>500</v>
      </c>
      <c r="F8" s="3">
        <v>6</v>
      </c>
    </row>
    <row r="9" spans="1:6">
      <c r="A9" s="3" t="s">
        <v>64</v>
      </c>
      <c r="B9" s="3" t="s">
        <v>57</v>
      </c>
      <c r="C9" s="27"/>
      <c r="D9" s="3">
        <f>_xlfn.XLOOKUP(A9,Armes!$D$3:$D$60,Armes!$E$3:$E$60)*100</f>
        <v>1000</v>
      </c>
      <c r="E9" s="27">
        <f t="shared" si="0"/>
        <v>500</v>
      </c>
      <c r="F9" s="3">
        <v>6</v>
      </c>
    </row>
    <row r="10" spans="1:6">
      <c r="A10" s="3" t="s">
        <v>65</v>
      </c>
      <c r="B10" s="3" t="s">
        <v>57</v>
      </c>
      <c r="C10" s="27"/>
      <c r="D10" s="3">
        <f>_xlfn.XLOOKUP(A10,Armes!$D$3:$D$60,Armes!$E$3:$E$60)*100</f>
        <v>1200</v>
      </c>
      <c r="E10" s="27">
        <f t="shared" si="0"/>
        <v>600</v>
      </c>
      <c r="F10" s="3"/>
    </row>
    <row r="11" spans="1:6">
      <c r="A11" s="3" t="s">
        <v>66</v>
      </c>
      <c r="B11" s="3" t="s">
        <v>57</v>
      </c>
      <c r="C11" s="27"/>
      <c r="D11" s="3">
        <f>_xlfn.XLOOKUP(A11,Armes!$D$3:$D$60,Armes!$E$3:$E$60)*100</f>
        <v>1200</v>
      </c>
      <c r="E11" s="27">
        <f t="shared" si="0"/>
        <v>600</v>
      </c>
      <c r="F11" s="3"/>
    </row>
    <row r="12" spans="1:6">
      <c r="A12" s="3" t="s">
        <v>67</v>
      </c>
      <c r="B12" s="3" t="s">
        <v>57</v>
      </c>
      <c r="C12" s="27"/>
      <c r="D12" s="3">
        <f>_xlfn.XLOOKUP(A12,Armes!$D$3:$D$60,Armes!$E$3:$E$60)*100</f>
        <v>100</v>
      </c>
      <c r="E12" s="27">
        <f t="shared" si="0"/>
        <v>50</v>
      </c>
      <c r="F12" s="3">
        <v>0</v>
      </c>
    </row>
    <row r="13" spans="1:6">
      <c r="A13" s="3" t="s">
        <v>68</v>
      </c>
      <c r="B13" s="3" t="s">
        <v>57</v>
      </c>
      <c r="C13" s="27"/>
      <c r="D13" s="3">
        <f>_xlfn.XLOOKUP(A13,Armes!$D$3:$D$60,Armes!$E$3:$E$60)*100</f>
        <v>300</v>
      </c>
      <c r="E13" s="27">
        <f t="shared" si="0"/>
        <v>150</v>
      </c>
      <c r="F13" s="3">
        <v>1</v>
      </c>
    </row>
    <row r="14" spans="1:6">
      <c r="A14" s="3" t="s">
        <v>69</v>
      </c>
      <c r="B14" s="3" t="s">
        <v>57</v>
      </c>
      <c r="C14" s="27"/>
      <c r="D14" s="3">
        <f>_xlfn.XLOOKUP(A14,Armes!$D$3:$D$60,Armes!$E$3:$E$60)*100</f>
        <v>500</v>
      </c>
      <c r="E14" s="27">
        <f t="shared" si="0"/>
        <v>250</v>
      </c>
      <c r="F14" s="3">
        <v>2</v>
      </c>
    </row>
    <row r="15" spans="1:6">
      <c r="A15" s="3" t="s">
        <v>70</v>
      </c>
      <c r="B15" s="3" t="s">
        <v>57</v>
      </c>
      <c r="C15" s="27"/>
      <c r="D15" s="3">
        <f>_xlfn.XLOOKUP(A15,Armes!$D$3:$D$60,Armes!$E$3:$E$60)*100</f>
        <v>700</v>
      </c>
      <c r="E15" s="27">
        <f t="shared" si="0"/>
        <v>350</v>
      </c>
      <c r="F15" s="3">
        <v>3</v>
      </c>
    </row>
    <row r="16" spans="1:6">
      <c r="A16" s="3" t="s">
        <v>71</v>
      </c>
      <c r="B16" s="3" t="s">
        <v>57</v>
      </c>
      <c r="C16" s="27"/>
      <c r="D16" s="3">
        <f>_xlfn.XLOOKUP(A16,Armes!$D$3:$D$60,Armes!$E$3:$E$60)*100</f>
        <v>900</v>
      </c>
      <c r="E16" s="27">
        <f t="shared" si="0"/>
        <v>450</v>
      </c>
      <c r="F16" s="3">
        <v>4</v>
      </c>
    </row>
    <row r="17" spans="1:6">
      <c r="A17" s="3" t="s">
        <v>72</v>
      </c>
      <c r="B17" s="3" t="s">
        <v>57</v>
      </c>
      <c r="C17" s="27"/>
      <c r="D17" s="3">
        <f>_xlfn.XLOOKUP(A17,Armes!$D$3:$D$60,Armes!$E$3:$E$60)*100</f>
        <v>1100</v>
      </c>
      <c r="E17" s="27">
        <f t="shared" si="0"/>
        <v>550</v>
      </c>
      <c r="F17" s="3">
        <v>5</v>
      </c>
    </row>
    <row r="18" spans="1:6">
      <c r="A18" s="3" t="s">
        <v>43</v>
      </c>
      <c r="B18" s="3" t="s">
        <v>57</v>
      </c>
      <c r="C18" s="27"/>
      <c r="D18" s="3">
        <f>_xlfn.XLOOKUP(A18,Armes!$D$3:$D$60,Armes!$E$3:$E$60)*100</f>
        <v>300</v>
      </c>
      <c r="E18" s="27">
        <f t="shared" si="0"/>
        <v>150</v>
      </c>
      <c r="F18" s="3">
        <v>6</v>
      </c>
    </row>
    <row r="19" spans="1:6">
      <c r="A19" s="3" t="s">
        <v>73</v>
      </c>
      <c r="B19" s="3" t="s">
        <v>57</v>
      </c>
      <c r="C19" s="27"/>
      <c r="D19" s="3">
        <f>_xlfn.XLOOKUP(A19,Armes!$D$3:$D$60,Armes!$E$3:$E$60)*100</f>
        <v>500</v>
      </c>
      <c r="E19" s="27">
        <f t="shared" si="0"/>
        <v>250</v>
      </c>
      <c r="F19" s="3">
        <v>1</v>
      </c>
    </row>
    <row r="20" spans="1:6">
      <c r="A20" s="3" t="s">
        <v>74</v>
      </c>
      <c r="B20" s="3" t="s">
        <v>57</v>
      </c>
      <c r="C20" s="27"/>
      <c r="D20" s="3">
        <f>_xlfn.XLOOKUP(A20,Armes!$D$3:$D$60,Armes!$E$3:$E$60)*100</f>
        <v>500</v>
      </c>
      <c r="E20" s="27">
        <f t="shared" si="0"/>
        <v>250</v>
      </c>
      <c r="F20" s="3">
        <v>2</v>
      </c>
    </row>
    <row r="21" spans="1:6">
      <c r="A21" s="3" t="s">
        <v>75</v>
      </c>
      <c r="B21" s="3" t="s">
        <v>57</v>
      </c>
      <c r="C21" s="27"/>
      <c r="D21" s="3">
        <f>_xlfn.XLOOKUP(A21,Armes!$D$3:$D$60,Armes!$E$3:$E$60)*100</f>
        <v>700</v>
      </c>
      <c r="E21" s="27">
        <f t="shared" si="0"/>
        <v>350</v>
      </c>
      <c r="F21" s="3">
        <v>3</v>
      </c>
    </row>
    <row r="22" spans="1:6">
      <c r="A22" s="3" t="s">
        <v>76</v>
      </c>
      <c r="B22" s="3" t="s">
        <v>57</v>
      </c>
      <c r="C22" s="27"/>
      <c r="D22" s="3">
        <f>_xlfn.XLOOKUP(A22,Armes!$D$3:$D$60,Armes!$E$3:$E$60)*100</f>
        <v>900</v>
      </c>
      <c r="E22" s="27">
        <f t="shared" si="0"/>
        <v>450</v>
      </c>
      <c r="F22" s="3">
        <v>5</v>
      </c>
    </row>
    <row r="23" spans="1:6">
      <c r="A23" s="3" t="s">
        <v>77</v>
      </c>
      <c r="B23" s="3" t="s">
        <v>57</v>
      </c>
      <c r="C23" s="27"/>
      <c r="D23" s="3">
        <f>_xlfn.XLOOKUP(A23,Armes!$D$3:$D$60,Armes!$E$3:$E$60)*100</f>
        <v>1100</v>
      </c>
      <c r="E23" s="27">
        <f t="shared" si="0"/>
        <v>550</v>
      </c>
      <c r="F23" s="3">
        <v>6</v>
      </c>
    </row>
    <row r="24" spans="1:6">
      <c r="A24" s="3" t="s">
        <v>78</v>
      </c>
      <c r="B24" s="3" t="s">
        <v>57</v>
      </c>
      <c r="C24" s="27"/>
      <c r="D24" s="3">
        <f>_xlfn.XLOOKUP(A24,Armes!$D$3:$D$60,Armes!$E$3:$E$60)*100</f>
        <v>400</v>
      </c>
      <c r="E24" s="27">
        <f t="shared" si="0"/>
        <v>200</v>
      </c>
      <c r="F24" s="3">
        <v>1</v>
      </c>
    </row>
    <row r="25" spans="1:6">
      <c r="A25" s="3" t="s">
        <v>79</v>
      </c>
      <c r="B25" s="3" t="s">
        <v>57</v>
      </c>
      <c r="C25" s="27"/>
      <c r="D25" s="3">
        <f>_xlfn.XLOOKUP(A25,Armes!$D$3:$D$60,Armes!$E$3:$E$60)*100</f>
        <v>600</v>
      </c>
      <c r="E25" s="27">
        <f t="shared" si="0"/>
        <v>300</v>
      </c>
      <c r="F25" s="3">
        <v>2</v>
      </c>
    </row>
    <row r="26" spans="1:6">
      <c r="A26" s="3" t="s">
        <v>80</v>
      </c>
      <c r="B26" s="3" t="s">
        <v>57</v>
      </c>
      <c r="C26" s="27"/>
      <c r="D26" s="3">
        <f>_xlfn.XLOOKUP(A26,Armes!$D$3:$D$60,Armes!$E$3:$E$60)*100</f>
        <v>600</v>
      </c>
      <c r="E26" s="27">
        <f t="shared" si="0"/>
        <v>300</v>
      </c>
      <c r="F26" s="3">
        <v>3</v>
      </c>
    </row>
    <row r="27" spans="1:6">
      <c r="A27" s="3" t="s">
        <v>81</v>
      </c>
      <c r="B27" s="3" t="s">
        <v>57</v>
      </c>
      <c r="C27" s="27"/>
      <c r="D27" s="3">
        <f>_xlfn.XLOOKUP(A27,Armes!$D$3:$D$60,Armes!$E$3:$E$60)*100</f>
        <v>800</v>
      </c>
      <c r="E27" s="27">
        <f t="shared" si="0"/>
        <v>400</v>
      </c>
      <c r="F27" s="3">
        <v>4</v>
      </c>
    </row>
    <row r="28" spans="1:6">
      <c r="A28" s="3" t="s">
        <v>82</v>
      </c>
      <c r="B28" s="3" t="s">
        <v>57</v>
      </c>
      <c r="C28" s="27"/>
      <c r="D28" s="3">
        <f>_xlfn.XLOOKUP(A28,Armes!$D$3:$D$60,Armes!$E$3:$E$60)*100</f>
        <v>1000</v>
      </c>
      <c r="E28" s="27">
        <f t="shared" si="0"/>
        <v>500</v>
      </c>
      <c r="F28" s="3">
        <v>5</v>
      </c>
    </row>
    <row r="29" spans="1:6">
      <c r="A29" s="3" t="s">
        <v>83</v>
      </c>
      <c r="B29" s="3" t="s">
        <v>57</v>
      </c>
      <c r="C29" s="27"/>
      <c r="D29" s="3">
        <f>_xlfn.XLOOKUP(A29,Armes!$D$3:$D$60,Armes!$E$3:$E$60)*100</f>
        <v>1200</v>
      </c>
      <c r="E29" s="27">
        <f t="shared" si="0"/>
        <v>600</v>
      </c>
      <c r="F29" s="3">
        <v>6</v>
      </c>
    </row>
    <row r="30" spans="1:6">
      <c r="A30" s="3" t="s">
        <v>84</v>
      </c>
      <c r="B30" s="3" t="s">
        <v>57</v>
      </c>
      <c r="C30" s="27"/>
      <c r="D30" s="3">
        <f>_xlfn.XLOOKUP(A30,Armes!$D$3:$D$60,Armes!$E$3:$E$60)*100</f>
        <v>200</v>
      </c>
      <c r="E30" s="27">
        <f t="shared" si="0"/>
        <v>100</v>
      </c>
      <c r="F30" s="3">
        <v>1</v>
      </c>
    </row>
    <row r="31" spans="1:6">
      <c r="A31" s="3" t="s">
        <v>85</v>
      </c>
      <c r="B31" s="3" t="s">
        <v>57</v>
      </c>
      <c r="C31" s="27"/>
      <c r="D31" s="3">
        <f>_xlfn.XLOOKUP(A31,Armes!$D$3:$D$60,Armes!$E$3:$E$60)*100</f>
        <v>300</v>
      </c>
      <c r="E31" s="27">
        <f t="shared" si="0"/>
        <v>150</v>
      </c>
      <c r="F31" s="3">
        <v>2</v>
      </c>
    </row>
    <row r="32" spans="1:6">
      <c r="A32" s="3" t="s">
        <v>86</v>
      </c>
      <c r="B32" s="3" t="s">
        <v>57</v>
      </c>
      <c r="C32" s="27"/>
      <c r="D32" s="3">
        <f>_xlfn.XLOOKUP(A32,Armes!$D$3:$D$60,Armes!$E$3:$E$60)*100</f>
        <v>500</v>
      </c>
      <c r="E32" s="27">
        <f t="shared" si="0"/>
        <v>250</v>
      </c>
      <c r="F32" s="3">
        <v>3</v>
      </c>
    </row>
    <row r="33" spans="1:6">
      <c r="A33" s="3" t="s">
        <v>87</v>
      </c>
      <c r="B33" s="3" t="s">
        <v>57</v>
      </c>
      <c r="C33" s="27"/>
      <c r="D33" s="3">
        <f>_xlfn.XLOOKUP(A33,Armes!$D$3:$D$60,Armes!$E$3:$E$60)*100</f>
        <v>700</v>
      </c>
      <c r="E33" s="27">
        <f t="shared" si="0"/>
        <v>350</v>
      </c>
      <c r="F33" s="3">
        <v>4</v>
      </c>
    </row>
    <row r="34" spans="1:6">
      <c r="A34" s="3" t="s">
        <v>88</v>
      </c>
      <c r="B34" s="3" t="s">
        <v>57</v>
      </c>
      <c r="C34" s="27"/>
      <c r="D34" s="3">
        <f>_xlfn.XLOOKUP(A34,Armes!$D$3:$D$60,Armes!$E$3:$E$60)*100</f>
        <v>900</v>
      </c>
      <c r="E34" s="27">
        <f t="shared" si="0"/>
        <v>450</v>
      </c>
      <c r="F34" s="3">
        <v>5</v>
      </c>
    </row>
    <row r="35" spans="1:6">
      <c r="A35" s="3" t="s">
        <v>89</v>
      </c>
      <c r="B35" s="3" t="s">
        <v>57</v>
      </c>
      <c r="C35" s="27"/>
      <c r="D35" s="3">
        <f>_xlfn.XLOOKUP(A35,Armes!$D$3:$D$60,Armes!$E$3:$E$60)*100</f>
        <v>1200</v>
      </c>
      <c r="E35" s="27">
        <f t="shared" si="0"/>
        <v>600</v>
      </c>
      <c r="F35" s="3">
        <v>6</v>
      </c>
    </row>
    <row r="36" spans="1:6">
      <c r="A36" s="3" t="s">
        <v>12</v>
      </c>
      <c r="B36" s="3" t="s">
        <v>57</v>
      </c>
      <c r="C36" s="27"/>
      <c r="D36" s="3">
        <f>_xlfn.XLOOKUP(A36,Armes!$D$3:$D$60,Armes!$E$3:$E$60)*100</f>
        <v>200</v>
      </c>
      <c r="E36" s="27">
        <f t="shared" si="0"/>
        <v>100</v>
      </c>
      <c r="F36" s="3">
        <v>0</v>
      </c>
    </row>
    <row r="37" spans="1:6">
      <c r="A37" s="3" t="s">
        <v>90</v>
      </c>
      <c r="B37" s="3" t="s">
        <v>57</v>
      </c>
      <c r="C37" s="27"/>
      <c r="D37" s="3">
        <f>_xlfn.XLOOKUP(A37,Armes!$D$3:$D$60,Armes!$E$3:$E$60)*100</f>
        <v>300</v>
      </c>
      <c r="E37" s="27">
        <f t="shared" si="0"/>
        <v>150</v>
      </c>
      <c r="F37" s="3">
        <v>3</v>
      </c>
    </row>
    <row r="38" spans="1:6">
      <c r="A38" s="3" t="s">
        <v>91</v>
      </c>
      <c r="B38" s="3" t="s">
        <v>57</v>
      </c>
      <c r="C38" s="27"/>
      <c r="D38" s="3">
        <f>_xlfn.XLOOKUP(A38,Armes!$D$3:$D$60,Armes!$E$3:$E$60)*100</f>
        <v>200</v>
      </c>
      <c r="E38" s="27">
        <f t="shared" si="0"/>
        <v>100</v>
      </c>
      <c r="F38" s="3">
        <v>1</v>
      </c>
    </row>
    <row r="39" spans="1:6">
      <c r="A39" s="3" t="s">
        <v>92</v>
      </c>
      <c r="B39" s="3" t="s">
        <v>57</v>
      </c>
      <c r="C39" s="27"/>
      <c r="D39" s="3">
        <f>_xlfn.XLOOKUP(A39,Armes!$D$3:$D$60,Armes!$E$3:$E$60)*100</f>
        <v>500</v>
      </c>
      <c r="E39" s="27">
        <f t="shared" si="0"/>
        <v>250</v>
      </c>
      <c r="F39" s="3">
        <v>4</v>
      </c>
    </row>
    <row r="40" spans="1:6">
      <c r="A40" s="3" t="s">
        <v>93</v>
      </c>
      <c r="B40" s="3" t="s">
        <v>57</v>
      </c>
      <c r="C40" s="27"/>
      <c r="D40" s="3">
        <f>_xlfn.XLOOKUP(A40,Armes!$D$3:$D$60,Armes!$E$3:$E$60)*100</f>
        <v>700</v>
      </c>
      <c r="E40" s="27">
        <f t="shared" si="0"/>
        <v>350</v>
      </c>
      <c r="F40" s="3">
        <v>5</v>
      </c>
    </row>
    <row r="41" spans="1:6">
      <c r="A41" s="3" t="s">
        <v>14</v>
      </c>
      <c r="B41" s="3" t="s">
        <v>57</v>
      </c>
      <c r="C41" s="27"/>
      <c r="D41" s="3">
        <f>_xlfn.XLOOKUP(A41,Armes!$D$3:$D$60,Armes!$E$3:$E$60)*100</f>
        <v>700</v>
      </c>
      <c r="E41" s="27">
        <f t="shared" si="0"/>
        <v>350</v>
      </c>
      <c r="F41" s="3">
        <v>6</v>
      </c>
    </row>
    <row r="42" spans="1:6">
      <c r="A42" s="3" t="s">
        <v>94</v>
      </c>
      <c r="B42" s="3" t="s">
        <v>57</v>
      </c>
      <c r="C42" s="27"/>
      <c r="D42" s="3">
        <f>_xlfn.XLOOKUP(A42,Armes!$D$3:$D$60,Armes!$E$3:$E$60)*100</f>
        <v>500</v>
      </c>
      <c r="E42" s="27">
        <f t="shared" si="0"/>
        <v>250</v>
      </c>
      <c r="F42" s="3">
        <v>2</v>
      </c>
    </row>
    <row r="43" spans="1:6">
      <c r="A43" s="3" t="s">
        <v>95</v>
      </c>
      <c r="B43" s="3" t="s">
        <v>57</v>
      </c>
      <c r="C43" s="27"/>
      <c r="D43" s="3">
        <f>_xlfn.XLOOKUP(A43,Armes!$D$3:$D$60,Armes!$E$3:$E$60)*100</f>
        <v>700</v>
      </c>
      <c r="E43" s="27">
        <f t="shared" si="0"/>
        <v>350</v>
      </c>
      <c r="F43" s="3">
        <v>3</v>
      </c>
    </row>
    <row r="44" spans="1:6">
      <c r="A44" s="3" t="s">
        <v>96</v>
      </c>
      <c r="B44" s="3" t="s">
        <v>57</v>
      </c>
      <c r="C44" s="27"/>
      <c r="D44" s="3">
        <f>_xlfn.XLOOKUP(A44,Armes!$D$3:$D$60,Armes!$E$3:$E$60)*100</f>
        <v>900</v>
      </c>
      <c r="E44" s="27">
        <f t="shared" si="0"/>
        <v>450</v>
      </c>
      <c r="F44" s="3">
        <v>4</v>
      </c>
    </row>
    <row r="45" spans="1:6">
      <c r="A45" s="3" t="s">
        <v>97</v>
      </c>
      <c r="B45" s="3" t="s">
        <v>57</v>
      </c>
      <c r="C45" s="27"/>
      <c r="D45" s="3">
        <f>_xlfn.XLOOKUP(A45,Armes!$D$3:$D$60,Armes!$E$3:$E$60)*100</f>
        <v>900</v>
      </c>
      <c r="E45" s="27">
        <f t="shared" si="0"/>
        <v>450</v>
      </c>
      <c r="F45" s="3">
        <v>5</v>
      </c>
    </row>
    <row r="46" spans="1:6">
      <c r="A46" s="3" t="s">
        <v>98</v>
      </c>
      <c r="B46" s="3" t="s">
        <v>57</v>
      </c>
      <c r="C46" s="27"/>
      <c r="D46" s="3">
        <f>_xlfn.XLOOKUP(A46,Armes!$D$3:$D$60,Armes!$E$3:$E$60)*100</f>
        <v>1100</v>
      </c>
      <c r="E46" s="27">
        <f t="shared" si="0"/>
        <v>550</v>
      </c>
      <c r="F46" s="3">
        <v>6</v>
      </c>
    </row>
    <row r="47" spans="1:6">
      <c r="A47" s="3" t="s">
        <v>99</v>
      </c>
      <c r="B47" s="3" t="s">
        <v>57</v>
      </c>
      <c r="C47" s="27"/>
      <c r="D47" s="3">
        <f>_xlfn.XLOOKUP(A47,Armes!$D$3:$D$60,Armes!$E$3:$E$60)*100</f>
        <v>1200</v>
      </c>
      <c r="E47" s="27">
        <f t="shared" si="0"/>
        <v>600</v>
      </c>
      <c r="F47" s="3">
        <v>6</v>
      </c>
    </row>
    <row r="48" spans="1:6">
      <c r="A48" s="3" t="s">
        <v>15</v>
      </c>
      <c r="B48" s="3" t="s">
        <v>57</v>
      </c>
      <c r="C48" s="27"/>
      <c r="D48" s="3">
        <f>_xlfn.XLOOKUP(A48,Armes!$D$3:$D$60,Armes!$E$3:$E$60)*100</f>
        <v>200</v>
      </c>
      <c r="E48" s="27">
        <f t="shared" si="0"/>
        <v>100</v>
      </c>
      <c r="F48" s="3">
        <v>1</v>
      </c>
    </row>
    <row r="49" spans="1:6">
      <c r="A49" s="3" t="s">
        <v>100</v>
      </c>
      <c r="B49" s="3" t="s">
        <v>57</v>
      </c>
      <c r="C49" s="27"/>
      <c r="D49" s="3">
        <f>_xlfn.XLOOKUP(A49,Armes!$D$3:$D$60,Armes!$E$3:$E$60)*100</f>
        <v>400</v>
      </c>
      <c r="E49" s="27">
        <f t="shared" si="0"/>
        <v>200</v>
      </c>
      <c r="F49" s="3">
        <v>2</v>
      </c>
    </row>
    <row r="50" spans="1:6">
      <c r="A50" s="3" t="s">
        <v>101</v>
      </c>
      <c r="B50" s="3" t="s">
        <v>57</v>
      </c>
      <c r="C50" s="27"/>
      <c r="D50" s="3">
        <f>_xlfn.XLOOKUP(A50,Armes!$D$3:$D$60,Armes!$E$3:$E$60)*100</f>
        <v>500</v>
      </c>
      <c r="E50" s="27">
        <f t="shared" si="0"/>
        <v>250</v>
      </c>
      <c r="F50" s="3">
        <v>3</v>
      </c>
    </row>
    <row r="51" spans="1:6">
      <c r="A51" s="3" t="s">
        <v>102</v>
      </c>
      <c r="B51" s="3" t="s">
        <v>57</v>
      </c>
      <c r="C51" s="27"/>
      <c r="D51" s="3">
        <f>_xlfn.XLOOKUP(A51,Armes!$D$3:$D$60,Armes!$E$3:$E$60)*100</f>
        <v>500</v>
      </c>
      <c r="E51" s="27">
        <f t="shared" si="0"/>
        <v>250</v>
      </c>
      <c r="F51" s="3">
        <v>4</v>
      </c>
    </row>
    <row r="52" spans="1:6">
      <c r="A52" s="3" t="s">
        <v>103</v>
      </c>
      <c r="B52" s="3" t="s">
        <v>57</v>
      </c>
      <c r="C52" s="27"/>
      <c r="D52" s="3">
        <f>_xlfn.XLOOKUP(A52,Armes!$D$3:$D$60,Armes!$E$3:$E$60)*100</f>
        <v>700</v>
      </c>
      <c r="E52" s="27">
        <f t="shared" si="0"/>
        <v>350</v>
      </c>
      <c r="F52" s="3">
        <v>5</v>
      </c>
    </row>
    <row r="53" spans="1:6">
      <c r="A53" s="3" t="s">
        <v>104</v>
      </c>
      <c r="B53" s="3" t="s">
        <v>57</v>
      </c>
      <c r="C53" s="27"/>
      <c r="D53" s="3">
        <f>_xlfn.XLOOKUP(A53,Armes!$D$3:$D$60,Armes!$E$3:$E$60)*100</f>
        <v>900</v>
      </c>
      <c r="E53" s="27">
        <f t="shared" si="0"/>
        <v>450</v>
      </c>
      <c r="F53" s="3">
        <v>6</v>
      </c>
    </row>
    <row r="54" spans="1:6">
      <c r="A54" s="3" t="s">
        <v>105</v>
      </c>
      <c r="B54" s="3" t="s">
        <v>57</v>
      </c>
      <c r="C54" s="27"/>
      <c r="D54" s="3">
        <f>_xlfn.XLOOKUP(A54,Armes!$D$3:$D$60,Armes!$E$3:$E$60)*100</f>
        <v>300</v>
      </c>
      <c r="E54" s="27">
        <f t="shared" si="0"/>
        <v>150</v>
      </c>
      <c r="F54" s="3">
        <v>1</v>
      </c>
    </row>
    <row r="55" spans="1:6">
      <c r="A55" s="3" t="s">
        <v>106</v>
      </c>
      <c r="B55" s="3" t="s">
        <v>57</v>
      </c>
      <c r="C55" s="27"/>
      <c r="D55" s="3">
        <f>_xlfn.XLOOKUP(A55,Armes!$D$3:$D$60,Armes!$E$3:$E$60)*100</f>
        <v>400</v>
      </c>
      <c r="E55" s="27">
        <f t="shared" si="0"/>
        <v>200</v>
      </c>
      <c r="F55" s="3">
        <v>2</v>
      </c>
    </row>
    <row r="56" spans="1:6">
      <c r="A56" s="3" t="s">
        <v>107</v>
      </c>
      <c r="B56" s="3" t="s">
        <v>57</v>
      </c>
      <c r="C56" s="27"/>
      <c r="D56" s="3">
        <f>_xlfn.XLOOKUP(A56,Armes!$D$3:$D$60,Armes!$E$3:$E$60)*100</f>
        <v>500</v>
      </c>
      <c r="E56" s="27">
        <f t="shared" si="0"/>
        <v>250</v>
      </c>
      <c r="F56" s="3">
        <v>3</v>
      </c>
    </row>
    <row r="57" spans="1:6">
      <c r="A57" s="3" t="s">
        <v>108</v>
      </c>
      <c r="B57" s="3" t="s">
        <v>57</v>
      </c>
      <c r="C57" s="27"/>
      <c r="D57" s="3">
        <f>_xlfn.XLOOKUP(A57,Armes!$D$3:$D$60,Armes!$E$3:$E$60)*100</f>
        <v>600</v>
      </c>
      <c r="E57" s="27">
        <f t="shared" si="0"/>
        <v>300</v>
      </c>
      <c r="F57" s="3">
        <v>4</v>
      </c>
    </row>
    <row r="58" spans="1:6">
      <c r="A58" s="3" t="s">
        <v>109</v>
      </c>
      <c r="B58" s="3" t="s">
        <v>57</v>
      </c>
      <c r="C58" s="27"/>
      <c r="D58" s="3">
        <f>_xlfn.XLOOKUP(A58,Armes!$D$3:$D$60,Armes!$E$3:$E$60)*100</f>
        <v>700</v>
      </c>
      <c r="E58" s="27">
        <f t="shared" si="0"/>
        <v>350</v>
      </c>
      <c r="F58" s="3">
        <v>5</v>
      </c>
    </row>
    <row r="59" spans="1:6">
      <c r="A59" s="94" t="s">
        <v>110</v>
      </c>
      <c r="B59" s="94" t="s">
        <v>57</v>
      </c>
      <c r="C59" s="111"/>
      <c r="D59" s="3">
        <f>_xlfn.XLOOKUP(A59,Armes!$D$3:$D$60,Armes!$E$3:$E$60)*100</f>
        <v>1000</v>
      </c>
      <c r="E59" s="27">
        <f t="shared" si="0"/>
        <v>500</v>
      </c>
      <c r="F59" s="3">
        <v>6</v>
      </c>
    </row>
    <row r="60" spans="1:6" ht="85.5" customHeight="1">
      <c r="A60" s="3" t="s">
        <v>39</v>
      </c>
      <c r="B60" s="3" t="s">
        <v>111</v>
      </c>
      <c r="C60" s="17" t="s">
        <v>112</v>
      </c>
      <c r="D60" s="3"/>
      <c r="E60" s="27">
        <f t="shared" si="0"/>
        <v>0</v>
      </c>
      <c r="F60" s="3">
        <v>0</v>
      </c>
    </row>
    <row r="61" spans="1:6">
      <c r="A61" s="109" t="s">
        <v>113</v>
      </c>
      <c r="B61" s="3" t="s">
        <v>111</v>
      </c>
      <c r="C61" s="17" t="s">
        <v>114</v>
      </c>
      <c r="D61" s="3">
        <v>60</v>
      </c>
      <c r="E61" s="27">
        <f t="shared" si="0"/>
        <v>30</v>
      </c>
      <c r="F61" s="3">
        <v>1</v>
      </c>
    </row>
    <row r="62" spans="1:6">
      <c r="A62" s="109" t="s">
        <v>115</v>
      </c>
      <c r="B62" s="3" t="s">
        <v>111</v>
      </c>
      <c r="C62" s="17" t="s">
        <v>116</v>
      </c>
      <c r="D62" s="3">
        <v>100</v>
      </c>
      <c r="E62" s="27">
        <f t="shared" si="0"/>
        <v>50</v>
      </c>
      <c r="F62" s="3">
        <v>1</v>
      </c>
    </row>
    <row r="63" spans="1:6">
      <c r="A63" s="109" t="s">
        <v>117</v>
      </c>
      <c r="B63" s="3" t="s">
        <v>111</v>
      </c>
      <c r="C63" s="17" t="s">
        <v>118</v>
      </c>
      <c r="D63" s="3">
        <v>120</v>
      </c>
      <c r="E63" s="27">
        <f t="shared" si="0"/>
        <v>60</v>
      </c>
      <c r="F63" s="3">
        <v>1</v>
      </c>
    </row>
    <row r="64" spans="1:6">
      <c r="A64" s="109" t="s">
        <v>119</v>
      </c>
      <c r="B64" s="3" t="s">
        <v>111</v>
      </c>
      <c r="C64" s="17" t="s">
        <v>120</v>
      </c>
      <c r="D64" s="3">
        <v>80</v>
      </c>
      <c r="E64" s="27">
        <f t="shared" si="0"/>
        <v>40</v>
      </c>
      <c r="F64" s="3">
        <v>1</v>
      </c>
    </row>
    <row r="65" spans="1:6">
      <c r="A65" s="109" t="s">
        <v>121</v>
      </c>
      <c r="B65" s="3" t="s">
        <v>111</v>
      </c>
      <c r="C65" s="17" t="s">
        <v>122</v>
      </c>
      <c r="D65" s="3">
        <v>120</v>
      </c>
      <c r="E65" s="27">
        <f t="shared" si="0"/>
        <v>60</v>
      </c>
      <c r="F65" s="3">
        <v>1</v>
      </c>
    </row>
    <row r="66" spans="1:6">
      <c r="A66" s="109" t="s">
        <v>123</v>
      </c>
      <c r="B66" s="3" t="s">
        <v>111</v>
      </c>
      <c r="C66" s="17" t="s">
        <v>124</v>
      </c>
      <c r="D66" s="3">
        <v>160</v>
      </c>
      <c r="E66" s="27">
        <f t="shared" si="0"/>
        <v>80</v>
      </c>
      <c r="F66" s="3">
        <v>1</v>
      </c>
    </row>
    <row r="67" spans="1:6">
      <c r="A67" s="109" t="s">
        <v>125</v>
      </c>
      <c r="B67" s="3" t="s">
        <v>111</v>
      </c>
      <c r="C67" s="17" t="s">
        <v>126</v>
      </c>
      <c r="D67" s="3">
        <v>1000</v>
      </c>
      <c r="E67" s="27">
        <f t="shared" ref="E67:E75" si="1">D67/2</f>
        <v>500</v>
      </c>
      <c r="F67" s="3">
        <v>1</v>
      </c>
    </row>
    <row r="68" spans="1:6">
      <c r="A68" s="109" t="s">
        <v>127</v>
      </c>
      <c r="B68" s="3" t="s">
        <v>111</v>
      </c>
      <c r="C68" s="17" t="s">
        <v>128</v>
      </c>
      <c r="D68" s="3">
        <v>500</v>
      </c>
      <c r="E68" s="27">
        <f t="shared" si="1"/>
        <v>250</v>
      </c>
      <c r="F68" s="3">
        <v>1</v>
      </c>
    </row>
    <row r="69" spans="1:6">
      <c r="A69" s="109" t="s">
        <v>129</v>
      </c>
      <c r="B69" s="3" t="s">
        <v>111</v>
      </c>
      <c r="C69" s="17" t="s">
        <v>130</v>
      </c>
      <c r="D69" s="3">
        <v>30</v>
      </c>
      <c r="E69" s="27">
        <f t="shared" si="1"/>
        <v>15</v>
      </c>
      <c r="F69" s="3">
        <v>1</v>
      </c>
    </row>
    <row r="70" spans="1:6">
      <c r="A70" s="109" t="s">
        <v>131</v>
      </c>
      <c r="B70" s="3" t="s">
        <v>111</v>
      </c>
      <c r="C70" s="17" t="s">
        <v>132</v>
      </c>
      <c r="D70" s="3">
        <v>30</v>
      </c>
      <c r="E70" s="27">
        <f t="shared" si="1"/>
        <v>15</v>
      </c>
      <c r="F70" s="3">
        <v>1</v>
      </c>
    </row>
    <row r="71" spans="1:6">
      <c r="A71" s="109" t="s">
        <v>133</v>
      </c>
      <c r="B71" s="3" t="s">
        <v>111</v>
      </c>
      <c r="C71" s="17" t="s">
        <v>134</v>
      </c>
      <c r="D71" s="3">
        <v>30</v>
      </c>
      <c r="E71" s="27">
        <f t="shared" si="1"/>
        <v>15</v>
      </c>
      <c r="F71" s="3">
        <v>1</v>
      </c>
    </row>
    <row r="72" spans="1:6">
      <c r="A72" s="109" t="s">
        <v>135</v>
      </c>
      <c r="B72" s="3" t="s">
        <v>111</v>
      </c>
      <c r="C72" s="17" t="s">
        <v>136</v>
      </c>
      <c r="D72" s="3">
        <v>30</v>
      </c>
      <c r="E72" s="27">
        <f t="shared" si="1"/>
        <v>15</v>
      </c>
      <c r="F72" s="3">
        <v>1</v>
      </c>
    </row>
    <row r="73" spans="1:6">
      <c r="A73" s="109" t="s">
        <v>137</v>
      </c>
      <c r="B73" s="3" t="s">
        <v>111</v>
      </c>
      <c r="C73" s="17" t="s">
        <v>138</v>
      </c>
      <c r="D73" s="3">
        <v>50</v>
      </c>
      <c r="E73" s="27">
        <f t="shared" si="1"/>
        <v>25</v>
      </c>
      <c r="F73" s="3">
        <v>1</v>
      </c>
    </row>
    <row r="74" spans="1:6" ht="29">
      <c r="A74" s="109" t="s">
        <v>139</v>
      </c>
      <c r="B74" s="3" t="s">
        <v>111</v>
      </c>
      <c r="C74" s="17" t="s">
        <v>140</v>
      </c>
      <c r="D74" s="3">
        <v>100</v>
      </c>
      <c r="E74" s="27">
        <f t="shared" si="1"/>
        <v>50</v>
      </c>
      <c r="F74" s="3">
        <v>1</v>
      </c>
    </row>
    <row r="75" spans="1:6">
      <c r="A75" s="110" t="s">
        <v>141</v>
      </c>
      <c r="B75" s="3" t="s">
        <v>111</v>
      </c>
      <c r="C75" s="112" t="s">
        <v>142</v>
      </c>
      <c r="D75" s="3">
        <v>50</v>
      </c>
      <c r="E75" s="27">
        <f t="shared" si="1"/>
        <v>25</v>
      </c>
      <c r="F75" s="3">
        <v>1</v>
      </c>
    </row>
  </sheetData>
  <conditionalFormatting sqref="A2:A59">
    <cfRule type="cellIs" dxfId="23" priority="1" operator="equal">
      <formula>"Dextérité"</formula>
    </cfRule>
    <cfRule type="cellIs" dxfId="22" priority="2" operator="equal">
      <formula>"Force"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
  <sheetViews>
    <sheetView topLeftCell="A73" workbookViewId="0">
      <selection activeCell="B68" sqref="B68"/>
    </sheetView>
  </sheetViews>
  <sheetFormatPr baseColWidth="10" defaultColWidth="11.453125" defaultRowHeight="14.5"/>
  <cols>
    <col min="1" max="1" width="18.1796875" customWidth="1"/>
    <col min="2" max="5" width="12.1796875" customWidth="1"/>
    <col min="6" max="6" width="17.54296875" customWidth="1"/>
    <col min="7" max="13" width="12.1796875" customWidth="1"/>
    <col min="14" max="14" width="11.453125" customWidth="1"/>
  </cols>
  <sheetData>
    <row r="1" spans="1:16">
      <c r="A1" s="1" t="s">
        <v>143</v>
      </c>
      <c r="B1" s="2" t="s">
        <v>144</v>
      </c>
      <c r="C1" s="2" t="s">
        <v>1</v>
      </c>
      <c r="D1" s="2" t="s">
        <v>145</v>
      </c>
    </row>
    <row r="2" spans="1:16">
      <c r="A2" s="3" t="s">
        <v>146</v>
      </c>
      <c r="B2" s="3"/>
      <c r="C2"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2" s="161">
        <v>1245</v>
      </c>
    </row>
    <row r="3" spans="1:16">
      <c r="A3" s="3" t="s">
        <v>9</v>
      </c>
      <c r="B3" s="3"/>
      <c r="C3"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3" s="162"/>
    </row>
    <row r="4" spans="1:16">
      <c r="A4" s="3" t="s">
        <v>8</v>
      </c>
      <c r="B4" s="3"/>
      <c r="C4"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4" s="162"/>
    </row>
    <row r="5" spans="1:16">
      <c r="A5" s="3" t="s">
        <v>5</v>
      </c>
      <c r="B5" s="3"/>
      <c r="C5" s="3">
        <f>_xlfn.IFS(D2&lt;100,1,D2&lt;300,2,D2&lt;600,3,D2&lt;1000,4,D2&lt;1500,5,D2&lt;2100,6,D2&lt;2800,7,D2&lt;3600,8,D2&lt;4500,9,D2&lt;5500,10,D2&lt;6600,11,D2&lt;7800,12,D2&lt;9100,13,D2&lt;10500,14,D2&lt;12000,15,D2&lt;13600,16,D2&lt;15300,17,D2&lt;17100,18,D2&lt;19000,19,D2&lt;21000,20,D2&lt;23100,21,D2&lt;25300,22,D2&lt;27600,23,D2&lt;30000,24,D2&lt;32500,25,D2&lt;35100,26,D2&lt;37800,27,D2&lt;40600,28,D2&lt;43500,29,D2&lt;46500,30)</f>
        <v>5</v>
      </c>
      <c r="D5" s="163"/>
    </row>
    <row r="6" spans="1:16">
      <c r="A6" s="1"/>
    </row>
    <row r="7" spans="1:16">
      <c r="A7" s="1"/>
    </row>
    <row r="8" spans="1:16">
      <c r="A8" s="1" t="s">
        <v>147</v>
      </c>
      <c r="K8" s="1" t="s">
        <v>148</v>
      </c>
      <c r="N8" s="1" t="s">
        <v>149</v>
      </c>
      <c r="O8" s="1" t="s">
        <v>150</v>
      </c>
      <c r="P8" t="s">
        <v>16</v>
      </c>
    </row>
    <row r="9" spans="1:16">
      <c r="A9" s="3"/>
      <c r="B9" s="3" t="s">
        <v>0</v>
      </c>
      <c r="C9" s="3" t="s">
        <v>151</v>
      </c>
      <c r="D9" s="3" t="s">
        <v>152</v>
      </c>
      <c r="E9" s="3" t="s">
        <v>153</v>
      </c>
      <c r="F9" s="3" t="s">
        <v>154</v>
      </c>
      <c r="G9" s="3" t="s">
        <v>155</v>
      </c>
      <c r="H9" s="3" t="s">
        <v>156</v>
      </c>
      <c r="I9" s="3" t="s">
        <v>157</v>
      </c>
      <c r="K9" s="3" t="s">
        <v>158</v>
      </c>
      <c r="L9" s="3" t="s">
        <v>159</v>
      </c>
      <c r="N9" s="4" t="s">
        <v>160</v>
      </c>
      <c r="O9">
        <v>1</v>
      </c>
    </row>
    <row r="10" spans="1:16">
      <c r="A10" s="3" t="s">
        <v>161</v>
      </c>
      <c r="B10" s="3">
        <v>5</v>
      </c>
      <c r="C10" s="3">
        <v>5</v>
      </c>
      <c r="D10" s="3">
        <v>0</v>
      </c>
      <c r="E10" s="3">
        <v>2</v>
      </c>
      <c r="F10" s="3">
        <v>0</v>
      </c>
      <c r="G10" s="3">
        <v>1</v>
      </c>
      <c r="H10" s="3"/>
      <c r="I10" s="3">
        <f>IF(B10&gt;1,IF(B10&gt;=(E10-C10),((C10+E10)*G10),0)+F10*D10+IF(B10=6,5+H10,0),"Fumble")</f>
        <v>7</v>
      </c>
      <c r="K10" s="3">
        <v>0</v>
      </c>
      <c r="L10" s="3">
        <f>I10*(1+K10)</f>
        <v>7</v>
      </c>
    </row>
    <row r="11" spans="1:16">
      <c r="A11" s="3" t="s">
        <v>162</v>
      </c>
      <c r="B11" s="3">
        <v>5</v>
      </c>
      <c r="C11" s="3">
        <v>3</v>
      </c>
      <c r="D11" s="3">
        <v>0</v>
      </c>
      <c r="E11" s="3">
        <v>6</v>
      </c>
      <c r="F11" s="3">
        <v>0</v>
      </c>
      <c r="G11" s="3">
        <v>1</v>
      </c>
      <c r="H11" s="3"/>
      <c r="I11" s="3">
        <f>IF(B11&gt;1,IF(B11&gt;=(E11-C11),((C11+E11)*G11),0)+F11*D11+IF(B11=6,5+H11,0),"Fumble")</f>
        <v>9</v>
      </c>
      <c r="K11" s="3">
        <v>0</v>
      </c>
      <c r="L11" s="3">
        <f>I11*(1+K11)</f>
        <v>9</v>
      </c>
    </row>
    <row r="12" spans="1:16">
      <c r="A12" s="3" t="s">
        <v>163</v>
      </c>
      <c r="B12" s="3">
        <v>6</v>
      </c>
      <c r="C12" s="3">
        <v>7</v>
      </c>
      <c r="D12" s="3">
        <v>0</v>
      </c>
      <c r="E12" s="3">
        <v>9</v>
      </c>
      <c r="F12" s="3">
        <v>0</v>
      </c>
      <c r="G12" s="3">
        <v>1</v>
      </c>
      <c r="H12" s="3">
        <v>5</v>
      </c>
      <c r="I12" s="3" cm="1">
        <f t="array" ref="I12">_xlfn.LET(_xlpm.crit,B2,_xlpm.roll,B12,_xlpm.mainstat,C12,_xlpm.substat,D12,_xlpm.wstat,E12,_xlpm.wsstat,F12,_xlpm.faiblesse,G12,IF(_xlpm.roll&gt;1,IF(_xlpm.roll&gt;=(_xlpm.wstat-_xlpm.mainstat),((_xlpm.mainstat+_xlpm.wstat)*_xlpm.faiblesse),0)+_xlpm.wsstat*_xlpm.substat+IF(_xlpm.roll=6,5+_xlpm.crit,0)*_xlpm.faiblesse,"Fumble"))</f>
        <v>21</v>
      </c>
      <c r="K12" s="3">
        <v>1</v>
      </c>
      <c r="L12" s="3">
        <f>I12*(1+K12)</f>
        <v>42</v>
      </c>
    </row>
    <row r="13" spans="1:16">
      <c r="A13" s="3" t="s">
        <v>164</v>
      </c>
      <c r="B13" s="3">
        <v>5</v>
      </c>
      <c r="C13" s="3">
        <v>2</v>
      </c>
      <c r="D13" s="3">
        <v>10</v>
      </c>
      <c r="E13" s="3">
        <v>12</v>
      </c>
      <c r="F13" s="3">
        <v>0</v>
      </c>
      <c r="G13" s="3">
        <v>2</v>
      </c>
      <c r="H13" s="3">
        <v>2</v>
      </c>
      <c r="I13" s="3">
        <f>IF(B13&gt;1,IF(B13&gt;=(E13-C13),((C13+E13+F13+D13)*G13),0)+IF(B13=6,5+H13,0),"Fumble")</f>
        <v>0</v>
      </c>
      <c r="K13" s="3">
        <v>1</v>
      </c>
      <c r="L13" s="3">
        <f>I13*(1+K13)</f>
        <v>0</v>
      </c>
    </row>
    <row r="14" spans="1:16">
      <c r="A14" s="3" t="s">
        <v>165</v>
      </c>
      <c r="B14" s="3">
        <v>5</v>
      </c>
      <c r="C14" s="3">
        <v>3</v>
      </c>
      <c r="D14" s="3"/>
      <c r="E14" s="3">
        <v>5</v>
      </c>
      <c r="F14" s="3"/>
      <c r="G14" s="3">
        <v>1</v>
      </c>
      <c r="H14" s="3"/>
      <c r="I14" s="3">
        <f>IF(B14&gt;1,IF(B14&gt;=(E14-C14),((C14+E14)*G14),0)+F14*D14+IF(B14=6,5+H14,0),"Fumble")</f>
        <v>8</v>
      </c>
    </row>
    <row r="16" spans="1:16">
      <c r="A16" s="1" t="s">
        <v>166</v>
      </c>
      <c r="J16" s="1" t="s">
        <v>167</v>
      </c>
    </row>
    <row r="17" spans="1:13">
      <c r="A17" s="3"/>
      <c r="B17" s="3" t="s">
        <v>0</v>
      </c>
      <c r="C17" s="3" t="s">
        <v>28</v>
      </c>
      <c r="D17" s="3" t="s">
        <v>46</v>
      </c>
      <c r="E17" s="3" t="s">
        <v>155</v>
      </c>
      <c r="F17" s="3" t="s">
        <v>156</v>
      </c>
      <c r="G17" s="3" t="s">
        <v>157</v>
      </c>
      <c r="J17" s="3" t="s">
        <v>168</v>
      </c>
      <c r="K17" s="3" t="s">
        <v>169</v>
      </c>
      <c r="L17" s="3" t="s">
        <v>170</v>
      </c>
      <c r="M17" s="3" t="s">
        <v>171</v>
      </c>
    </row>
    <row r="18" spans="1:13">
      <c r="A18" s="3" t="s">
        <v>146</v>
      </c>
      <c r="B18" s="3">
        <v>4</v>
      </c>
      <c r="C18" s="3">
        <v>2</v>
      </c>
      <c r="D18" s="3" t="s">
        <v>17</v>
      </c>
      <c r="E18" s="3">
        <v>2</v>
      </c>
      <c r="F18" s="3"/>
      <c r="G18" s="3" cm="1">
        <f t="array" ref="G18">_xlfn.LET(_xlpm.sort,_xlfn.XLOOKUP(D18,Magies!$B$2:$B$40,Magies!$E$2:$E$40),IF(B18&gt;1,IF(B18&gt;=(_xlpm.sort-C18),((C18+_xlpm.sort)*E18),0)+IF(B18=6,F18+5,0),"Fumble"))</f>
        <v>14</v>
      </c>
      <c r="J18" s="3">
        <v>25</v>
      </c>
      <c r="K18" s="3">
        <v>5</v>
      </c>
      <c r="L18" s="5">
        <f t="shared" ref="L18:L24" si="0">J18-J18/8*K18</f>
        <v>9.375</v>
      </c>
      <c r="M18" s="5">
        <f t="shared" ref="M18:M24" si="1">J18/8*K18</f>
        <v>15.625</v>
      </c>
    </row>
    <row r="19" spans="1:13">
      <c r="A19" s="3" t="s">
        <v>9</v>
      </c>
      <c r="B19" s="3">
        <v>5</v>
      </c>
      <c r="C19" s="3">
        <f>Equipe!R13</f>
        <v>7</v>
      </c>
      <c r="D19" s="3" t="s">
        <v>172</v>
      </c>
      <c r="E19" s="3">
        <v>2</v>
      </c>
      <c r="F19" s="3"/>
      <c r="G19" s="3" cm="1">
        <f t="array" ref="G19">_xlfn.LET(_xlpm.sort,_xlfn.XLOOKUP(D19,Magies!$B$2:$B$40,Magies!$E$2:$E$40),IF(B19&gt;1,IF(B19&gt;=(_xlpm.sort-C19),((C19+_xlpm.sort)*E19),0)+IF(B19=6,F19+5,0),"Fumble"))</f>
        <v>20</v>
      </c>
      <c r="J19" s="3">
        <v>40</v>
      </c>
      <c r="K19" s="3">
        <v>5</v>
      </c>
      <c r="L19" s="5">
        <f t="shared" si="0"/>
        <v>15</v>
      </c>
      <c r="M19" s="5">
        <f t="shared" si="1"/>
        <v>25</v>
      </c>
    </row>
    <row r="20" spans="1:13">
      <c r="A20" s="3" t="s">
        <v>5</v>
      </c>
      <c r="B20" s="3">
        <v>6</v>
      </c>
      <c r="C20" s="3">
        <f>Equipe!F13</f>
        <v>10</v>
      </c>
      <c r="D20" s="3" t="s">
        <v>18</v>
      </c>
      <c r="E20" s="3">
        <v>2</v>
      </c>
      <c r="F20" s="3">
        <v>1</v>
      </c>
      <c r="G20" s="3" cm="1">
        <f t="array" ref="G20">_xlfn.LET(_xlpm.sort,_xlfn.XLOOKUP(D20,Magies!$B$2:$B$40,Magies!$E$2:$E$40),IF(B20&gt;1,IF(B20&gt;=(_xlpm.sort-C20),((C20+_xlpm.sort)*E20),0)+IF(B20=6,F20+5,0),"Fumble"))</f>
        <v>40</v>
      </c>
      <c r="J20" s="3">
        <v>55</v>
      </c>
      <c r="K20" s="3">
        <v>5</v>
      </c>
      <c r="L20" s="5">
        <f t="shared" si="0"/>
        <v>20.625</v>
      </c>
      <c r="M20" s="5">
        <f t="shared" si="1"/>
        <v>34.375</v>
      </c>
    </row>
    <row r="21" spans="1:13">
      <c r="A21" s="3" t="s">
        <v>8</v>
      </c>
      <c r="B21" s="3">
        <v>6</v>
      </c>
      <c r="C21" s="3">
        <v>10</v>
      </c>
      <c r="D21" s="3" t="s">
        <v>18</v>
      </c>
      <c r="E21" s="3">
        <v>2</v>
      </c>
      <c r="F21" s="3">
        <v>3</v>
      </c>
      <c r="G21" s="3" cm="1">
        <f t="array" ref="G21">_xlfn.LET(_xlpm.sort,_xlfn.XLOOKUP(D21,Magies!$B$2:$B$40,Magies!$E$2:$E$40),IF(B21&gt;1,IF(B21&gt;=(_xlpm.sort-C21),((C21+_xlpm.sort)*E21),0)+IF(B21=6,F21+5,0),"Fumble"))</f>
        <v>42</v>
      </c>
      <c r="J21" s="3">
        <v>70</v>
      </c>
      <c r="K21" s="3">
        <v>5</v>
      </c>
      <c r="L21" s="5">
        <f t="shared" si="0"/>
        <v>26.25</v>
      </c>
      <c r="M21" s="5">
        <f t="shared" si="1"/>
        <v>43.75</v>
      </c>
    </row>
    <row r="22" spans="1:13">
      <c r="A22" s="3" t="s">
        <v>165</v>
      </c>
      <c r="B22" s="3">
        <v>5</v>
      </c>
      <c r="C22" s="3">
        <v>6</v>
      </c>
      <c r="D22" s="3" t="s">
        <v>18</v>
      </c>
      <c r="E22" s="3">
        <v>1</v>
      </c>
      <c r="F22" s="3"/>
      <c r="G22" s="3" cm="1">
        <f t="array" ref="G22">_xlfn.LET(_xlpm.sort,_xlfn.XLOOKUP(D22,Magies!$B$2:$B$40,Magies!$E$2:$E$40),IF(B22&gt;1,IF(B22&gt;=(_xlpm.sort-C22),((C22+_xlpm.sort)*E22),0)+IF(B22=6,F22+5,0),"Fumble"))</f>
        <v>13</v>
      </c>
      <c r="J22" s="3">
        <v>85</v>
      </c>
      <c r="K22" s="3">
        <v>5</v>
      </c>
      <c r="L22" s="5">
        <f t="shared" si="0"/>
        <v>31.875</v>
      </c>
      <c r="M22" s="5">
        <f t="shared" si="1"/>
        <v>53.125</v>
      </c>
    </row>
    <row r="23" spans="1:13">
      <c r="A23" s="3" t="s">
        <v>173</v>
      </c>
      <c r="B23" s="3">
        <v>5</v>
      </c>
      <c r="C23" s="3">
        <v>9</v>
      </c>
      <c r="D23" s="3" t="s">
        <v>18</v>
      </c>
      <c r="E23" s="3">
        <v>1</v>
      </c>
      <c r="F23" s="3"/>
      <c r="G23" s="3" cm="1">
        <f t="array" ref="G23">_xlfn.LET(_xlpm.sort,_xlfn.XLOOKUP(D23,Magies!$B$2:$B$40,Magies!$E$2:$E$40),IF(B23&gt;1,IF(B23&gt;=(_xlpm.sort-C23),((C23+_xlpm.sort)*E23),0)+IF(B23=6,F23+5,0),"Fumble"))</f>
        <v>16</v>
      </c>
      <c r="J23" s="3">
        <v>100</v>
      </c>
      <c r="K23" s="3">
        <v>5</v>
      </c>
      <c r="L23" s="5">
        <f t="shared" si="0"/>
        <v>37.5</v>
      </c>
      <c r="M23" s="5">
        <f t="shared" si="1"/>
        <v>62.5</v>
      </c>
    </row>
    <row r="24" spans="1:13">
      <c r="A24" s="3" t="s">
        <v>174</v>
      </c>
      <c r="B24" s="3">
        <v>6</v>
      </c>
      <c r="C24" s="3">
        <v>10</v>
      </c>
      <c r="D24" s="3" t="s">
        <v>175</v>
      </c>
      <c r="E24" s="3">
        <v>2</v>
      </c>
      <c r="F24" s="3"/>
      <c r="G24" s="3" cm="1">
        <f t="array" ref="G24">_xlfn.LET(_xlpm.sort,_xlfn.XLOOKUP(D24,Magies!$B$2:$B$40,Magies!$E$2:$E$40),IF(B24&gt;1,IF(B24&gt;=(_xlpm.sort-C24),((C24+_xlpm.sort)*E24),0)+IF(B24=6,F24+5,0),"Fumble"))</f>
        <v>55</v>
      </c>
      <c r="J24" s="3">
        <v>20</v>
      </c>
      <c r="K24" s="3">
        <v>2</v>
      </c>
      <c r="L24" s="5">
        <f t="shared" si="0"/>
        <v>15</v>
      </c>
      <c r="M24" s="5">
        <f t="shared" si="1"/>
        <v>5</v>
      </c>
    </row>
    <row r="26" spans="1:13">
      <c r="A26" s="1" t="s">
        <v>176</v>
      </c>
    </row>
    <row r="27" spans="1:13">
      <c r="A27" t="s">
        <v>177</v>
      </c>
      <c r="C27">
        <v>10</v>
      </c>
      <c r="D27">
        <v>8</v>
      </c>
      <c r="E27">
        <v>6</v>
      </c>
      <c r="G27">
        <f>(C27*D27*E27)</f>
        <v>480</v>
      </c>
    </row>
    <row r="29" spans="1:13">
      <c r="A29" s="1" t="s">
        <v>178</v>
      </c>
      <c r="B29" t="s">
        <v>28</v>
      </c>
      <c r="C29" t="s">
        <v>171</v>
      </c>
      <c r="D29" t="s">
        <v>46</v>
      </c>
      <c r="E29" t="s">
        <v>179</v>
      </c>
      <c r="F29" t="s">
        <v>159</v>
      </c>
      <c r="G29" t="s">
        <v>180</v>
      </c>
    </row>
    <row r="30" spans="1:13">
      <c r="A30" s="6" t="s">
        <v>181</v>
      </c>
      <c r="B30" s="6">
        <v>6</v>
      </c>
      <c r="C30" s="6"/>
      <c r="D30" s="6">
        <v>6</v>
      </c>
      <c r="E30" s="6">
        <v>2</v>
      </c>
      <c r="F30" s="6">
        <f t="shared" ref="F30:F48" si="2">B30*D30*E30</f>
        <v>72</v>
      </c>
      <c r="G30" s="6"/>
    </row>
    <row r="31" spans="1:13">
      <c r="A31" s="6" t="s">
        <v>182</v>
      </c>
      <c r="B31" s="6">
        <v>6</v>
      </c>
      <c r="C31" s="6"/>
      <c r="D31" s="6">
        <v>6</v>
      </c>
      <c r="E31" s="6">
        <v>2</v>
      </c>
      <c r="F31" s="6">
        <f t="shared" si="2"/>
        <v>72</v>
      </c>
      <c r="G31" s="6"/>
    </row>
    <row r="32" spans="1:13">
      <c r="A32" s="6" t="s">
        <v>183</v>
      </c>
      <c r="B32" s="6">
        <v>6</v>
      </c>
      <c r="C32" s="6"/>
      <c r="D32" s="6">
        <v>11</v>
      </c>
      <c r="E32" s="6">
        <v>2</v>
      </c>
      <c r="F32" s="6">
        <f t="shared" si="2"/>
        <v>132</v>
      </c>
      <c r="G32" s="6">
        <f>SUM(F30:F32)</f>
        <v>276</v>
      </c>
    </row>
    <row r="33" spans="1:11">
      <c r="A33" s="7" t="s">
        <v>184</v>
      </c>
      <c r="B33" s="7">
        <v>6</v>
      </c>
      <c r="C33" s="7"/>
      <c r="D33" s="7">
        <v>6</v>
      </c>
      <c r="E33" s="7">
        <v>2</v>
      </c>
      <c r="F33" s="7">
        <f t="shared" si="2"/>
        <v>72</v>
      </c>
      <c r="G33" s="7"/>
    </row>
    <row r="34" spans="1:11">
      <c r="A34" s="7" t="s">
        <v>185</v>
      </c>
      <c r="B34" s="7">
        <v>6</v>
      </c>
      <c r="C34" s="7"/>
      <c r="D34" s="7">
        <v>6</v>
      </c>
      <c r="E34" s="7">
        <v>2</v>
      </c>
      <c r="F34" s="7">
        <f t="shared" si="2"/>
        <v>72</v>
      </c>
      <c r="G34" s="7"/>
    </row>
    <row r="35" spans="1:11">
      <c r="A35" s="7" t="s">
        <v>186</v>
      </c>
      <c r="B35" s="7">
        <v>6</v>
      </c>
      <c r="C35" s="7"/>
      <c r="D35" s="7">
        <v>10</v>
      </c>
      <c r="E35" s="7">
        <v>2</v>
      </c>
      <c r="F35" s="7">
        <f t="shared" si="2"/>
        <v>120</v>
      </c>
      <c r="G35" s="7">
        <f>SUM(F33:F35)</f>
        <v>264</v>
      </c>
    </row>
    <row r="36" spans="1:11">
      <c r="A36" s="8" t="s">
        <v>187</v>
      </c>
      <c r="B36" s="8">
        <v>6</v>
      </c>
      <c r="C36" s="8"/>
      <c r="D36" s="8">
        <v>6</v>
      </c>
      <c r="E36" s="8">
        <v>2</v>
      </c>
      <c r="F36" s="8">
        <f t="shared" si="2"/>
        <v>72</v>
      </c>
      <c r="G36" s="8"/>
    </row>
    <row r="37" spans="1:11">
      <c r="A37" s="8" t="s">
        <v>188</v>
      </c>
      <c r="B37" s="8">
        <v>6</v>
      </c>
      <c r="C37" s="8"/>
      <c r="D37" s="8">
        <v>5</v>
      </c>
      <c r="E37" s="8">
        <v>2</v>
      </c>
      <c r="F37" s="8">
        <f t="shared" si="2"/>
        <v>60</v>
      </c>
      <c r="G37" s="8"/>
    </row>
    <row r="38" spans="1:11">
      <c r="A38" s="8" t="s">
        <v>189</v>
      </c>
      <c r="B38" s="8">
        <v>6</v>
      </c>
      <c r="C38" s="8"/>
      <c r="D38" s="8">
        <v>7</v>
      </c>
      <c r="E38" s="8">
        <v>2</v>
      </c>
      <c r="F38" s="8">
        <f t="shared" si="2"/>
        <v>84</v>
      </c>
      <c r="G38" s="8"/>
    </row>
    <row r="39" spans="1:11">
      <c r="A39" s="8" t="s">
        <v>190</v>
      </c>
      <c r="B39" s="8">
        <v>6</v>
      </c>
      <c r="C39" s="8"/>
      <c r="D39" s="8">
        <v>12</v>
      </c>
      <c r="E39" s="8">
        <v>2</v>
      </c>
      <c r="F39" s="8">
        <f t="shared" si="2"/>
        <v>144</v>
      </c>
      <c r="G39" s="8">
        <f>SUM(F36:F39)</f>
        <v>360</v>
      </c>
    </row>
    <row r="40" spans="1:11">
      <c r="A40" s="9" t="s">
        <v>191</v>
      </c>
      <c r="B40" s="9">
        <v>6</v>
      </c>
      <c r="C40" s="9"/>
      <c r="D40" s="9">
        <v>6</v>
      </c>
      <c r="E40" s="9">
        <v>2</v>
      </c>
      <c r="F40" s="9">
        <f t="shared" si="2"/>
        <v>72</v>
      </c>
      <c r="G40" s="9"/>
    </row>
    <row r="41" spans="1:11">
      <c r="A41" s="9" t="s">
        <v>192</v>
      </c>
      <c r="B41" s="9">
        <v>6</v>
      </c>
      <c r="C41" s="9"/>
      <c r="D41" s="9">
        <v>9</v>
      </c>
      <c r="E41" s="9">
        <v>2</v>
      </c>
      <c r="F41" s="9">
        <f t="shared" si="2"/>
        <v>108</v>
      </c>
      <c r="G41" s="9"/>
    </row>
    <row r="42" spans="1:11">
      <c r="A42" s="9" t="s">
        <v>193</v>
      </c>
      <c r="B42" s="9">
        <v>6</v>
      </c>
      <c r="C42" s="9"/>
      <c r="D42" s="9">
        <v>15</v>
      </c>
      <c r="E42" s="9">
        <v>2</v>
      </c>
      <c r="F42" s="9">
        <f t="shared" si="2"/>
        <v>180</v>
      </c>
      <c r="G42" s="9">
        <f>SUM(F40:F42)</f>
        <v>360</v>
      </c>
    </row>
    <row r="43" spans="1:11">
      <c r="A43" s="10" t="s">
        <v>194</v>
      </c>
      <c r="B43" s="10">
        <v>9</v>
      </c>
      <c r="C43" s="10"/>
      <c r="D43" s="10">
        <v>6</v>
      </c>
      <c r="E43" s="10">
        <v>1</v>
      </c>
      <c r="F43" s="10">
        <f t="shared" si="2"/>
        <v>54</v>
      </c>
      <c r="G43" s="10"/>
    </row>
    <row r="44" spans="1:11">
      <c r="A44" s="10" t="s">
        <v>195</v>
      </c>
      <c r="B44" s="10">
        <v>9</v>
      </c>
      <c r="C44" s="10">
        <v>15</v>
      </c>
      <c r="D44" s="10">
        <f>2*C44</f>
        <v>30</v>
      </c>
      <c r="E44" s="10">
        <v>1</v>
      </c>
      <c r="F44" s="10">
        <f t="shared" si="2"/>
        <v>270</v>
      </c>
      <c r="G44" s="10"/>
    </row>
    <row r="45" spans="1:11">
      <c r="A45" s="10" t="s">
        <v>196</v>
      </c>
      <c r="B45" s="10">
        <v>9</v>
      </c>
      <c r="C45" s="10">
        <v>15</v>
      </c>
      <c r="D45" s="10">
        <f>5*C45</f>
        <v>75</v>
      </c>
      <c r="E45" s="10">
        <v>1</v>
      </c>
      <c r="F45" s="10">
        <f t="shared" si="2"/>
        <v>675</v>
      </c>
      <c r="G45" s="10">
        <f>SUM(F43:F45)</f>
        <v>999</v>
      </c>
      <c r="K45">
        <v>3000</v>
      </c>
    </row>
    <row r="46" spans="1:11">
      <c r="A46" s="11" t="s">
        <v>197</v>
      </c>
      <c r="B46" s="11">
        <v>8</v>
      </c>
      <c r="C46" s="11"/>
      <c r="D46" s="11">
        <v>6</v>
      </c>
      <c r="E46" s="11">
        <v>1</v>
      </c>
      <c r="F46" s="11">
        <f t="shared" si="2"/>
        <v>48</v>
      </c>
      <c r="G46" s="11"/>
      <c r="J46">
        <f>150*4</f>
        <v>600</v>
      </c>
      <c r="K46">
        <f>K45/J46</f>
        <v>5</v>
      </c>
    </row>
    <row r="47" spans="1:11">
      <c r="A47" s="11" t="s">
        <v>198</v>
      </c>
      <c r="B47" s="11">
        <v>8</v>
      </c>
      <c r="C47" s="11"/>
      <c r="D47" s="11">
        <v>18</v>
      </c>
      <c r="E47" s="11">
        <v>1</v>
      </c>
      <c r="F47" s="11">
        <f t="shared" si="2"/>
        <v>144</v>
      </c>
      <c r="G47" s="11"/>
    </row>
    <row r="48" spans="1:11">
      <c r="A48" s="11" t="s">
        <v>199</v>
      </c>
      <c r="B48" s="11">
        <v>8</v>
      </c>
      <c r="C48" s="11"/>
      <c r="D48" s="11">
        <v>25</v>
      </c>
      <c r="E48" s="11">
        <v>1</v>
      </c>
      <c r="F48" s="11">
        <f t="shared" si="2"/>
        <v>200</v>
      </c>
      <c r="G48" s="11">
        <f>SUM(F46:F48)</f>
        <v>392</v>
      </c>
    </row>
    <row r="50" spans="1:5">
      <c r="A50" s="1" t="s">
        <v>200</v>
      </c>
      <c r="B50" t="s">
        <v>28</v>
      </c>
      <c r="C50" t="s">
        <v>46</v>
      </c>
      <c r="D50" t="s">
        <v>179</v>
      </c>
      <c r="E50" t="s">
        <v>159</v>
      </c>
    </row>
    <row r="51" spans="1:5">
      <c r="A51" s="7" t="s">
        <v>201</v>
      </c>
      <c r="B51" s="160">
        <v>10</v>
      </c>
      <c r="C51" s="7">
        <v>4</v>
      </c>
      <c r="D51" s="160">
        <v>1</v>
      </c>
      <c r="E51" s="7">
        <f>$B$51*C51*$D$51*2</f>
        <v>80</v>
      </c>
    </row>
    <row r="52" spans="1:5">
      <c r="A52" s="7" t="s">
        <v>202</v>
      </c>
      <c r="B52" s="160"/>
      <c r="C52" s="7">
        <v>3</v>
      </c>
      <c r="D52" s="160"/>
      <c r="E52" s="7">
        <f t="shared" ref="E52:E53" si="3">$B$51*C52*$D$51*2</f>
        <v>60</v>
      </c>
    </row>
    <row r="53" spans="1:5">
      <c r="A53" s="7" t="s">
        <v>203</v>
      </c>
      <c r="B53" s="160"/>
      <c r="C53" s="7">
        <v>11</v>
      </c>
      <c r="D53" s="160"/>
      <c r="E53" s="7">
        <f t="shared" si="3"/>
        <v>220</v>
      </c>
    </row>
    <row r="54" spans="1:5">
      <c r="A54" s="13" t="s">
        <v>204</v>
      </c>
      <c r="B54" s="160"/>
      <c r="C54" s="13">
        <v>2</v>
      </c>
      <c r="D54" s="160"/>
      <c r="E54" s="13">
        <f>$B$51*C54*$D$51*2</f>
        <v>40</v>
      </c>
    </row>
    <row r="55" spans="1:5">
      <c r="A55" s="13" t="s">
        <v>205</v>
      </c>
      <c r="B55" s="160"/>
      <c r="C55" s="13">
        <v>4</v>
      </c>
      <c r="D55" s="160"/>
      <c r="E55" s="13">
        <f t="shared" ref="E55:E56" si="4">$B$51*C55*$D$51*2</f>
        <v>80</v>
      </c>
    </row>
    <row r="56" spans="1:5">
      <c r="A56" s="13" t="s">
        <v>206</v>
      </c>
      <c r="B56" s="160"/>
      <c r="C56" s="13">
        <v>10</v>
      </c>
      <c r="D56" s="160"/>
      <c r="E56" s="13">
        <f t="shared" si="4"/>
        <v>200</v>
      </c>
    </row>
    <row r="57" spans="1:5">
      <c r="A57" s="14" t="s">
        <v>207</v>
      </c>
      <c r="B57" s="160"/>
      <c r="C57" s="14">
        <v>7</v>
      </c>
      <c r="D57" s="160"/>
      <c r="E57" s="14">
        <f>$B$51*C57*$D$51*2</f>
        <v>140</v>
      </c>
    </row>
    <row r="58" spans="1:5">
      <c r="A58" s="14" t="s">
        <v>208</v>
      </c>
      <c r="B58" s="160"/>
      <c r="C58" s="14">
        <v>6</v>
      </c>
      <c r="D58" s="160"/>
      <c r="E58" s="14">
        <f t="shared" ref="E58:E59" si="5">$B$51*C58*$D$51*2</f>
        <v>120</v>
      </c>
    </row>
    <row r="59" spans="1:5">
      <c r="A59" s="14" t="s">
        <v>209</v>
      </c>
      <c r="B59" s="160"/>
      <c r="C59" s="14">
        <v>12</v>
      </c>
      <c r="D59" s="160"/>
      <c r="E59" s="14">
        <f t="shared" si="5"/>
        <v>240</v>
      </c>
    </row>
    <row r="60" spans="1:5">
      <c r="A60" s="9" t="s">
        <v>210</v>
      </c>
      <c r="B60" s="160"/>
      <c r="C60" s="9">
        <v>7</v>
      </c>
      <c r="D60" s="160"/>
      <c r="E60" s="9">
        <f>$B$51*C60*$D$51*2</f>
        <v>140</v>
      </c>
    </row>
    <row r="61" spans="1:5">
      <c r="A61" s="9" t="s">
        <v>211</v>
      </c>
      <c r="B61" s="160"/>
      <c r="C61" s="9">
        <v>6</v>
      </c>
      <c r="D61" s="160"/>
      <c r="E61" s="9">
        <f t="shared" ref="E61:E62" si="6">$B$51*C61*$D$51*2</f>
        <v>120</v>
      </c>
    </row>
    <row r="62" spans="1:5">
      <c r="A62" s="9" t="s">
        <v>212</v>
      </c>
      <c r="B62" s="160"/>
      <c r="C62" s="9">
        <v>11</v>
      </c>
      <c r="D62" s="160"/>
      <c r="E62" s="9">
        <f t="shared" si="6"/>
        <v>220</v>
      </c>
    </row>
    <row r="63" spans="1:5">
      <c r="A63" s="6" t="s">
        <v>213</v>
      </c>
      <c r="B63" s="160"/>
      <c r="C63" s="6">
        <v>3</v>
      </c>
      <c r="D63" s="160"/>
      <c r="E63" s="6">
        <f>$B$51*C63*$D$51*2</f>
        <v>60</v>
      </c>
    </row>
    <row r="64" spans="1:5">
      <c r="A64" s="6" t="s">
        <v>214</v>
      </c>
      <c r="B64" s="160"/>
      <c r="C64" s="6">
        <v>3</v>
      </c>
      <c r="D64" s="160"/>
      <c r="E64" s="6">
        <f t="shared" ref="E64:E65" si="7">$B$51*C64*$D$51*2</f>
        <v>60</v>
      </c>
    </row>
    <row r="65" spans="1:13">
      <c r="A65" s="6" t="s">
        <v>215</v>
      </c>
      <c r="B65" s="160"/>
      <c r="C65" s="6">
        <v>11</v>
      </c>
      <c r="D65" s="160"/>
      <c r="E65" s="6">
        <f t="shared" si="7"/>
        <v>220</v>
      </c>
    </row>
    <row r="66" spans="1:13">
      <c r="A66" s="10" t="s">
        <v>216</v>
      </c>
      <c r="B66" s="160"/>
      <c r="C66" s="10">
        <v>7</v>
      </c>
      <c r="D66" s="160"/>
      <c r="E66" s="10">
        <f>$B$51*C66*$D$51*2</f>
        <v>140</v>
      </c>
    </row>
    <row r="67" spans="1:13">
      <c r="A67" s="10" t="s">
        <v>217</v>
      </c>
      <c r="B67" s="160"/>
      <c r="C67" s="10">
        <v>15</v>
      </c>
      <c r="D67" s="160"/>
      <c r="E67" s="10">
        <f>$B$51*C67*$D$51*2</f>
        <v>300</v>
      </c>
    </row>
    <row r="68" spans="1:13">
      <c r="L68" t="s">
        <v>148</v>
      </c>
    </row>
    <row r="69" spans="1:13">
      <c r="A69" t="s">
        <v>218</v>
      </c>
      <c r="B69" t="s">
        <v>0</v>
      </c>
      <c r="C69" t="s">
        <v>23</v>
      </c>
      <c r="D69" t="s">
        <v>26</v>
      </c>
      <c r="E69" t="s">
        <v>27</v>
      </c>
      <c r="F69" t="s">
        <v>21</v>
      </c>
      <c r="G69" t="s">
        <v>171</v>
      </c>
      <c r="H69" t="s">
        <v>153</v>
      </c>
      <c r="I69" t="s">
        <v>219</v>
      </c>
      <c r="J69" t="s">
        <v>159</v>
      </c>
      <c r="L69" t="s">
        <v>158</v>
      </c>
      <c r="M69" t="s">
        <v>159</v>
      </c>
    </row>
    <row r="70" spans="1:13">
      <c r="A70" s="11" t="s">
        <v>220</v>
      </c>
      <c r="B70" s="11"/>
      <c r="C70" s="11">
        <v>2</v>
      </c>
      <c r="D70" s="11">
        <v>1</v>
      </c>
      <c r="E70" s="11">
        <v>3</v>
      </c>
      <c r="F70" s="11">
        <v>0</v>
      </c>
      <c r="G70" s="11"/>
      <c r="H70" s="11">
        <v>2</v>
      </c>
      <c r="I70">
        <v>0</v>
      </c>
      <c r="J70" s="11">
        <f>H70*2</f>
        <v>4</v>
      </c>
      <c r="L70">
        <v>1</v>
      </c>
      <c r="M70">
        <f t="shared" ref="M70:M75" si="8">J70*(1+L70)</f>
        <v>8</v>
      </c>
    </row>
    <row r="71" spans="1:13">
      <c r="A71" s="11" t="s">
        <v>221</v>
      </c>
      <c r="B71" s="11">
        <v>2</v>
      </c>
      <c r="C71" s="11">
        <v>2</v>
      </c>
      <c r="D71" s="11">
        <v>1</v>
      </c>
      <c r="E71" s="11">
        <v>3</v>
      </c>
      <c r="F71" s="11">
        <v>0</v>
      </c>
      <c r="G71" s="11"/>
      <c r="H71" s="11">
        <v>2</v>
      </c>
      <c r="I71">
        <v>0</v>
      </c>
      <c r="J71" s="11">
        <f>IF(B71&gt;1,IF(B71&gt;=(H71-C71),((C71+H71)),0),"Fumble")</f>
        <v>4</v>
      </c>
      <c r="L71">
        <v>1</v>
      </c>
      <c r="M71">
        <f t="shared" si="8"/>
        <v>8</v>
      </c>
    </row>
    <row r="72" spans="1:13">
      <c r="A72" s="11" t="s">
        <v>222</v>
      </c>
      <c r="B72" s="11">
        <v>2</v>
      </c>
      <c r="C72" s="11">
        <v>5</v>
      </c>
      <c r="D72" s="11">
        <v>2</v>
      </c>
      <c r="E72" s="11">
        <v>4</v>
      </c>
      <c r="F72" s="11">
        <v>0</v>
      </c>
      <c r="G72" s="11"/>
      <c r="H72" s="11">
        <v>5</v>
      </c>
      <c r="I72">
        <v>0</v>
      </c>
      <c r="J72" s="11">
        <f>IF(B72&gt;1,IF(B72&gt;=(H72-C72),((C72+H72)),0),"Fumble")</f>
        <v>10</v>
      </c>
      <c r="L72">
        <v>1</v>
      </c>
      <c r="M72">
        <f t="shared" si="8"/>
        <v>20</v>
      </c>
    </row>
    <row r="73" spans="1:13">
      <c r="A73" s="11" t="s">
        <v>223</v>
      </c>
      <c r="B73" s="11">
        <v>2</v>
      </c>
      <c r="C73" s="11">
        <v>10</v>
      </c>
      <c r="D73" s="11">
        <v>3</v>
      </c>
      <c r="E73" s="11">
        <v>10</v>
      </c>
      <c r="F73" s="11">
        <v>0</v>
      </c>
      <c r="G73" s="11"/>
      <c r="H73" s="11">
        <v>5</v>
      </c>
      <c r="I73">
        <v>0</v>
      </c>
      <c r="J73" s="11">
        <f>IF(B73&gt;1,IF(B73&gt;=(H73-(C73+E73)),((C73+E73+H73)),0),"Fumble")</f>
        <v>25</v>
      </c>
      <c r="L73">
        <v>1</v>
      </c>
      <c r="M73">
        <f t="shared" si="8"/>
        <v>50</v>
      </c>
    </row>
    <row r="74" spans="1:13">
      <c r="A74" s="11" t="s">
        <v>224</v>
      </c>
      <c r="B74" s="11">
        <v>2</v>
      </c>
      <c r="C74" s="11">
        <v>12</v>
      </c>
      <c r="D74" s="11">
        <v>4</v>
      </c>
      <c r="E74" s="11">
        <v>10</v>
      </c>
      <c r="F74" s="11">
        <v>10</v>
      </c>
      <c r="G74" s="11"/>
      <c r="H74" s="11">
        <v>5</v>
      </c>
      <c r="I74">
        <v>0</v>
      </c>
      <c r="J74" s="11">
        <f>IF(B74&gt;1,IF(B74&gt;=(H74-C74),((C74+2*F74+H74)),0),"Fumble")</f>
        <v>37</v>
      </c>
      <c r="L74">
        <v>2</v>
      </c>
      <c r="M74">
        <f t="shared" si="8"/>
        <v>111</v>
      </c>
    </row>
    <row r="75" spans="1:13">
      <c r="A75" s="11" t="s">
        <v>225</v>
      </c>
      <c r="B75" s="11">
        <v>2</v>
      </c>
      <c r="C75" s="11">
        <v>10</v>
      </c>
      <c r="D75" s="11">
        <v>1</v>
      </c>
      <c r="E75" s="11">
        <v>10</v>
      </c>
      <c r="F75" s="11">
        <v>0</v>
      </c>
      <c r="G75" s="11">
        <v>4</v>
      </c>
      <c r="H75" s="11">
        <v>6</v>
      </c>
      <c r="I75">
        <v>0</v>
      </c>
      <c r="J75" s="11">
        <f>IF(B75&gt;1,IF(B75&gt;=(H75-(C75+2*G75)),((C75+2*G75+H75)),0),"Fumble")</f>
        <v>24</v>
      </c>
      <c r="L75">
        <v>2</v>
      </c>
      <c r="M75">
        <f t="shared" si="8"/>
        <v>72</v>
      </c>
    </row>
    <row r="76" spans="1:13">
      <c r="A76" t="s">
        <v>226</v>
      </c>
      <c r="B76">
        <v>2</v>
      </c>
      <c r="C76">
        <v>0</v>
      </c>
      <c r="D76">
        <v>2</v>
      </c>
      <c r="E76">
        <v>1</v>
      </c>
      <c r="F76">
        <v>1</v>
      </c>
      <c r="H76">
        <v>2</v>
      </c>
      <c r="I76">
        <v>0</v>
      </c>
    </row>
    <row r="77" spans="1:13">
      <c r="A77" t="s">
        <v>227</v>
      </c>
    </row>
    <row r="78" spans="1:13">
      <c r="A78" t="s">
        <v>228</v>
      </c>
    </row>
    <row r="79" spans="1:13">
      <c r="A79" t="s">
        <v>229</v>
      </c>
    </row>
    <row r="80" spans="1:13">
      <c r="A80" t="s">
        <v>230</v>
      </c>
    </row>
    <row r="81" spans="1:1">
      <c r="A81" t="s">
        <v>231</v>
      </c>
    </row>
    <row r="82" spans="1:1">
      <c r="A82" t="s">
        <v>232</v>
      </c>
    </row>
    <row r="83" spans="1:1">
      <c r="A83" t="s">
        <v>233</v>
      </c>
    </row>
    <row r="84" spans="1:1">
      <c r="A84" t="s">
        <v>234</v>
      </c>
    </row>
    <row r="85" spans="1:1">
      <c r="A85" t="s">
        <v>235</v>
      </c>
    </row>
    <row r="86" spans="1:1">
      <c r="A86" t="s">
        <v>236</v>
      </c>
    </row>
    <row r="87" spans="1:1">
      <c r="A87" t="s">
        <v>237</v>
      </c>
    </row>
  </sheetData>
  <mergeCells count="3">
    <mergeCell ref="B51:B67"/>
    <mergeCell ref="D51:D67"/>
    <mergeCell ref="D2:D5"/>
  </mergeCells>
  <dataValidations count="2">
    <dataValidation type="list" allowBlank="1" showErrorMessage="1" sqref="G10:G13 E18:E21 E30:E36" xr:uid="{FA8B9FF2-ECC0-49FD-B45E-5985DBE3D94B}">
      <formula1>"0,0,5,1,2"</formula1>
    </dataValidation>
    <dataValidation type="list" allowBlank="1" showInputMessage="1" showErrorMessage="1" sqref="O9" xr:uid="{2151A0BE-6526-4903-8865-154CB0F497FE}">
      <formula1>"1,2,3,4,5,6"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2EC0778-6FB2-4007-AAC9-8C93E4572FAE}">
          <x14:formula1>
            <xm:f>Données!$D$39:$D$70</xm:f>
          </x14:formula1>
          <xm:sqref>N9</xm:sqref>
        </x14:dataValidation>
        <x14:dataValidation type="list" allowBlank="1" showInputMessage="1" showErrorMessage="1" xr:uid="{88F39763-3271-48D1-930C-2662649C5405}">
          <x14:formula1>
            <xm:f>Magies!$B$2:$B$40</xm:f>
          </x14:formula1>
          <xm:sqref>D18:D24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5402-D5B1-465B-9D7A-614854901128}">
  <dimension ref="A1:I40"/>
  <sheetViews>
    <sheetView topLeftCell="G1" workbookViewId="0">
      <pane ySplit="1" topLeftCell="A6" activePane="bottomLeft" state="frozen"/>
      <selection activeCell="G1" sqref="G1"/>
      <selection pane="bottomLeft" activeCell="G1" sqref="G1"/>
    </sheetView>
  </sheetViews>
  <sheetFormatPr baseColWidth="10" defaultColWidth="8.7265625" defaultRowHeight="14.5"/>
  <cols>
    <col min="2" max="2" width="10.7265625" bestFit="1" customWidth="1"/>
    <col min="5" max="5" width="9.81640625" bestFit="1" customWidth="1"/>
    <col min="6" max="6" width="10.1796875" bestFit="1" customWidth="1"/>
    <col min="7" max="7" width="40.81640625" bestFit="1" customWidth="1"/>
    <col min="9" max="9" width="82.7265625" customWidth="1"/>
  </cols>
  <sheetData>
    <row r="1" spans="1:9">
      <c r="A1" s="52" t="s">
        <v>22</v>
      </c>
      <c r="B1" s="52" t="s">
        <v>238</v>
      </c>
      <c r="C1" s="53" t="s">
        <v>239</v>
      </c>
      <c r="D1" s="53" t="s">
        <v>240</v>
      </c>
      <c r="E1" s="53" t="s">
        <v>241</v>
      </c>
      <c r="F1" s="53" t="s">
        <v>242</v>
      </c>
      <c r="G1" s="53" t="s">
        <v>243</v>
      </c>
      <c r="H1" s="53" t="s">
        <v>244</v>
      </c>
      <c r="I1" s="54" t="s">
        <v>52</v>
      </c>
    </row>
    <row r="2" spans="1:9">
      <c r="A2" s="77" t="s">
        <v>149</v>
      </c>
      <c r="B2" s="69" t="s">
        <v>19</v>
      </c>
      <c r="C2" s="47" t="s">
        <v>245</v>
      </c>
      <c r="D2" s="47">
        <v>1</v>
      </c>
      <c r="E2" s="47">
        <v>3</v>
      </c>
      <c r="F2" s="47"/>
      <c r="G2" s="47" t="s">
        <v>246</v>
      </c>
      <c r="H2" s="47"/>
      <c r="I2" s="47" t="s">
        <v>247</v>
      </c>
    </row>
    <row r="3" spans="1:9">
      <c r="A3" s="77" t="s">
        <v>149</v>
      </c>
      <c r="B3" s="70" t="s">
        <v>248</v>
      </c>
      <c r="C3" s="48" t="s">
        <v>249</v>
      </c>
      <c r="D3" s="48">
        <v>1</v>
      </c>
      <c r="E3" s="48">
        <v>3</v>
      </c>
      <c r="F3" s="48"/>
      <c r="G3" s="47" t="s">
        <v>246</v>
      </c>
      <c r="H3" s="48"/>
      <c r="I3" s="48" t="s">
        <v>250</v>
      </c>
    </row>
    <row r="4" spans="1:9">
      <c r="A4" s="77" t="s">
        <v>149</v>
      </c>
      <c r="B4" s="71" t="s">
        <v>172</v>
      </c>
      <c r="C4" s="49" t="s">
        <v>172</v>
      </c>
      <c r="D4" s="49">
        <v>1</v>
      </c>
      <c r="E4" s="49">
        <v>3</v>
      </c>
      <c r="F4" s="49"/>
      <c r="G4" s="47" t="s">
        <v>246</v>
      </c>
      <c r="H4" s="49"/>
      <c r="I4" s="49" t="s">
        <v>251</v>
      </c>
    </row>
    <row r="5" spans="1:9">
      <c r="A5" s="77" t="s">
        <v>149</v>
      </c>
      <c r="B5" s="69" t="s">
        <v>17</v>
      </c>
      <c r="C5" s="47" t="s">
        <v>245</v>
      </c>
      <c r="D5" s="47">
        <v>1</v>
      </c>
      <c r="E5" s="47">
        <v>5</v>
      </c>
      <c r="F5" s="47"/>
      <c r="G5" s="47" t="s">
        <v>246</v>
      </c>
      <c r="H5" s="47"/>
      <c r="I5" s="47" t="s">
        <v>252</v>
      </c>
    </row>
    <row r="6" spans="1:9">
      <c r="A6" s="77" t="s">
        <v>149</v>
      </c>
      <c r="B6" s="70" t="s">
        <v>253</v>
      </c>
      <c r="C6" s="48" t="s">
        <v>249</v>
      </c>
      <c r="D6" s="48">
        <v>1</v>
      </c>
      <c r="E6" s="48">
        <v>5</v>
      </c>
      <c r="F6" s="48"/>
      <c r="G6" s="47" t="s">
        <v>246</v>
      </c>
      <c r="H6" s="48"/>
      <c r="I6" s="48" t="s">
        <v>254</v>
      </c>
    </row>
    <row r="7" spans="1:9">
      <c r="A7" s="77" t="s">
        <v>149</v>
      </c>
      <c r="B7" s="71" t="s">
        <v>255</v>
      </c>
      <c r="C7" s="49" t="s">
        <v>172</v>
      </c>
      <c r="D7" s="49">
        <v>1</v>
      </c>
      <c r="E7" s="49">
        <v>5</v>
      </c>
      <c r="F7" s="49"/>
      <c r="G7" s="47" t="s">
        <v>246</v>
      </c>
      <c r="H7" s="49"/>
      <c r="I7" s="49" t="s">
        <v>256</v>
      </c>
    </row>
    <row r="8" spans="1:9">
      <c r="A8" s="77" t="s">
        <v>149</v>
      </c>
      <c r="B8" s="69" t="s">
        <v>18</v>
      </c>
      <c r="C8" s="47" t="s">
        <v>245</v>
      </c>
      <c r="D8" s="47">
        <v>2</v>
      </c>
      <c r="E8" s="47">
        <v>7</v>
      </c>
      <c r="F8" s="47"/>
      <c r="G8" s="47" t="s">
        <v>246</v>
      </c>
      <c r="H8" s="47"/>
      <c r="I8" s="47" t="s">
        <v>257</v>
      </c>
    </row>
    <row r="9" spans="1:9">
      <c r="A9" s="77" t="s">
        <v>149</v>
      </c>
      <c r="B9" s="70" t="s">
        <v>258</v>
      </c>
      <c r="C9" s="48" t="s">
        <v>249</v>
      </c>
      <c r="D9" s="48">
        <v>2</v>
      </c>
      <c r="E9" s="48">
        <v>7</v>
      </c>
      <c r="F9" s="48"/>
      <c r="G9" s="47" t="s">
        <v>246</v>
      </c>
      <c r="H9" s="48"/>
      <c r="I9" s="48" t="s">
        <v>259</v>
      </c>
    </row>
    <row r="10" spans="1:9">
      <c r="A10" s="77" t="s">
        <v>149</v>
      </c>
      <c r="B10" s="71" t="s">
        <v>260</v>
      </c>
      <c r="C10" s="49" t="s">
        <v>172</v>
      </c>
      <c r="D10" s="49">
        <v>2</v>
      </c>
      <c r="E10" s="49">
        <v>7</v>
      </c>
      <c r="F10" s="49"/>
      <c r="G10" s="47" t="s">
        <v>246</v>
      </c>
      <c r="H10" s="49"/>
      <c r="I10" s="49" t="s">
        <v>261</v>
      </c>
    </row>
    <row r="11" spans="1:9">
      <c r="A11" s="77" t="s">
        <v>149</v>
      </c>
      <c r="B11" s="72" t="s">
        <v>262</v>
      </c>
      <c r="C11" s="25" t="s">
        <v>263</v>
      </c>
      <c r="D11" s="25">
        <v>3</v>
      </c>
      <c r="E11" s="25">
        <v>8</v>
      </c>
      <c r="F11" s="25"/>
      <c r="G11" s="47" t="s">
        <v>246</v>
      </c>
      <c r="H11" s="25"/>
      <c r="I11" s="25" t="s">
        <v>264</v>
      </c>
    </row>
    <row r="12" spans="1:9">
      <c r="A12" s="77" t="s">
        <v>149</v>
      </c>
      <c r="B12" s="73" t="s">
        <v>265</v>
      </c>
      <c r="C12" s="23" t="s">
        <v>266</v>
      </c>
      <c r="D12" s="23">
        <v>3</v>
      </c>
      <c r="E12" s="23">
        <v>8</v>
      </c>
      <c r="F12" s="23"/>
      <c r="G12" s="47" t="s">
        <v>246</v>
      </c>
      <c r="H12" s="23"/>
      <c r="I12" s="23" t="s">
        <v>267</v>
      </c>
    </row>
    <row r="13" spans="1:9">
      <c r="A13" s="77" t="s">
        <v>149</v>
      </c>
      <c r="B13" s="74" t="s">
        <v>268</v>
      </c>
      <c r="C13" s="3"/>
      <c r="D13" s="3">
        <v>5</v>
      </c>
      <c r="E13" s="3">
        <v>15</v>
      </c>
      <c r="F13" s="3"/>
      <c r="G13" s="47" t="s">
        <v>246</v>
      </c>
      <c r="H13" s="3"/>
      <c r="I13" s="3" t="s">
        <v>269</v>
      </c>
    </row>
    <row r="14" spans="1:9">
      <c r="A14" s="77" t="s">
        <v>149</v>
      </c>
      <c r="B14" s="75" t="s">
        <v>270</v>
      </c>
      <c r="C14" s="50" t="s">
        <v>271</v>
      </c>
      <c r="D14" s="50"/>
      <c r="E14" s="50" t="s">
        <v>272</v>
      </c>
      <c r="F14" s="50"/>
      <c r="G14" s="47" t="s">
        <v>246</v>
      </c>
      <c r="H14" s="50"/>
      <c r="I14" s="50" t="s">
        <v>273</v>
      </c>
    </row>
    <row r="15" spans="1:9">
      <c r="A15" s="77" t="s">
        <v>149</v>
      </c>
      <c r="B15" s="74" t="s">
        <v>274</v>
      </c>
      <c r="C15" s="3" t="s">
        <v>272</v>
      </c>
      <c r="D15" s="3">
        <v>2</v>
      </c>
      <c r="E15" s="3" t="s">
        <v>272</v>
      </c>
      <c r="F15" s="3" t="s">
        <v>272</v>
      </c>
      <c r="G15" s="47" t="s">
        <v>275</v>
      </c>
      <c r="H15" s="3" t="s">
        <v>272</v>
      </c>
      <c r="I15" s="3" t="s">
        <v>276</v>
      </c>
    </row>
    <row r="16" spans="1:9">
      <c r="A16" s="77" t="s">
        <v>149</v>
      </c>
      <c r="B16" s="74" t="s">
        <v>277</v>
      </c>
      <c r="C16" s="3" t="s">
        <v>272</v>
      </c>
      <c r="D16" s="3">
        <v>1</v>
      </c>
      <c r="E16" s="3" t="s">
        <v>272</v>
      </c>
      <c r="F16" s="3" t="s">
        <v>272</v>
      </c>
      <c r="G16" s="47" t="s">
        <v>278</v>
      </c>
      <c r="H16" s="3">
        <v>2</v>
      </c>
      <c r="I16" s="3" t="s">
        <v>279</v>
      </c>
    </row>
    <row r="17" spans="1:9">
      <c r="A17" s="77" t="s">
        <v>149</v>
      </c>
      <c r="B17" s="74" t="s">
        <v>280</v>
      </c>
      <c r="C17" s="3" t="s">
        <v>272</v>
      </c>
      <c r="D17" s="3">
        <v>1</v>
      </c>
      <c r="E17" s="3" t="s">
        <v>272</v>
      </c>
      <c r="F17" s="3" t="s">
        <v>272</v>
      </c>
      <c r="G17" s="47" t="s">
        <v>281</v>
      </c>
      <c r="H17" s="3">
        <v>2</v>
      </c>
      <c r="I17" s="3" t="s">
        <v>282</v>
      </c>
    </row>
    <row r="18" spans="1:9">
      <c r="A18" s="77" t="s">
        <v>149</v>
      </c>
      <c r="B18" s="74" t="s">
        <v>283</v>
      </c>
      <c r="C18" s="3" t="s">
        <v>272</v>
      </c>
      <c r="D18" s="3">
        <v>3</v>
      </c>
      <c r="E18" s="3" t="s">
        <v>272</v>
      </c>
      <c r="F18" s="3" t="s">
        <v>272</v>
      </c>
      <c r="G18" s="47" t="s">
        <v>284</v>
      </c>
      <c r="H18" s="3" t="s">
        <v>272</v>
      </c>
      <c r="I18" s="94" t="s">
        <v>285</v>
      </c>
    </row>
    <row r="19" spans="1:9">
      <c r="A19" s="78" t="s">
        <v>286</v>
      </c>
      <c r="B19" s="74" t="s">
        <v>287</v>
      </c>
      <c r="C19" s="3" t="s">
        <v>272</v>
      </c>
      <c r="D19" s="3">
        <v>2</v>
      </c>
      <c r="E19" s="3" t="s">
        <v>272</v>
      </c>
      <c r="F19" s="3" t="s">
        <v>272</v>
      </c>
      <c r="G19" s="47" t="s">
        <v>288</v>
      </c>
      <c r="H19" s="27">
        <v>3</v>
      </c>
      <c r="I19" s="3" t="s">
        <v>289</v>
      </c>
    </row>
    <row r="20" spans="1:9">
      <c r="A20" s="78" t="s">
        <v>286</v>
      </c>
      <c r="B20" s="74" t="s">
        <v>290</v>
      </c>
      <c r="C20" s="3" t="s">
        <v>272</v>
      </c>
      <c r="D20" s="3">
        <v>2</v>
      </c>
      <c r="E20" s="3" t="s">
        <v>272</v>
      </c>
      <c r="F20" s="3" t="s">
        <v>272</v>
      </c>
      <c r="G20" s="47" t="s">
        <v>291</v>
      </c>
      <c r="H20" s="27">
        <v>2</v>
      </c>
      <c r="I20" s="3" t="s">
        <v>292</v>
      </c>
    </row>
    <row r="21" spans="1:9">
      <c r="A21" s="78" t="s">
        <v>286</v>
      </c>
      <c r="B21" s="74" t="s">
        <v>293</v>
      </c>
      <c r="C21" s="3" t="s">
        <v>272</v>
      </c>
      <c r="D21" s="3">
        <v>1</v>
      </c>
      <c r="E21" s="3" t="s">
        <v>272</v>
      </c>
      <c r="F21" s="3" t="s">
        <v>272</v>
      </c>
      <c r="G21" s="47" t="s">
        <v>294</v>
      </c>
      <c r="H21" s="27">
        <v>2</v>
      </c>
      <c r="I21" s="3" t="s">
        <v>295</v>
      </c>
    </row>
    <row r="22" spans="1:9">
      <c r="A22" s="78" t="s">
        <v>286</v>
      </c>
      <c r="B22" s="74" t="s">
        <v>296</v>
      </c>
      <c r="C22" s="3" t="s">
        <v>272</v>
      </c>
      <c r="D22" s="3">
        <v>1</v>
      </c>
      <c r="E22" s="3" t="s">
        <v>272</v>
      </c>
      <c r="F22" s="3" t="s">
        <v>272</v>
      </c>
      <c r="G22" s="47" t="s">
        <v>297</v>
      </c>
      <c r="H22" s="3" t="s">
        <v>272</v>
      </c>
      <c r="I22" s="61" t="s">
        <v>298</v>
      </c>
    </row>
    <row r="23" spans="1:9">
      <c r="A23" s="77" t="s">
        <v>149</v>
      </c>
      <c r="B23" s="74" t="s">
        <v>299</v>
      </c>
      <c r="C23" s="3" t="s">
        <v>272</v>
      </c>
      <c r="D23" s="3">
        <v>1</v>
      </c>
      <c r="E23" s="3" t="s">
        <v>272</v>
      </c>
      <c r="F23" s="3" t="s">
        <v>272</v>
      </c>
      <c r="G23" s="47" t="s">
        <v>300</v>
      </c>
      <c r="H23" s="3" t="s">
        <v>272</v>
      </c>
      <c r="I23" s="3" t="s">
        <v>301</v>
      </c>
    </row>
    <row r="24" spans="1:9">
      <c r="A24" s="77" t="s">
        <v>149</v>
      </c>
      <c r="B24" s="74" t="s">
        <v>302</v>
      </c>
      <c r="C24" s="3" t="s">
        <v>272</v>
      </c>
      <c r="D24" s="3">
        <v>2</v>
      </c>
      <c r="E24" s="3" t="s">
        <v>272</v>
      </c>
      <c r="F24" s="3" t="s">
        <v>272</v>
      </c>
      <c r="G24" s="47" t="s">
        <v>303</v>
      </c>
      <c r="H24" s="3" t="s">
        <v>272</v>
      </c>
      <c r="I24" s="3" t="s">
        <v>304</v>
      </c>
    </row>
    <row r="25" spans="1:9">
      <c r="A25" s="78" t="s">
        <v>286</v>
      </c>
      <c r="B25" s="76" t="s">
        <v>305</v>
      </c>
      <c r="C25" s="51" t="s">
        <v>306</v>
      </c>
      <c r="D25" s="51">
        <v>1</v>
      </c>
      <c r="E25" s="51" t="s">
        <v>272</v>
      </c>
      <c r="F25" s="51">
        <v>3</v>
      </c>
      <c r="G25" s="47" t="s">
        <v>246</v>
      </c>
      <c r="H25" s="51" t="s">
        <v>272</v>
      </c>
      <c r="I25" s="51" t="s">
        <v>307</v>
      </c>
    </row>
    <row r="26" spans="1:9">
      <c r="A26" s="78" t="s">
        <v>286</v>
      </c>
      <c r="B26" s="76" t="s">
        <v>308</v>
      </c>
      <c r="C26" s="51" t="s">
        <v>306</v>
      </c>
      <c r="D26" s="51">
        <v>1</v>
      </c>
      <c r="E26" s="51" t="s">
        <v>272</v>
      </c>
      <c r="F26" s="51">
        <v>2</v>
      </c>
      <c r="G26" s="47" t="s">
        <v>309</v>
      </c>
      <c r="H26" s="51">
        <v>3</v>
      </c>
      <c r="I26" s="51" t="s">
        <v>310</v>
      </c>
    </row>
    <row r="27" spans="1:9">
      <c r="A27" s="77" t="s">
        <v>149</v>
      </c>
      <c r="B27" s="76" t="s">
        <v>311</v>
      </c>
      <c r="C27" s="51" t="s">
        <v>306</v>
      </c>
      <c r="D27" s="51">
        <v>1</v>
      </c>
      <c r="E27" s="51">
        <v>3</v>
      </c>
      <c r="F27" s="51" t="s">
        <v>272</v>
      </c>
      <c r="G27" s="47" t="s">
        <v>246</v>
      </c>
      <c r="H27" s="51" t="s">
        <v>272</v>
      </c>
      <c r="I27" s="51" t="s">
        <v>312</v>
      </c>
    </row>
    <row r="28" spans="1:9">
      <c r="A28" s="78" t="s">
        <v>286</v>
      </c>
      <c r="B28" s="76" t="s">
        <v>313</v>
      </c>
      <c r="C28" s="51" t="s">
        <v>306</v>
      </c>
      <c r="D28" s="51">
        <v>2</v>
      </c>
      <c r="E28" s="51" t="s">
        <v>272</v>
      </c>
      <c r="F28" s="51">
        <v>7</v>
      </c>
      <c r="G28" s="47" t="s">
        <v>246</v>
      </c>
      <c r="H28" s="51" t="s">
        <v>272</v>
      </c>
      <c r="I28" s="51" t="s">
        <v>314</v>
      </c>
    </row>
    <row r="29" spans="1:9">
      <c r="A29" s="78" t="s">
        <v>286</v>
      </c>
      <c r="B29" s="76" t="s">
        <v>315</v>
      </c>
      <c r="C29" s="51" t="s">
        <v>306</v>
      </c>
      <c r="D29" s="51">
        <v>2</v>
      </c>
      <c r="E29" s="51" t="s">
        <v>272</v>
      </c>
      <c r="F29" s="51">
        <v>4</v>
      </c>
      <c r="G29" s="47" t="s">
        <v>316</v>
      </c>
      <c r="H29" s="51">
        <v>4</v>
      </c>
      <c r="I29" s="51" t="s">
        <v>317</v>
      </c>
    </row>
    <row r="30" spans="1:9">
      <c r="A30" s="77" t="s">
        <v>149</v>
      </c>
      <c r="B30" s="76" t="s">
        <v>318</v>
      </c>
      <c r="C30" s="51" t="s">
        <v>306</v>
      </c>
      <c r="D30" s="51">
        <v>2</v>
      </c>
      <c r="E30" s="51">
        <v>5</v>
      </c>
      <c r="F30" s="51" t="s">
        <v>272</v>
      </c>
      <c r="G30" s="47" t="s">
        <v>246</v>
      </c>
      <c r="H30" s="51" t="s">
        <v>272</v>
      </c>
      <c r="I30" s="51" t="s">
        <v>319</v>
      </c>
    </row>
    <row r="31" spans="1:9">
      <c r="A31" s="78" t="s">
        <v>286</v>
      </c>
      <c r="B31" s="76" t="s">
        <v>320</v>
      </c>
      <c r="C31" s="51" t="s">
        <v>306</v>
      </c>
      <c r="D31" s="51">
        <v>3</v>
      </c>
      <c r="E31" s="51" t="s">
        <v>272</v>
      </c>
      <c r="F31" s="51">
        <v>15</v>
      </c>
      <c r="G31" s="47" t="s">
        <v>246</v>
      </c>
      <c r="H31" s="51" t="s">
        <v>272</v>
      </c>
      <c r="I31" s="51" t="s">
        <v>321</v>
      </c>
    </row>
    <row r="32" spans="1:9">
      <c r="A32" s="78" t="s">
        <v>286</v>
      </c>
      <c r="B32" s="76" t="s">
        <v>322</v>
      </c>
      <c r="C32" s="51" t="s">
        <v>306</v>
      </c>
      <c r="D32" s="51">
        <v>3</v>
      </c>
      <c r="E32" s="51" t="s">
        <v>272</v>
      </c>
      <c r="F32" s="51">
        <v>6</v>
      </c>
      <c r="G32" s="47" t="s">
        <v>323</v>
      </c>
      <c r="H32" s="51">
        <v>5</v>
      </c>
      <c r="I32" s="51" t="s">
        <v>324</v>
      </c>
    </row>
    <row r="33" spans="1:9">
      <c r="A33" s="77" t="s">
        <v>149</v>
      </c>
      <c r="B33" s="76" t="s">
        <v>325</v>
      </c>
      <c r="C33" s="51" t="s">
        <v>306</v>
      </c>
      <c r="D33" s="51">
        <v>3</v>
      </c>
      <c r="E33" s="51">
        <v>7</v>
      </c>
      <c r="F33" s="51" t="s">
        <v>272</v>
      </c>
      <c r="G33" s="47" t="s">
        <v>246</v>
      </c>
      <c r="H33" s="51" t="s">
        <v>272</v>
      </c>
      <c r="I33" s="51" t="s">
        <v>326</v>
      </c>
    </row>
    <row r="34" spans="1:9">
      <c r="A34" s="78" t="s">
        <v>286</v>
      </c>
      <c r="B34" s="76" t="s">
        <v>327</v>
      </c>
      <c r="C34" s="51" t="s">
        <v>306</v>
      </c>
      <c r="D34" s="51">
        <v>2</v>
      </c>
      <c r="E34" s="51" t="s">
        <v>272</v>
      </c>
      <c r="F34" s="51" t="s">
        <v>272</v>
      </c>
      <c r="G34" s="47" t="s">
        <v>328</v>
      </c>
      <c r="H34" s="51" t="s">
        <v>272</v>
      </c>
      <c r="I34" s="51" t="s">
        <v>329</v>
      </c>
    </row>
    <row r="35" spans="1:9">
      <c r="A35" s="78" t="s">
        <v>286</v>
      </c>
      <c r="B35" s="76" t="s">
        <v>330</v>
      </c>
      <c r="C35" s="51" t="s">
        <v>306</v>
      </c>
      <c r="D35" s="51">
        <v>3</v>
      </c>
      <c r="E35" s="51" t="s">
        <v>272</v>
      </c>
      <c r="F35" s="51">
        <v>5</v>
      </c>
      <c r="G35" s="47" t="s">
        <v>246</v>
      </c>
      <c r="H35" s="51" t="s">
        <v>272</v>
      </c>
      <c r="I35" s="51" t="s">
        <v>331</v>
      </c>
    </row>
    <row r="36" spans="1:9">
      <c r="A36" s="78" t="s">
        <v>286</v>
      </c>
      <c r="B36" s="76" t="s">
        <v>332</v>
      </c>
      <c r="C36" s="51" t="s">
        <v>306</v>
      </c>
      <c r="D36" s="51">
        <v>4</v>
      </c>
      <c r="E36" s="51" t="s">
        <v>272</v>
      </c>
      <c r="F36" s="51">
        <v>12</v>
      </c>
      <c r="G36" s="47" t="s">
        <v>246</v>
      </c>
      <c r="H36" s="51" t="s">
        <v>272</v>
      </c>
      <c r="I36" s="51" t="s">
        <v>331</v>
      </c>
    </row>
    <row r="37" spans="1:9">
      <c r="A37" s="78" t="s">
        <v>286</v>
      </c>
      <c r="B37" s="76" t="s">
        <v>333</v>
      </c>
      <c r="C37" s="51" t="s">
        <v>306</v>
      </c>
      <c r="D37" s="51">
        <v>5</v>
      </c>
      <c r="E37" s="51" t="s">
        <v>272</v>
      </c>
      <c r="F37" s="51">
        <v>20</v>
      </c>
      <c r="G37" s="47" t="s">
        <v>246</v>
      </c>
      <c r="H37" s="51" t="s">
        <v>272</v>
      </c>
      <c r="I37" s="51" t="s">
        <v>331</v>
      </c>
    </row>
    <row r="38" spans="1:9">
      <c r="A38" s="78" t="s">
        <v>286</v>
      </c>
      <c r="B38" s="76" t="s">
        <v>334</v>
      </c>
      <c r="C38" s="51" t="s">
        <v>306</v>
      </c>
      <c r="D38" s="51">
        <v>2</v>
      </c>
      <c r="E38" s="51" t="s">
        <v>272</v>
      </c>
      <c r="F38" s="51" t="s">
        <v>272</v>
      </c>
      <c r="G38" s="47" t="s">
        <v>335</v>
      </c>
      <c r="H38" s="51" t="s">
        <v>272</v>
      </c>
      <c r="I38" s="51" t="s">
        <v>336</v>
      </c>
    </row>
    <row r="39" spans="1:9">
      <c r="A39" s="78" t="s">
        <v>286</v>
      </c>
      <c r="B39" s="76" t="s">
        <v>337</v>
      </c>
      <c r="C39" s="51" t="s">
        <v>306</v>
      </c>
      <c r="D39" s="51">
        <v>1</v>
      </c>
      <c r="E39" s="51" t="s">
        <v>272</v>
      </c>
      <c r="F39" s="51" t="s">
        <v>272</v>
      </c>
      <c r="G39" s="47" t="s">
        <v>338</v>
      </c>
      <c r="H39" s="51">
        <v>3</v>
      </c>
      <c r="I39" s="51" t="s">
        <v>339</v>
      </c>
    </row>
    <row r="40" spans="1:9">
      <c r="A40" s="77" t="s">
        <v>149</v>
      </c>
      <c r="B40" s="76" t="s">
        <v>175</v>
      </c>
      <c r="C40" s="51" t="s">
        <v>306</v>
      </c>
      <c r="D40" s="51">
        <v>4</v>
      </c>
      <c r="E40" s="51">
        <v>15</v>
      </c>
      <c r="F40" s="51" t="s">
        <v>272</v>
      </c>
      <c r="G40" s="47" t="s">
        <v>246</v>
      </c>
      <c r="H40" s="51" t="s">
        <v>272</v>
      </c>
      <c r="I40" s="51"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9474-7571-4EB8-AF29-E7C74AC91F5C}">
  <dimension ref="A1:C17"/>
  <sheetViews>
    <sheetView workbookViewId="0">
      <pane ySplit="1" topLeftCell="A2" activePane="bottomLeft" state="frozen"/>
      <selection pane="bottomLeft" activeCell="E8" sqref="E8"/>
    </sheetView>
  </sheetViews>
  <sheetFormatPr baseColWidth="10" defaultColWidth="8.7265625" defaultRowHeight="14.5"/>
  <cols>
    <col min="1" max="1" width="13.26953125" customWidth="1"/>
    <col min="2" max="2" width="82.7265625" customWidth="1"/>
    <col min="3" max="3" width="40.7265625" bestFit="1" customWidth="1"/>
  </cols>
  <sheetData>
    <row r="1" spans="1:3">
      <c r="A1" s="45" t="s">
        <v>341</v>
      </c>
      <c r="B1" s="45" t="s">
        <v>342</v>
      </c>
      <c r="C1" s="60" t="s">
        <v>343</v>
      </c>
    </row>
    <row r="2" spans="1:3">
      <c r="A2" s="50" t="s">
        <v>167</v>
      </c>
      <c r="B2" s="50" t="s">
        <v>344</v>
      </c>
      <c r="C2" s="50" t="s">
        <v>345</v>
      </c>
    </row>
    <row r="3" spans="1:3">
      <c r="A3" s="50" t="s">
        <v>346</v>
      </c>
      <c r="B3" s="50" t="s">
        <v>347</v>
      </c>
      <c r="C3" s="50" t="s">
        <v>348</v>
      </c>
    </row>
    <row r="4" spans="1:3">
      <c r="A4" s="50" t="s">
        <v>349</v>
      </c>
      <c r="B4" s="50" t="s">
        <v>347</v>
      </c>
      <c r="C4" s="50" t="s">
        <v>350</v>
      </c>
    </row>
    <row r="5" spans="1:3">
      <c r="A5" s="50" t="s">
        <v>231</v>
      </c>
      <c r="B5" s="50" t="s">
        <v>351</v>
      </c>
      <c r="C5" s="50" t="s">
        <v>352</v>
      </c>
    </row>
    <row r="6" spans="1:3">
      <c r="A6" s="49" t="s">
        <v>353</v>
      </c>
      <c r="B6" s="49" t="s">
        <v>354</v>
      </c>
      <c r="C6" s="49" t="s">
        <v>355</v>
      </c>
    </row>
    <row r="7" spans="1:3">
      <c r="A7" s="154" t="s">
        <v>356</v>
      </c>
      <c r="B7" s="154" t="s">
        <v>357</v>
      </c>
      <c r="C7" s="154" t="s">
        <v>358</v>
      </c>
    </row>
    <row r="8" spans="1:3">
      <c r="A8" s="3" t="s">
        <v>359</v>
      </c>
      <c r="B8" s="3" t="s">
        <v>360</v>
      </c>
      <c r="C8" s="3" t="s">
        <v>355</v>
      </c>
    </row>
    <row r="9" spans="1:3">
      <c r="A9" s="21" t="s">
        <v>287</v>
      </c>
      <c r="B9" s="21" t="s">
        <v>361</v>
      </c>
      <c r="C9" s="21" t="s">
        <v>348</v>
      </c>
    </row>
    <row r="10" spans="1:3">
      <c r="A10" s="25" t="s">
        <v>290</v>
      </c>
      <c r="B10" s="25" t="s">
        <v>362</v>
      </c>
      <c r="C10" s="25" t="s">
        <v>348</v>
      </c>
    </row>
    <row r="11" spans="1:3">
      <c r="A11" s="25" t="s">
        <v>293</v>
      </c>
      <c r="B11" s="25" t="s">
        <v>363</v>
      </c>
      <c r="C11" s="25" t="s">
        <v>348</v>
      </c>
    </row>
    <row r="12" spans="1:3">
      <c r="A12" s="23" t="s">
        <v>364</v>
      </c>
      <c r="B12" s="23" t="s">
        <v>365</v>
      </c>
      <c r="C12" s="23" t="s">
        <v>348</v>
      </c>
    </row>
    <row r="13" spans="1:3">
      <c r="A13" s="23" t="s">
        <v>366</v>
      </c>
      <c r="B13" s="23" t="s">
        <v>367</v>
      </c>
      <c r="C13" s="23" t="s">
        <v>348</v>
      </c>
    </row>
    <row r="14" spans="1:3">
      <c r="A14" s="23" t="s">
        <v>368</v>
      </c>
      <c r="B14" s="23" t="s">
        <v>369</v>
      </c>
      <c r="C14" s="23" t="s">
        <v>348</v>
      </c>
    </row>
    <row r="15" spans="1:3">
      <c r="A15" s="51" t="s">
        <v>337</v>
      </c>
      <c r="B15" s="51" t="s">
        <v>370</v>
      </c>
      <c r="C15" s="51" t="s">
        <v>348</v>
      </c>
    </row>
    <row r="16" spans="1:3">
      <c r="A16" s="21" t="s">
        <v>371</v>
      </c>
      <c r="B16" s="21" t="s">
        <v>372</v>
      </c>
      <c r="C16" s="21" t="s">
        <v>348</v>
      </c>
    </row>
    <row r="17" spans="1:3">
      <c r="A17" s="21" t="s">
        <v>373</v>
      </c>
      <c r="B17" s="21" t="s">
        <v>374</v>
      </c>
      <c r="C17" s="21" t="s">
        <v>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8FC4-016A-49B4-9050-254146F5DBEC}">
  <dimension ref="A1:H40"/>
  <sheetViews>
    <sheetView workbookViewId="0">
      <pane ySplit="1" topLeftCell="A2" activePane="bottomLeft" state="frozen"/>
      <selection pane="bottomLeft" activeCell="E8" sqref="E8"/>
    </sheetView>
  </sheetViews>
  <sheetFormatPr baseColWidth="10" defaultColWidth="8.7265625" defaultRowHeight="14.5"/>
  <cols>
    <col min="2" max="2" width="10.7265625" bestFit="1" customWidth="1"/>
    <col min="5" max="5" width="9.81640625" bestFit="1" customWidth="1"/>
    <col min="6" max="6" width="10.1796875" bestFit="1" customWidth="1"/>
    <col min="8" max="8" width="82.7265625" customWidth="1"/>
  </cols>
  <sheetData>
    <row r="1" spans="1:8">
      <c r="A1" s="52" t="s">
        <v>22</v>
      </c>
      <c r="B1" s="52" t="s">
        <v>50</v>
      </c>
      <c r="C1" s="53" t="s">
        <v>375</v>
      </c>
      <c r="D1" s="53" t="s">
        <v>376</v>
      </c>
      <c r="E1" s="53" t="s">
        <v>377</v>
      </c>
      <c r="F1" s="53" t="s">
        <v>378</v>
      </c>
      <c r="G1" s="53" t="s">
        <v>244</v>
      </c>
      <c r="H1" s="54" t="s">
        <v>52</v>
      </c>
    </row>
    <row r="2" spans="1:8">
      <c r="A2" s="77" t="s">
        <v>149</v>
      </c>
      <c r="B2" s="69" t="s">
        <v>19</v>
      </c>
      <c r="C2" s="47" t="s">
        <v>245</v>
      </c>
      <c r="D2" s="47">
        <v>1</v>
      </c>
      <c r="E2" s="47">
        <v>3</v>
      </c>
      <c r="F2" s="47"/>
      <c r="G2" s="47"/>
      <c r="H2" s="47" t="s">
        <v>247</v>
      </c>
    </row>
    <row r="3" spans="1:8">
      <c r="A3" s="77" t="s">
        <v>149</v>
      </c>
      <c r="B3" s="70" t="s">
        <v>248</v>
      </c>
      <c r="C3" s="48" t="s">
        <v>249</v>
      </c>
      <c r="D3" s="48">
        <v>1</v>
      </c>
      <c r="E3" s="48">
        <v>3</v>
      </c>
      <c r="F3" s="48"/>
      <c r="G3" s="48"/>
      <c r="H3" s="48" t="s">
        <v>250</v>
      </c>
    </row>
    <row r="4" spans="1:8">
      <c r="A4" s="77" t="s">
        <v>149</v>
      </c>
      <c r="B4" s="71" t="s">
        <v>172</v>
      </c>
      <c r="C4" s="49" t="s">
        <v>172</v>
      </c>
      <c r="D4" s="49">
        <v>1</v>
      </c>
      <c r="E4" s="49">
        <v>3</v>
      </c>
      <c r="F4" s="49"/>
      <c r="G4" s="49"/>
      <c r="H4" s="49" t="s">
        <v>251</v>
      </c>
    </row>
    <row r="5" spans="1:8">
      <c r="A5" s="77" t="s">
        <v>149</v>
      </c>
      <c r="B5" s="69" t="s">
        <v>17</v>
      </c>
      <c r="C5" s="47" t="s">
        <v>245</v>
      </c>
      <c r="D5" s="47">
        <v>1</v>
      </c>
      <c r="E5" s="47">
        <v>5</v>
      </c>
      <c r="F5" s="47"/>
      <c r="G5" s="47"/>
      <c r="H5" s="47" t="s">
        <v>252</v>
      </c>
    </row>
    <row r="6" spans="1:8">
      <c r="A6" s="77" t="s">
        <v>149</v>
      </c>
      <c r="B6" s="70" t="s">
        <v>253</v>
      </c>
      <c r="C6" s="48" t="s">
        <v>249</v>
      </c>
      <c r="D6" s="48">
        <v>1</v>
      </c>
      <c r="E6" s="48">
        <v>5</v>
      </c>
      <c r="F6" s="48"/>
      <c r="G6" s="48"/>
      <c r="H6" s="48" t="s">
        <v>254</v>
      </c>
    </row>
    <row r="7" spans="1:8">
      <c r="A7" s="77" t="s">
        <v>149</v>
      </c>
      <c r="B7" s="71" t="s">
        <v>255</v>
      </c>
      <c r="C7" s="49" t="s">
        <v>172</v>
      </c>
      <c r="D7" s="49">
        <v>1</v>
      </c>
      <c r="E7" s="49">
        <v>5</v>
      </c>
      <c r="F7" s="49"/>
      <c r="G7" s="49"/>
      <c r="H7" s="49" t="s">
        <v>256</v>
      </c>
    </row>
    <row r="8" spans="1:8">
      <c r="A8" s="77" t="s">
        <v>149</v>
      </c>
      <c r="B8" s="69" t="s">
        <v>18</v>
      </c>
      <c r="C8" s="47" t="s">
        <v>245</v>
      </c>
      <c r="D8" s="47">
        <v>2</v>
      </c>
      <c r="E8" s="47">
        <v>7</v>
      </c>
      <c r="F8" s="47"/>
      <c r="G8" s="47"/>
      <c r="H8" s="47" t="s">
        <v>257</v>
      </c>
    </row>
    <row r="9" spans="1:8">
      <c r="A9" s="77" t="s">
        <v>149</v>
      </c>
      <c r="B9" s="70" t="s">
        <v>258</v>
      </c>
      <c r="C9" s="48" t="s">
        <v>249</v>
      </c>
      <c r="D9" s="48">
        <v>2</v>
      </c>
      <c r="E9" s="48">
        <v>7</v>
      </c>
      <c r="F9" s="48"/>
      <c r="G9" s="48"/>
      <c r="H9" s="48" t="s">
        <v>259</v>
      </c>
    </row>
    <row r="10" spans="1:8">
      <c r="A10" s="77" t="s">
        <v>149</v>
      </c>
      <c r="B10" s="71" t="s">
        <v>260</v>
      </c>
      <c r="C10" s="49" t="s">
        <v>172</v>
      </c>
      <c r="D10" s="49">
        <v>2</v>
      </c>
      <c r="E10" s="49">
        <v>7</v>
      </c>
      <c r="F10" s="49"/>
      <c r="G10" s="49"/>
      <c r="H10" s="49" t="s">
        <v>261</v>
      </c>
    </row>
    <row r="11" spans="1:8">
      <c r="A11" s="77" t="s">
        <v>149</v>
      </c>
      <c r="B11" s="72" t="s">
        <v>262</v>
      </c>
      <c r="C11" s="25" t="s">
        <v>263</v>
      </c>
      <c r="D11" s="25">
        <v>3</v>
      </c>
      <c r="E11" s="25">
        <v>8</v>
      </c>
      <c r="F11" s="25"/>
      <c r="G11" s="25"/>
      <c r="H11" s="25" t="s">
        <v>264</v>
      </c>
    </row>
    <row r="12" spans="1:8">
      <c r="A12" s="77" t="s">
        <v>149</v>
      </c>
      <c r="B12" s="73" t="s">
        <v>265</v>
      </c>
      <c r="C12" s="23" t="s">
        <v>266</v>
      </c>
      <c r="D12" s="23">
        <v>3</v>
      </c>
      <c r="E12" s="23">
        <v>8</v>
      </c>
      <c r="F12" s="23"/>
      <c r="G12" s="23"/>
      <c r="H12" s="23" t="s">
        <v>267</v>
      </c>
    </row>
    <row r="13" spans="1:8">
      <c r="A13" s="77" t="s">
        <v>149</v>
      </c>
      <c r="B13" s="74" t="s">
        <v>268</v>
      </c>
      <c r="C13" s="3"/>
      <c r="D13" s="3">
        <v>5</v>
      </c>
      <c r="E13" s="3">
        <v>15</v>
      </c>
      <c r="F13" s="3"/>
      <c r="G13" s="3"/>
      <c r="H13" s="3" t="s">
        <v>269</v>
      </c>
    </row>
    <row r="14" spans="1:8">
      <c r="A14" s="77" t="s">
        <v>149</v>
      </c>
      <c r="B14" s="75" t="s">
        <v>270</v>
      </c>
      <c r="C14" s="50" t="s">
        <v>271</v>
      </c>
      <c r="D14" s="50"/>
      <c r="E14" s="50"/>
      <c r="F14" s="50"/>
      <c r="G14" s="50"/>
      <c r="H14" s="50" t="s">
        <v>273</v>
      </c>
    </row>
    <row r="15" spans="1:8">
      <c r="A15" s="77" t="s">
        <v>149</v>
      </c>
      <c r="B15" s="74" t="s">
        <v>274</v>
      </c>
      <c r="C15" s="3"/>
      <c r="D15" s="3">
        <v>2</v>
      </c>
      <c r="E15" s="3"/>
      <c r="F15" s="3"/>
      <c r="G15" s="3"/>
      <c r="H15" s="3" t="s">
        <v>276</v>
      </c>
    </row>
    <row r="16" spans="1:8">
      <c r="A16" s="77" t="s">
        <v>149</v>
      </c>
      <c r="B16" s="74" t="s">
        <v>277</v>
      </c>
      <c r="C16" s="3"/>
      <c r="D16" s="3">
        <v>1</v>
      </c>
      <c r="E16" s="3"/>
      <c r="F16" s="3"/>
      <c r="G16" s="3">
        <v>2</v>
      </c>
      <c r="H16" s="3" t="s">
        <v>279</v>
      </c>
    </row>
    <row r="17" spans="1:8">
      <c r="A17" s="77" t="s">
        <v>149</v>
      </c>
      <c r="B17" s="74" t="s">
        <v>280</v>
      </c>
      <c r="C17" s="3"/>
      <c r="D17" s="3">
        <v>1</v>
      </c>
      <c r="E17" s="3"/>
      <c r="F17" s="3"/>
      <c r="G17" s="3">
        <v>2</v>
      </c>
      <c r="H17" s="3" t="s">
        <v>282</v>
      </c>
    </row>
    <row r="18" spans="1:8">
      <c r="A18" s="77" t="s">
        <v>149</v>
      </c>
      <c r="B18" s="74" t="s">
        <v>283</v>
      </c>
      <c r="C18" s="3"/>
      <c r="D18" s="3">
        <v>3</v>
      </c>
      <c r="E18" s="3"/>
      <c r="F18" s="3"/>
      <c r="G18" s="3"/>
      <c r="H18" s="94" t="s">
        <v>285</v>
      </c>
    </row>
    <row r="19" spans="1:8">
      <c r="A19" s="78" t="s">
        <v>286</v>
      </c>
      <c r="B19" s="74" t="s">
        <v>287</v>
      </c>
      <c r="C19" s="3"/>
      <c r="D19" s="3">
        <v>2</v>
      </c>
      <c r="E19" s="3"/>
      <c r="F19" s="3"/>
      <c r="G19" s="27">
        <v>3</v>
      </c>
      <c r="H19" s="3" t="s">
        <v>289</v>
      </c>
    </row>
    <row r="20" spans="1:8">
      <c r="A20" s="78" t="s">
        <v>286</v>
      </c>
      <c r="B20" s="74" t="s">
        <v>290</v>
      </c>
      <c r="C20" s="3"/>
      <c r="D20" s="3">
        <v>2</v>
      </c>
      <c r="E20" s="3"/>
      <c r="F20" s="3"/>
      <c r="G20" s="27">
        <v>2</v>
      </c>
      <c r="H20" s="3" t="s">
        <v>362</v>
      </c>
    </row>
    <row r="21" spans="1:8">
      <c r="A21" s="78" t="s">
        <v>286</v>
      </c>
      <c r="B21" s="74" t="s">
        <v>293</v>
      </c>
      <c r="C21" s="3"/>
      <c r="D21" s="3">
        <v>1</v>
      </c>
      <c r="E21" s="3"/>
      <c r="F21" s="3"/>
      <c r="G21" s="27">
        <v>2</v>
      </c>
      <c r="H21" s="3" t="s">
        <v>363</v>
      </c>
    </row>
    <row r="22" spans="1:8">
      <c r="A22" s="78" t="s">
        <v>286</v>
      </c>
      <c r="B22" s="74" t="s">
        <v>296</v>
      </c>
      <c r="C22" s="3"/>
      <c r="D22" s="3">
        <v>1</v>
      </c>
      <c r="E22" s="3"/>
      <c r="F22" s="3"/>
      <c r="G22" s="3"/>
      <c r="H22" s="61" t="s">
        <v>298</v>
      </c>
    </row>
    <row r="23" spans="1:8">
      <c r="A23" s="77" t="s">
        <v>149</v>
      </c>
      <c r="B23" s="74" t="s">
        <v>299</v>
      </c>
      <c r="C23" s="3"/>
      <c r="D23" s="3">
        <v>1</v>
      </c>
      <c r="E23" s="3"/>
      <c r="F23" s="3"/>
      <c r="G23" s="3"/>
      <c r="H23" s="3" t="s">
        <v>301</v>
      </c>
    </row>
    <row r="24" spans="1:8">
      <c r="A24" s="77" t="s">
        <v>149</v>
      </c>
      <c r="B24" s="74" t="s">
        <v>302</v>
      </c>
      <c r="C24" s="3"/>
      <c r="D24" s="3">
        <v>2</v>
      </c>
      <c r="E24" s="3"/>
      <c r="F24" s="3"/>
      <c r="G24" s="3"/>
      <c r="H24" s="3" t="s">
        <v>304</v>
      </c>
    </row>
    <row r="25" spans="1:8">
      <c r="A25" s="78" t="s">
        <v>286</v>
      </c>
      <c r="B25" s="76" t="s">
        <v>305</v>
      </c>
      <c r="C25" s="51" t="s">
        <v>306</v>
      </c>
      <c r="D25" s="51">
        <v>1</v>
      </c>
      <c r="E25" s="51"/>
      <c r="F25" s="51">
        <v>3</v>
      </c>
      <c r="G25" s="51"/>
      <c r="H25" s="51" t="s">
        <v>307</v>
      </c>
    </row>
    <row r="26" spans="1:8">
      <c r="A26" s="78" t="s">
        <v>286</v>
      </c>
      <c r="B26" s="76" t="s">
        <v>308</v>
      </c>
      <c r="C26" s="51" t="s">
        <v>306</v>
      </c>
      <c r="D26" s="51">
        <v>1</v>
      </c>
      <c r="E26" s="51"/>
      <c r="F26" s="51">
        <v>2</v>
      </c>
      <c r="G26" s="51">
        <v>3</v>
      </c>
      <c r="H26" s="51" t="s">
        <v>310</v>
      </c>
    </row>
    <row r="27" spans="1:8">
      <c r="A27" s="77" t="s">
        <v>149</v>
      </c>
      <c r="B27" s="76" t="s">
        <v>311</v>
      </c>
      <c r="C27" s="51" t="s">
        <v>306</v>
      </c>
      <c r="D27" s="51">
        <v>1</v>
      </c>
      <c r="E27" s="51">
        <v>3</v>
      </c>
      <c r="F27" s="51"/>
      <c r="G27" s="51"/>
      <c r="H27" s="51" t="s">
        <v>312</v>
      </c>
    </row>
    <row r="28" spans="1:8">
      <c r="A28" s="78" t="s">
        <v>286</v>
      </c>
      <c r="B28" s="76" t="s">
        <v>313</v>
      </c>
      <c r="C28" s="51" t="s">
        <v>306</v>
      </c>
      <c r="D28" s="51">
        <v>2</v>
      </c>
      <c r="E28" s="51"/>
      <c r="F28" s="51">
        <v>7</v>
      </c>
      <c r="G28" s="51"/>
      <c r="H28" s="51" t="s">
        <v>314</v>
      </c>
    </row>
    <row r="29" spans="1:8">
      <c r="A29" s="78" t="s">
        <v>286</v>
      </c>
      <c r="B29" s="76" t="s">
        <v>315</v>
      </c>
      <c r="C29" s="51" t="s">
        <v>306</v>
      </c>
      <c r="D29" s="51">
        <v>2</v>
      </c>
      <c r="E29" s="51"/>
      <c r="F29" s="51">
        <v>4</v>
      </c>
      <c r="G29" s="51">
        <v>4</v>
      </c>
      <c r="H29" s="51" t="s">
        <v>317</v>
      </c>
    </row>
    <row r="30" spans="1:8">
      <c r="A30" s="77" t="s">
        <v>149</v>
      </c>
      <c r="B30" s="76" t="s">
        <v>318</v>
      </c>
      <c r="C30" s="51" t="s">
        <v>306</v>
      </c>
      <c r="D30" s="51">
        <v>2</v>
      </c>
      <c r="E30" s="51">
        <v>5</v>
      </c>
      <c r="F30" s="51"/>
      <c r="G30" s="51"/>
      <c r="H30" s="51" t="s">
        <v>319</v>
      </c>
    </row>
    <row r="31" spans="1:8">
      <c r="A31" s="78" t="s">
        <v>286</v>
      </c>
      <c r="B31" s="76" t="s">
        <v>320</v>
      </c>
      <c r="C31" s="51" t="s">
        <v>306</v>
      </c>
      <c r="D31" s="51">
        <v>3</v>
      </c>
      <c r="E31" s="51"/>
      <c r="F31" s="51">
        <v>15</v>
      </c>
      <c r="G31" s="51"/>
      <c r="H31" s="51" t="s">
        <v>321</v>
      </c>
    </row>
    <row r="32" spans="1:8">
      <c r="A32" s="78" t="s">
        <v>286</v>
      </c>
      <c r="B32" s="76" t="s">
        <v>322</v>
      </c>
      <c r="C32" s="51" t="s">
        <v>306</v>
      </c>
      <c r="D32" s="51">
        <v>3</v>
      </c>
      <c r="E32" s="51"/>
      <c r="F32" s="51">
        <v>6</v>
      </c>
      <c r="G32" s="51">
        <v>5</v>
      </c>
      <c r="H32" s="51" t="s">
        <v>324</v>
      </c>
    </row>
    <row r="33" spans="1:8">
      <c r="A33" s="77" t="s">
        <v>149</v>
      </c>
      <c r="B33" s="76" t="s">
        <v>325</v>
      </c>
      <c r="C33" s="51" t="s">
        <v>306</v>
      </c>
      <c r="D33" s="51">
        <v>3</v>
      </c>
      <c r="E33" s="51">
        <v>7</v>
      </c>
      <c r="F33" s="51"/>
      <c r="G33" s="51"/>
      <c r="H33" s="51" t="s">
        <v>326</v>
      </c>
    </row>
    <row r="34" spans="1:8">
      <c r="A34" s="78" t="s">
        <v>286</v>
      </c>
      <c r="B34" s="76" t="s">
        <v>327</v>
      </c>
      <c r="C34" s="51" t="s">
        <v>306</v>
      </c>
      <c r="D34" s="51">
        <v>2</v>
      </c>
      <c r="E34" s="51"/>
      <c r="F34" s="51"/>
      <c r="G34" s="51"/>
      <c r="H34" s="51" t="s">
        <v>329</v>
      </c>
    </row>
    <row r="35" spans="1:8">
      <c r="A35" s="78" t="s">
        <v>286</v>
      </c>
      <c r="B35" s="76" t="s">
        <v>330</v>
      </c>
      <c r="C35" s="51" t="s">
        <v>306</v>
      </c>
      <c r="D35" s="51">
        <v>3</v>
      </c>
      <c r="E35" s="51"/>
      <c r="F35" s="51">
        <v>5</v>
      </c>
      <c r="G35" s="51"/>
      <c r="H35" s="51" t="s">
        <v>331</v>
      </c>
    </row>
    <row r="36" spans="1:8">
      <c r="A36" s="78" t="s">
        <v>286</v>
      </c>
      <c r="B36" s="76" t="s">
        <v>332</v>
      </c>
      <c r="C36" s="51" t="s">
        <v>306</v>
      </c>
      <c r="D36" s="51">
        <v>4</v>
      </c>
      <c r="E36" s="51"/>
      <c r="F36" s="51">
        <v>12</v>
      </c>
      <c r="G36" s="51"/>
      <c r="H36" s="51" t="s">
        <v>331</v>
      </c>
    </row>
    <row r="37" spans="1:8">
      <c r="A37" s="78" t="s">
        <v>286</v>
      </c>
      <c r="B37" s="76" t="s">
        <v>333</v>
      </c>
      <c r="C37" s="51" t="s">
        <v>306</v>
      </c>
      <c r="D37" s="51">
        <v>5</v>
      </c>
      <c r="E37" s="51"/>
      <c r="F37" s="51">
        <v>20</v>
      </c>
      <c r="G37" s="51"/>
      <c r="H37" s="51" t="s">
        <v>331</v>
      </c>
    </row>
    <row r="38" spans="1:8">
      <c r="A38" s="78" t="s">
        <v>286</v>
      </c>
      <c r="B38" s="76" t="s">
        <v>334</v>
      </c>
      <c r="C38" s="51" t="s">
        <v>306</v>
      </c>
      <c r="D38" s="51">
        <v>2</v>
      </c>
      <c r="E38" s="51"/>
      <c r="F38" s="51"/>
      <c r="G38" s="51"/>
      <c r="H38" s="51" t="s">
        <v>336</v>
      </c>
    </row>
    <row r="39" spans="1:8">
      <c r="A39" s="78" t="s">
        <v>286</v>
      </c>
      <c r="B39" s="76" t="s">
        <v>337</v>
      </c>
      <c r="C39" s="51" t="s">
        <v>306</v>
      </c>
      <c r="D39" s="51">
        <v>1</v>
      </c>
      <c r="E39" s="51"/>
      <c r="F39" s="51"/>
      <c r="G39" s="51">
        <v>3</v>
      </c>
      <c r="H39" s="51" t="s">
        <v>339</v>
      </c>
    </row>
    <row r="40" spans="1:8">
      <c r="A40" s="77" t="s">
        <v>149</v>
      </c>
      <c r="B40" s="76" t="s">
        <v>175</v>
      </c>
      <c r="C40" s="51" t="s">
        <v>306</v>
      </c>
      <c r="D40" s="51">
        <v>4</v>
      </c>
      <c r="E40" s="51">
        <v>15</v>
      </c>
      <c r="F40" s="51"/>
      <c r="G40" s="51"/>
      <c r="H40" s="51"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1493-ACD7-4179-A48F-6767774FF650}">
  <dimension ref="A1:O33"/>
  <sheetViews>
    <sheetView topLeftCell="A10" workbookViewId="0">
      <selection activeCell="A16" sqref="A16"/>
    </sheetView>
  </sheetViews>
  <sheetFormatPr baseColWidth="10" defaultColWidth="8.7265625" defaultRowHeight="14.5"/>
  <cols>
    <col min="1" max="1" width="10.26953125" bestFit="1" customWidth="1"/>
    <col min="3" max="3" width="7.7265625" bestFit="1" customWidth="1"/>
    <col min="4" max="4" width="19.81640625" bestFit="1" customWidth="1"/>
    <col min="5" max="5" width="19.81640625" customWidth="1"/>
    <col min="6" max="6" width="16.1796875" customWidth="1"/>
    <col min="7" max="7" width="3.54296875" bestFit="1" customWidth="1"/>
    <col min="8" max="8" width="6.26953125" bestFit="1" customWidth="1"/>
    <col min="9" max="9" width="4.54296875" bestFit="1" customWidth="1"/>
    <col min="10" max="10" width="11" customWidth="1"/>
    <col min="11" max="11" width="6.54296875" bestFit="1" customWidth="1"/>
    <col min="12" max="12" width="18.453125" customWidth="1"/>
    <col min="13" max="13" width="14.453125" customWidth="1"/>
    <col min="14" max="14" width="79.1796875" customWidth="1"/>
    <col min="15" max="15" width="16.7265625" bestFit="1" customWidth="1"/>
  </cols>
  <sheetData>
    <row r="1" spans="1:15">
      <c r="A1" s="52" t="s">
        <v>144</v>
      </c>
      <c r="B1" s="52" t="s">
        <v>379</v>
      </c>
      <c r="C1" s="52" t="s">
        <v>22</v>
      </c>
      <c r="D1" s="52" t="s">
        <v>50</v>
      </c>
      <c r="E1" s="53" t="s">
        <v>380</v>
      </c>
      <c r="F1" s="53" t="s">
        <v>381</v>
      </c>
      <c r="G1" s="53" t="s">
        <v>30</v>
      </c>
      <c r="H1" s="53" t="s">
        <v>21</v>
      </c>
      <c r="I1" s="53" t="s">
        <v>0</v>
      </c>
      <c r="J1" s="53" t="s">
        <v>382</v>
      </c>
      <c r="K1" s="53" t="s">
        <v>244</v>
      </c>
      <c r="L1" s="108" t="s">
        <v>375</v>
      </c>
      <c r="M1" s="108" t="s">
        <v>383</v>
      </c>
      <c r="N1" s="54" t="s">
        <v>342</v>
      </c>
      <c r="O1" s="54" t="s">
        <v>384</v>
      </c>
    </row>
    <row r="2" spans="1:15">
      <c r="A2" s="3" t="s">
        <v>11</v>
      </c>
      <c r="B2" s="3"/>
      <c r="C2" s="120" t="s">
        <v>149</v>
      </c>
      <c r="D2" s="3" t="s">
        <v>385</v>
      </c>
      <c r="E2" s="3" t="s">
        <v>386</v>
      </c>
      <c r="F2" s="3">
        <v>1</v>
      </c>
      <c r="G2" s="19">
        <v>1</v>
      </c>
      <c r="H2" s="19"/>
      <c r="I2" s="19">
        <v>3</v>
      </c>
      <c r="J2" s="19"/>
      <c r="K2" s="19"/>
      <c r="L2" s="19"/>
      <c r="M2" s="19"/>
      <c r="N2" s="3" t="s">
        <v>387</v>
      </c>
      <c r="O2" s="3" t="s">
        <v>388</v>
      </c>
    </row>
    <row r="3" spans="1:15">
      <c r="A3" s="3" t="s">
        <v>11</v>
      </c>
      <c r="B3" s="3"/>
      <c r="C3" s="120" t="s">
        <v>149</v>
      </c>
      <c r="D3" s="3" t="s">
        <v>389</v>
      </c>
      <c r="E3" s="3" t="s">
        <v>386</v>
      </c>
      <c r="F3" s="3"/>
      <c r="G3" s="19"/>
      <c r="H3" s="19">
        <v>1</v>
      </c>
      <c r="I3" s="19"/>
      <c r="J3" s="19" t="s">
        <v>371</v>
      </c>
      <c r="K3" s="19"/>
      <c r="L3" s="19"/>
      <c r="M3" s="19"/>
      <c r="N3" s="3" t="s">
        <v>390</v>
      </c>
      <c r="O3" s="3" t="s">
        <v>391</v>
      </c>
    </row>
    <row r="4" spans="1:15">
      <c r="A4" s="3" t="s">
        <v>11</v>
      </c>
      <c r="B4" s="3"/>
      <c r="C4" s="120" t="s">
        <v>149</v>
      </c>
      <c r="D4" s="94" t="s">
        <v>226</v>
      </c>
      <c r="E4" s="3" t="s">
        <v>386</v>
      </c>
      <c r="F4" s="94">
        <v>1</v>
      </c>
      <c r="G4" s="118">
        <v>1</v>
      </c>
      <c r="H4" s="118"/>
      <c r="I4" s="118">
        <v>4</v>
      </c>
      <c r="J4" s="118"/>
      <c r="K4" s="118"/>
      <c r="L4" s="118"/>
      <c r="M4" s="118" t="s">
        <v>167</v>
      </c>
      <c r="N4" s="94" t="s">
        <v>392</v>
      </c>
      <c r="O4" s="94"/>
    </row>
    <row r="5" spans="1:15">
      <c r="A5" s="3" t="s">
        <v>11</v>
      </c>
      <c r="B5" s="3"/>
      <c r="C5" s="121" t="s">
        <v>149</v>
      </c>
      <c r="D5" s="3" t="s">
        <v>227</v>
      </c>
      <c r="E5" s="3" t="s">
        <v>393</v>
      </c>
      <c r="F5" s="3" t="s">
        <v>394</v>
      </c>
      <c r="G5" s="19">
        <v>2</v>
      </c>
      <c r="H5" s="19"/>
      <c r="I5" s="19"/>
      <c r="J5" s="19"/>
      <c r="K5" s="19"/>
      <c r="L5" s="19"/>
      <c r="M5" s="19"/>
      <c r="N5" s="3" t="s">
        <v>395</v>
      </c>
      <c r="O5" s="3"/>
    </row>
    <row r="6" spans="1:15">
      <c r="A6" s="3" t="s">
        <v>11</v>
      </c>
      <c r="B6" s="3"/>
      <c r="C6" s="121" t="s">
        <v>149</v>
      </c>
      <c r="D6" s="3" t="s">
        <v>228</v>
      </c>
      <c r="E6" s="3" t="s">
        <v>386</v>
      </c>
      <c r="F6" s="3">
        <v>1</v>
      </c>
      <c r="G6" s="19">
        <v>2</v>
      </c>
      <c r="H6" s="19"/>
      <c r="I6" s="19"/>
      <c r="J6" s="19"/>
      <c r="K6" s="19"/>
      <c r="L6" s="19"/>
      <c r="M6" s="19"/>
      <c r="N6" s="3" t="s">
        <v>396</v>
      </c>
      <c r="O6" s="3"/>
    </row>
    <row r="7" spans="1:15">
      <c r="A7" s="3" t="s">
        <v>11</v>
      </c>
      <c r="B7" s="3"/>
      <c r="C7" s="122" t="s">
        <v>286</v>
      </c>
      <c r="D7" s="3" t="s">
        <v>397</v>
      </c>
      <c r="E7" s="3" t="s">
        <v>386</v>
      </c>
      <c r="F7" s="3"/>
      <c r="G7" s="19">
        <v>1</v>
      </c>
      <c r="H7" s="19"/>
      <c r="I7" s="19"/>
      <c r="J7" s="19" t="s">
        <v>371</v>
      </c>
      <c r="K7" s="19" t="s">
        <v>398</v>
      </c>
      <c r="L7" s="19"/>
      <c r="M7" s="19"/>
      <c r="N7" s="3"/>
      <c r="O7" s="3" t="s">
        <v>399</v>
      </c>
    </row>
    <row r="8" spans="1:15">
      <c r="A8" s="3" t="s">
        <v>11</v>
      </c>
      <c r="B8" s="3"/>
      <c r="C8" s="121" t="s">
        <v>149</v>
      </c>
      <c r="D8" s="3" t="s">
        <v>400</v>
      </c>
      <c r="E8" s="3" t="s">
        <v>386</v>
      </c>
      <c r="F8" s="3">
        <v>1</v>
      </c>
      <c r="G8" s="19">
        <v>2</v>
      </c>
      <c r="H8" s="19"/>
      <c r="I8" s="19"/>
      <c r="J8" s="19"/>
      <c r="K8" s="19"/>
      <c r="L8" s="19"/>
      <c r="M8" s="19"/>
      <c r="N8" s="3" t="s">
        <v>401</v>
      </c>
      <c r="O8" s="3"/>
    </row>
    <row r="9" spans="1:15">
      <c r="A9" s="3" t="s">
        <v>11</v>
      </c>
      <c r="B9" s="3" t="s">
        <v>402</v>
      </c>
      <c r="C9" s="122" t="s">
        <v>286</v>
      </c>
      <c r="D9" s="3" t="s">
        <v>403</v>
      </c>
      <c r="E9" s="3" t="s">
        <v>386</v>
      </c>
      <c r="F9" s="3"/>
      <c r="G9" s="19">
        <v>2</v>
      </c>
      <c r="H9" s="19"/>
      <c r="I9" s="19"/>
      <c r="J9" s="19" t="s">
        <v>373</v>
      </c>
      <c r="K9" s="19" t="s">
        <v>398</v>
      </c>
      <c r="L9" s="19"/>
      <c r="M9" s="19"/>
      <c r="N9" s="3"/>
      <c r="O9" s="3"/>
    </row>
    <row r="10" spans="1:15">
      <c r="A10" s="3" t="s">
        <v>11</v>
      </c>
      <c r="B10" s="3" t="s">
        <v>402</v>
      </c>
      <c r="C10" s="121" t="s">
        <v>149</v>
      </c>
      <c r="D10" s="3" t="s">
        <v>232</v>
      </c>
      <c r="E10" s="3" t="s">
        <v>386</v>
      </c>
      <c r="F10" s="3"/>
      <c r="G10" s="19">
        <v>2</v>
      </c>
      <c r="H10" s="19"/>
      <c r="I10" s="19"/>
      <c r="J10" s="19"/>
      <c r="K10" s="19"/>
      <c r="L10" s="19" t="s">
        <v>404</v>
      </c>
      <c r="M10" s="19"/>
      <c r="N10" s="3" t="s">
        <v>405</v>
      </c>
      <c r="O10" s="3"/>
    </row>
    <row r="11" spans="1:15">
      <c r="A11" s="3" t="s">
        <v>11</v>
      </c>
      <c r="B11" s="3" t="s">
        <v>406</v>
      </c>
      <c r="C11" s="121" t="s">
        <v>149</v>
      </c>
      <c r="D11" s="3" t="s">
        <v>233</v>
      </c>
      <c r="E11" s="3" t="s">
        <v>386</v>
      </c>
      <c r="F11" s="3">
        <v>1</v>
      </c>
      <c r="G11" s="19">
        <v>2</v>
      </c>
      <c r="H11" s="19"/>
      <c r="I11" s="19"/>
      <c r="J11" s="19"/>
      <c r="K11" s="19"/>
      <c r="L11" s="19" t="s">
        <v>249</v>
      </c>
      <c r="M11" s="19"/>
      <c r="N11" s="41" t="s">
        <v>407</v>
      </c>
      <c r="O11" s="3"/>
    </row>
    <row r="12" spans="1:15">
      <c r="A12" s="3" t="s">
        <v>11</v>
      </c>
      <c r="B12" s="3" t="s">
        <v>406</v>
      </c>
      <c r="C12" s="121" t="s">
        <v>149</v>
      </c>
      <c r="D12" s="3" t="s">
        <v>234</v>
      </c>
      <c r="E12" s="3" t="s">
        <v>386</v>
      </c>
      <c r="F12" s="3">
        <v>2</v>
      </c>
      <c r="G12" s="19">
        <v>2</v>
      </c>
      <c r="H12" s="19"/>
      <c r="I12" s="19"/>
      <c r="J12" s="19"/>
      <c r="K12" s="19"/>
      <c r="L12" s="124"/>
      <c r="M12" s="124"/>
      <c r="N12" s="123" t="s">
        <v>408</v>
      </c>
      <c r="O12" s="74"/>
    </row>
    <row r="13" spans="1:15">
      <c r="A13" s="3" t="s">
        <v>11</v>
      </c>
      <c r="B13" s="3" t="s">
        <v>406</v>
      </c>
      <c r="C13" s="121" t="s">
        <v>149</v>
      </c>
      <c r="D13" s="3" t="s">
        <v>235</v>
      </c>
      <c r="E13" s="3" t="s">
        <v>386</v>
      </c>
      <c r="F13" s="3">
        <v>1</v>
      </c>
      <c r="G13" s="19">
        <v>3</v>
      </c>
      <c r="H13" s="19"/>
      <c r="I13" s="19"/>
      <c r="J13" s="19"/>
      <c r="K13" s="19"/>
      <c r="L13" s="124" t="s">
        <v>249</v>
      </c>
      <c r="M13" s="124" t="s">
        <v>409</v>
      </c>
      <c r="N13" s="123" t="s">
        <v>410</v>
      </c>
      <c r="O13" s="74"/>
    </row>
    <row r="14" spans="1:15">
      <c r="A14" s="3" t="s">
        <v>11</v>
      </c>
      <c r="B14" s="3" t="s">
        <v>406</v>
      </c>
      <c r="C14" s="121" t="s">
        <v>149</v>
      </c>
      <c r="D14" s="3" t="s">
        <v>236</v>
      </c>
      <c r="E14" s="3" t="s">
        <v>386</v>
      </c>
      <c r="F14" s="3"/>
      <c r="G14" s="19">
        <v>2</v>
      </c>
      <c r="H14" s="19"/>
      <c r="I14" s="19"/>
      <c r="J14" s="19"/>
      <c r="K14" s="19"/>
      <c r="L14" s="124"/>
      <c r="M14" s="124"/>
      <c r="N14" s="3" t="s">
        <v>411</v>
      </c>
      <c r="O14" s="74"/>
    </row>
    <row r="15" spans="1:15">
      <c r="A15" s="94" t="s">
        <v>11</v>
      </c>
      <c r="B15" s="94" t="s">
        <v>406</v>
      </c>
      <c r="C15" s="125" t="s">
        <v>149</v>
      </c>
      <c r="D15" s="94" t="s">
        <v>237</v>
      </c>
      <c r="E15" s="3" t="s">
        <v>386</v>
      </c>
      <c r="F15" s="94"/>
      <c r="G15" s="118">
        <v>2</v>
      </c>
      <c r="H15" s="118"/>
      <c r="I15" s="118"/>
      <c r="J15" s="118"/>
      <c r="K15" s="118"/>
      <c r="L15" s="126"/>
      <c r="M15" s="126"/>
      <c r="N15" s="127" t="s">
        <v>412</v>
      </c>
      <c r="O15" s="128"/>
    </row>
    <row r="16" spans="1:15">
      <c r="A16" s="3" t="s">
        <v>413</v>
      </c>
      <c r="B16" s="3"/>
      <c r="C16" s="125" t="s">
        <v>149</v>
      </c>
      <c r="D16" s="3" t="s">
        <v>414</v>
      </c>
      <c r="E16" s="3" t="s">
        <v>386</v>
      </c>
      <c r="F16" s="3"/>
      <c r="G16" s="19">
        <v>2</v>
      </c>
      <c r="H16" s="19"/>
      <c r="I16" s="19"/>
      <c r="J16" s="19"/>
      <c r="K16" s="19"/>
      <c r="L16" s="19"/>
      <c r="M16" s="19"/>
      <c r="N16" s="3" t="s">
        <v>415</v>
      </c>
      <c r="O16" s="3"/>
    </row>
    <row r="17" spans="1:15">
      <c r="A17" s="3" t="s">
        <v>413</v>
      </c>
      <c r="B17" s="3"/>
      <c r="C17" s="125" t="s">
        <v>149</v>
      </c>
      <c r="D17" s="3" t="s">
        <v>416</v>
      </c>
      <c r="E17" s="3" t="s">
        <v>386</v>
      </c>
      <c r="F17" s="3">
        <v>1</v>
      </c>
      <c r="G17" s="19">
        <v>0</v>
      </c>
      <c r="H17" s="19"/>
      <c r="I17" s="19"/>
      <c r="J17" s="19"/>
      <c r="K17" s="19"/>
      <c r="L17" s="19"/>
      <c r="M17" s="19"/>
      <c r="N17" s="3" t="s">
        <v>417</v>
      </c>
      <c r="O17" s="3"/>
    </row>
    <row r="18" spans="1:15">
      <c r="A18" s="3" t="s">
        <v>413</v>
      </c>
      <c r="B18" s="3"/>
      <c r="C18" s="125" t="s">
        <v>149</v>
      </c>
      <c r="D18" s="3" t="s">
        <v>418</v>
      </c>
      <c r="E18" s="3" t="s">
        <v>386</v>
      </c>
      <c r="F18" s="3">
        <v>1</v>
      </c>
      <c r="G18" s="19">
        <v>2</v>
      </c>
      <c r="H18" s="19"/>
      <c r="I18" s="19"/>
      <c r="J18" s="19"/>
      <c r="K18" s="19"/>
      <c r="L18" s="118"/>
      <c r="M18" s="118" t="s">
        <v>167</v>
      </c>
      <c r="N18" s="3"/>
      <c r="O18" s="3"/>
    </row>
    <row r="19" spans="1:15">
      <c r="A19" s="3" t="s">
        <v>413</v>
      </c>
      <c r="B19" s="3"/>
      <c r="C19" s="125" t="s">
        <v>149</v>
      </c>
      <c r="D19" s="3" t="s">
        <v>419</v>
      </c>
      <c r="E19" s="3" t="s">
        <v>386</v>
      </c>
      <c r="F19" s="3">
        <v>5</v>
      </c>
      <c r="G19" s="19">
        <v>1</v>
      </c>
      <c r="H19" s="19"/>
      <c r="I19" s="19"/>
      <c r="J19" s="19"/>
      <c r="K19" s="19"/>
      <c r="L19" s="19"/>
      <c r="M19" s="19"/>
      <c r="N19" s="3" t="s">
        <v>420</v>
      </c>
      <c r="O19" s="3"/>
    </row>
    <row r="20" spans="1:15">
      <c r="A20" s="3" t="s">
        <v>413</v>
      </c>
      <c r="B20" s="3"/>
      <c r="C20" s="125" t="s">
        <v>149</v>
      </c>
      <c r="D20" s="3" t="s">
        <v>421</v>
      </c>
      <c r="E20" s="3" t="s">
        <v>386</v>
      </c>
      <c r="F20" s="3">
        <v>1</v>
      </c>
      <c r="G20" s="19">
        <v>2</v>
      </c>
      <c r="H20" s="19"/>
      <c r="I20" s="19"/>
      <c r="J20" s="19"/>
      <c r="K20" s="19"/>
      <c r="L20" s="19"/>
      <c r="M20" s="19" t="s">
        <v>353</v>
      </c>
      <c r="N20" s="3"/>
      <c r="O20" s="3"/>
    </row>
    <row r="21" spans="1:15">
      <c r="A21" s="3" t="s">
        <v>413</v>
      </c>
      <c r="B21" s="3"/>
      <c r="C21" s="122" t="s">
        <v>286</v>
      </c>
      <c r="D21" s="3" t="s">
        <v>422</v>
      </c>
      <c r="E21" s="3" t="s">
        <v>386</v>
      </c>
      <c r="F21" s="3"/>
      <c r="G21" s="19">
        <v>2</v>
      </c>
      <c r="H21" s="19"/>
      <c r="I21" s="19"/>
      <c r="J21" s="19"/>
      <c r="K21" s="19"/>
      <c r="L21" s="19"/>
      <c r="M21" s="19"/>
      <c r="N21" s="3" t="s">
        <v>423</v>
      </c>
      <c r="O21" s="3"/>
    </row>
    <row r="22" spans="1:15">
      <c r="A22" s="3" t="s">
        <v>413</v>
      </c>
      <c r="B22" s="3"/>
      <c r="C22" s="125" t="s">
        <v>149</v>
      </c>
      <c r="D22" s="3" t="s">
        <v>424</v>
      </c>
      <c r="E22" s="3" t="s">
        <v>386</v>
      </c>
      <c r="F22" s="3">
        <v>1</v>
      </c>
      <c r="G22" s="19">
        <v>2</v>
      </c>
      <c r="H22" s="19"/>
      <c r="I22" s="19"/>
      <c r="J22" s="19"/>
      <c r="K22" s="19"/>
      <c r="L22" s="19"/>
      <c r="M22" s="19"/>
      <c r="N22" s="3"/>
      <c r="O22" s="3"/>
    </row>
    <row r="23" spans="1:15">
      <c r="A23" s="3" t="s">
        <v>413</v>
      </c>
      <c r="B23" s="3"/>
      <c r="C23" s="125" t="s">
        <v>149</v>
      </c>
      <c r="D23" s="3" t="s">
        <v>425</v>
      </c>
      <c r="E23" s="3" t="s">
        <v>386</v>
      </c>
      <c r="F23" s="3">
        <v>1</v>
      </c>
      <c r="G23" s="19">
        <v>2</v>
      </c>
      <c r="H23" s="19"/>
      <c r="I23" s="19"/>
      <c r="J23" s="19"/>
      <c r="K23" s="19"/>
      <c r="L23" s="19"/>
      <c r="M23" s="19"/>
      <c r="N23" s="3"/>
      <c r="O23" s="3"/>
    </row>
    <row r="24" spans="1:15">
      <c r="A24" s="3" t="s">
        <v>413</v>
      </c>
      <c r="B24" s="3"/>
      <c r="C24" s="125" t="s">
        <v>149</v>
      </c>
      <c r="D24" s="3" t="s">
        <v>426</v>
      </c>
      <c r="E24" s="3" t="s">
        <v>386</v>
      </c>
      <c r="F24" s="3">
        <v>3</v>
      </c>
      <c r="G24" s="19">
        <v>3</v>
      </c>
      <c r="H24" s="19"/>
      <c r="I24" s="19"/>
      <c r="J24" s="19"/>
      <c r="K24" s="19"/>
      <c r="L24" s="19"/>
      <c r="M24" s="19"/>
      <c r="N24" s="3" t="s">
        <v>427</v>
      </c>
      <c r="O24" s="3"/>
    </row>
    <row r="25" spans="1:15">
      <c r="A25" s="3" t="s">
        <v>413</v>
      </c>
      <c r="B25" s="3"/>
      <c r="C25" s="125" t="s">
        <v>149</v>
      </c>
      <c r="D25" s="3" t="s">
        <v>428</v>
      </c>
      <c r="E25" s="3" t="s">
        <v>386</v>
      </c>
      <c r="F25" s="3"/>
      <c r="G25" s="19">
        <v>2</v>
      </c>
      <c r="H25" s="19"/>
      <c r="I25" s="19"/>
      <c r="J25" s="19"/>
      <c r="K25" s="19"/>
      <c r="L25" s="19"/>
      <c r="M25" s="19"/>
      <c r="N25" s="3" t="s">
        <v>429</v>
      </c>
      <c r="O25" s="3"/>
    </row>
    <row r="26" spans="1:15">
      <c r="A26" s="3" t="s">
        <v>413</v>
      </c>
      <c r="B26" s="3"/>
      <c r="C26" s="125" t="s">
        <v>149</v>
      </c>
      <c r="D26" s="3" t="s">
        <v>430</v>
      </c>
      <c r="E26" s="3" t="s">
        <v>386</v>
      </c>
      <c r="F26" s="3"/>
      <c r="G26" s="19">
        <v>2</v>
      </c>
      <c r="H26" s="19"/>
      <c r="I26" s="19"/>
      <c r="J26" s="19"/>
      <c r="K26" s="19"/>
      <c r="L26" s="19"/>
      <c r="M26" s="19"/>
      <c r="N26" s="3" t="s">
        <v>431</v>
      </c>
      <c r="O26" s="3"/>
    </row>
    <row r="27" spans="1:15">
      <c r="A27" s="3" t="s">
        <v>413</v>
      </c>
      <c r="B27" s="3"/>
      <c r="C27" s="125" t="s">
        <v>149</v>
      </c>
      <c r="D27" s="3" t="s">
        <v>432</v>
      </c>
      <c r="E27" s="3" t="s">
        <v>386</v>
      </c>
      <c r="F27" s="3"/>
      <c r="G27" s="19">
        <v>2</v>
      </c>
      <c r="H27" s="19"/>
      <c r="I27" s="19"/>
      <c r="J27" s="19"/>
      <c r="K27" s="19"/>
      <c r="L27" s="19" t="s">
        <v>249</v>
      </c>
      <c r="M27" s="19" t="s">
        <v>353</v>
      </c>
      <c r="N27" s="3" t="s">
        <v>433</v>
      </c>
      <c r="O27" s="3"/>
    </row>
    <row r="28" spans="1:15">
      <c r="A28" s="3" t="s">
        <v>413</v>
      </c>
      <c r="B28" s="3"/>
      <c r="C28" s="125" t="s">
        <v>149</v>
      </c>
      <c r="D28" s="17" t="s">
        <v>434</v>
      </c>
      <c r="E28" s="3" t="s">
        <v>386</v>
      </c>
      <c r="F28" s="17">
        <v>3</v>
      </c>
      <c r="G28" s="19">
        <v>3</v>
      </c>
      <c r="H28" s="19"/>
      <c r="I28" s="19"/>
      <c r="J28" s="19"/>
      <c r="K28" s="19"/>
      <c r="L28" s="19"/>
      <c r="M28" s="19"/>
      <c r="N28" s="3"/>
      <c r="O28" s="3"/>
    </row>
    <row r="29" spans="1:15">
      <c r="A29" s="3" t="s">
        <v>413</v>
      </c>
      <c r="B29" s="3"/>
      <c r="C29" s="125" t="s">
        <v>149</v>
      </c>
      <c r="D29" s="3" t="s">
        <v>435</v>
      </c>
      <c r="E29" s="3" t="s">
        <v>386</v>
      </c>
      <c r="F29" s="3">
        <v>1</v>
      </c>
      <c r="G29" s="19">
        <v>2</v>
      </c>
      <c r="H29" s="19"/>
      <c r="I29" s="19"/>
      <c r="J29" s="19"/>
      <c r="K29" s="19"/>
      <c r="L29" s="19"/>
      <c r="M29" s="19"/>
      <c r="N29" s="3"/>
      <c r="O29" s="3"/>
    </row>
    <row r="30" spans="1:15">
      <c r="A30" s="3" t="s">
        <v>413</v>
      </c>
      <c r="B30" s="3"/>
      <c r="C30" s="125" t="s">
        <v>149</v>
      </c>
      <c r="D30" s="17" t="s">
        <v>436</v>
      </c>
      <c r="E30" s="3" t="s">
        <v>386</v>
      </c>
      <c r="F30" s="17"/>
      <c r="G30" s="19">
        <v>2</v>
      </c>
      <c r="H30" s="19"/>
      <c r="I30" s="19"/>
      <c r="J30" s="19"/>
      <c r="K30" s="19"/>
      <c r="L30" s="19" t="s">
        <v>271</v>
      </c>
      <c r="M30" s="19"/>
      <c r="N30" s="3" t="s">
        <v>437</v>
      </c>
      <c r="O30" s="3"/>
    </row>
    <row r="31" spans="1:15">
      <c r="A31" s="3" t="s">
        <v>413</v>
      </c>
      <c r="B31" s="3"/>
      <c r="C31" s="125" t="s">
        <v>149</v>
      </c>
      <c r="D31" s="3" t="s">
        <v>438</v>
      </c>
      <c r="E31" s="3" t="s">
        <v>386</v>
      </c>
      <c r="F31" s="3"/>
      <c r="G31" s="19">
        <v>2</v>
      </c>
      <c r="H31" s="19"/>
      <c r="I31" s="19"/>
      <c r="J31" s="19"/>
      <c r="K31" s="19"/>
      <c r="L31" s="19" t="s">
        <v>249</v>
      </c>
      <c r="M31" s="19" t="s">
        <v>353</v>
      </c>
      <c r="N31" s="3" t="s">
        <v>439</v>
      </c>
      <c r="O31" s="3"/>
    </row>
    <row r="32" spans="1:15">
      <c r="A32" s="94" t="s">
        <v>413</v>
      </c>
      <c r="B32" s="94"/>
      <c r="C32" s="125" t="s">
        <v>149</v>
      </c>
      <c r="D32" s="94" t="s">
        <v>440</v>
      </c>
      <c r="E32" s="3" t="s">
        <v>386</v>
      </c>
      <c r="F32" s="94">
        <v>1</v>
      </c>
      <c r="G32" s="118">
        <v>2</v>
      </c>
      <c r="H32" s="118"/>
      <c r="I32" s="118"/>
      <c r="J32" s="118"/>
      <c r="K32" s="118"/>
      <c r="L32" s="118"/>
      <c r="M32" s="118"/>
      <c r="N32" s="94" t="s">
        <v>441</v>
      </c>
      <c r="O32" s="94"/>
    </row>
    <row r="33" spans="1:15">
      <c r="A33" s="3" t="s">
        <v>413</v>
      </c>
      <c r="B33" s="3"/>
      <c r="C33" s="125" t="s">
        <v>149</v>
      </c>
      <c r="D33" s="3" t="s">
        <v>442</v>
      </c>
      <c r="E33" s="3" t="s">
        <v>393</v>
      </c>
      <c r="F33" s="3" t="s">
        <v>443</v>
      </c>
      <c r="G33" s="3">
        <v>2</v>
      </c>
      <c r="H33" s="3"/>
      <c r="I33" s="3"/>
      <c r="J33" s="3"/>
      <c r="K33" s="3"/>
      <c r="L33" s="3"/>
      <c r="M33" s="3"/>
      <c r="N33" s="3"/>
      <c r="O3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B590-2030-4E65-9D5D-5A29BD274FD2}">
  <dimension ref="A2:I60"/>
  <sheetViews>
    <sheetView topLeftCell="A49" workbookViewId="0">
      <selection activeCell="I53" sqref="I53"/>
    </sheetView>
  </sheetViews>
  <sheetFormatPr baseColWidth="10" defaultColWidth="8.7265625" defaultRowHeight="14.5"/>
  <cols>
    <col min="1" max="1" width="8.7265625" bestFit="1" customWidth="1"/>
    <col min="2" max="2" width="9.81640625" bestFit="1" customWidth="1"/>
    <col min="3" max="3" width="8.453125" bestFit="1" customWidth="1"/>
    <col min="4" max="4" width="17.81640625" bestFit="1" customWidth="1"/>
    <col min="5" max="5" width="6" bestFit="1" customWidth="1"/>
    <col min="6" max="6" width="9.453125" bestFit="1" customWidth="1"/>
    <col min="7" max="7" width="7" bestFit="1" customWidth="1"/>
    <col min="8" max="8" width="15.54296875" bestFit="1" customWidth="1"/>
    <col min="9" max="9" width="8.54296875" bestFit="1" customWidth="1"/>
    <col min="10" max="10" width="8.81640625" customWidth="1"/>
  </cols>
  <sheetData>
    <row r="2" spans="1:9">
      <c r="A2" s="52" t="s">
        <v>51</v>
      </c>
      <c r="B2" s="52" t="s">
        <v>151</v>
      </c>
      <c r="C2" s="52" t="s">
        <v>152</v>
      </c>
      <c r="D2" s="52" t="s">
        <v>50</v>
      </c>
      <c r="E2" s="53" t="s">
        <v>153</v>
      </c>
      <c r="F2" s="53" t="s">
        <v>154</v>
      </c>
      <c r="G2" s="52" t="s">
        <v>381</v>
      </c>
      <c r="H2" s="53" t="s">
        <v>444</v>
      </c>
      <c r="I2" s="53" t="s">
        <v>375</v>
      </c>
    </row>
    <row r="3" spans="1:9">
      <c r="A3" s="3" t="s">
        <v>445</v>
      </c>
      <c r="B3" s="3" t="s">
        <v>23</v>
      </c>
      <c r="C3" s="3"/>
      <c r="D3" s="3" t="s">
        <v>56</v>
      </c>
      <c r="E3" s="47">
        <v>2</v>
      </c>
      <c r="F3" s="3"/>
      <c r="G3" s="3">
        <v>1</v>
      </c>
      <c r="H3" s="3"/>
      <c r="I3" s="3"/>
    </row>
    <row r="4" spans="1:9">
      <c r="A4" s="3" t="s">
        <v>445</v>
      </c>
      <c r="B4" s="3" t="s">
        <v>23</v>
      </c>
      <c r="C4" s="3"/>
      <c r="D4" s="3" t="s">
        <v>58</v>
      </c>
      <c r="E4" s="47">
        <v>4</v>
      </c>
      <c r="F4" s="3"/>
      <c r="G4" s="3">
        <v>1</v>
      </c>
      <c r="H4" s="3"/>
      <c r="I4" s="3"/>
    </row>
    <row r="5" spans="1:9">
      <c r="A5" s="3" t="s">
        <v>445</v>
      </c>
      <c r="B5" s="3" t="s">
        <v>23</v>
      </c>
      <c r="C5" s="3"/>
      <c r="D5" s="3" t="s">
        <v>59</v>
      </c>
      <c r="E5" s="47">
        <v>5</v>
      </c>
      <c r="F5" s="3"/>
      <c r="G5" s="3">
        <v>1</v>
      </c>
      <c r="H5" s="3" t="s">
        <v>299</v>
      </c>
      <c r="I5" s="3"/>
    </row>
    <row r="6" spans="1:9">
      <c r="A6" s="3" t="s">
        <v>445</v>
      </c>
      <c r="B6" s="3" t="s">
        <v>23</v>
      </c>
      <c r="C6" s="3"/>
      <c r="D6" s="3" t="s">
        <v>60</v>
      </c>
      <c r="E6" s="47">
        <v>6</v>
      </c>
      <c r="F6" s="3"/>
      <c r="G6" s="3">
        <v>1</v>
      </c>
      <c r="H6" s="3" t="s">
        <v>446</v>
      </c>
      <c r="I6" s="3"/>
    </row>
    <row r="7" spans="1:9">
      <c r="A7" s="3" t="s">
        <v>445</v>
      </c>
      <c r="B7" s="3" t="s">
        <v>23</v>
      </c>
      <c r="C7" s="3"/>
      <c r="D7" s="3" t="s">
        <v>61</v>
      </c>
      <c r="E7" s="47">
        <v>7</v>
      </c>
      <c r="F7" s="3"/>
      <c r="G7" s="3">
        <v>1</v>
      </c>
      <c r="H7" s="3"/>
      <c r="I7" s="3"/>
    </row>
    <row r="8" spans="1:9">
      <c r="A8" s="3" t="s">
        <v>445</v>
      </c>
      <c r="B8" s="3" t="s">
        <v>23</v>
      </c>
      <c r="C8" s="3"/>
      <c r="D8" s="3" t="s">
        <v>62</v>
      </c>
      <c r="E8" s="47">
        <v>8</v>
      </c>
      <c r="F8" s="3"/>
      <c r="G8" s="3">
        <v>1</v>
      </c>
      <c r="H8" s="3"/>
      <c r="I8" s="3"/>
    </row>
    <row r="9" spans="1:9">
      <c r="A9" s="3" t="s">
        <v>445</v>
      </c>
      <c r="B9" s="3" t="s">
        <v>23</v>
      </c>
      <c r="C9" s="3"/>
      <c r="D9" s="3" t="s">
        <v>63</v>
      </c>
      <c r="E9" s="47">
        <v>10</v>
      </c>
      <c r="F9" s="3"/>
      <c r="G9" s="3">
        <v>1</v>
      </c>
      <c r="H9" s="3"/>
      <c r="I9" s="3" t="s">
        <v>271</v>
      </c>
    </row>
    <row r="10" spans="1:9">
      <c r="A10" s="3" t="s">
        <v>445</v>
      </c>
      <c r="B10" s="3" t="s">
        <v>23</v>
      </c>
      <c r="C10" s="3"/>
      <c r="D10" s="3" t="s">
        <v>64</v>
      </c>
      <c r="E10" s="47">
        <v>10</v>
      </c>
      <c r="F10" s="3"/>
      <c r="G10" s="17">
        <v>1</v>
      </c>
      <c r="H10" s="3"/>
      <c r="I10" s="3"/>
    </row>
    <row r="11" spans="1:9">
      <c r="A11" s="3" t="s">
        <v>445</v>
      </c>
      <c r="B11" s="3" t="s">
        <v>23</v>
      </c>
      <c r="C11" s="3"/>
      <c r="D11" s="3" t="s">
        <v>65</v>
      </c>
      <c r="E11" s="47">
        <v>12</v>
      </c>
      <c r="F11" s="3"/>
      <c r="G11" s="3">
        <v>1</v>
      </c>
      <c r="H11" s="3"/>
      <c r="I11" s="3" t="s">
        <v>306</v>
      </c>
    </row>
    <row r="12" spans="1:9">
      <c r="A12" s="3" t="s">
        <v>445</v>
      </c>
      <c r="B12" s="3" t="s">
        <v>23</v>
      </c>
      <c r="C12" s="3"/>
      <c r="D12" s="3" t="s">
        <v>66</v>
      </c>
      <c r="E12" s="47">
        <v>12</v>
      </c>
      <c r="F12" s="3"/>
      <c r="G12" s="3">
        <v>1</v>
      </c>
      <c r="H12" s="3"/>
      <c r="I12" s="3"/>
    </row>
    <row r="13" spans="1:9">
      <c r="A13" s="3" t="s">
        <v>447</v>
      </c>
      <c r="B13" s="3" t="s">
        <v>23</v>
      </c>
      <c r="C13" s="3"/>
      <c r="D13" s="3" t="s">
        <v>67</v>
      </c>
      <c r="E13" s="47">
        <v>1</v>
      </c>
      <c r="F13" s="3"/>
      <c r="G13" s="3">
        <v>1</v>
      </c>
      <c r="H13" s="3"/>
      <c r="I13" s="3"/>
    </row>
    <row r="14" spans="1:9">
      <c r="A14" s="3" t="s">
        <v>447</v>
      </c>
      <c r="B14" s="3" t="s">
        <v>23</v>
      </c>
      <c r="C14" s="3"/>
      <c r="D14" s="3" t="s">
        <v>68</v>
      </c>
      <c r="E14" s="47">
        <v>3</v>
      </c>
      <c r="F14" s="3"/>
      <c r="G14" s="3">
        <v>1</v>
      </c>
      <c r="H14" s="3" t="s">
        <v>277</v>
      </c>
      <c r="I14" s="3"/>
    </row>
    <row r="15" spans="1:9">
      <c r="A15" s="3" t="s">
        <v>447</v>
      </c>
      <c r="B15" s="3" t="s">
        <v>23</v>
      </c>
      <c r="C15" s="3"/>
      <c r="D15" s="3" t="s">
        <v>69</v>
      </c>
      <c r="E15" s="47">
        <v>5</v>
      </c>
      <c r="F15" s="3"/>
      <c r="G15" s="3">
        <v>1</v>
      </c>
      <c r="H15" s="3"/>
      <c r="I15" s="3"/>
    </row>
    <row r="16" spans="1:9">
      <c r="A16" s="3" t="s">
        <v>447</v>
      </c>
      <c r="B16" s="3" t="s">
        <v>23</v>
      </c>
      <c r="C16" s="3"/>
      <c r="D16" s="3" t="s">
        <v>70</v>
      </c>
      <c r="E16" s="47">
        <v>7</v>
      </c>
      <c r="F16" s="3"/>
      <c r="G16" s="3">
        <v>1</v>
      </c>
      <c r="H16" s="3"/>
      <c r="I16" s="3"/>
    </row>
    <row r="17" spans="1:9">
      <c r="A17" s="3" t="s">
        <v>447</v>
      </c>
      <c r="B17" s="3" t="s">
        <v>23</v>
      </c>
      <c r="C17" s="3"/>
      <c r="D17" s="3" t="s">
        <v>71</v>
      </c>
      <c r="E17" s="47">
        <v>9</v>
      </c>
      <c r="F17" s="3"/>
      <c r="G17" s="3">
        <v>1</v>
      </c>
      <c r="H17" s="3" t="s">
        <v>277</v>
      </c>
      <c r="I17" s="3"/>
    </row>
    <row r="18" spans="1:9">
      <c r="A18" s="3" t="s">
        <v>447</v>
      </c>
      <c r="B18" s="3" t="s">
        <v>23</v>
      </c>
      <c r="C18" s="3"/>
      <c r="D18" s="3" t="s">
        <v>72</v>
      </c>
      <c r="E18" s="47">
        <v>11</v>
      </c>
      <c r="F18" s="3"/>
      <c r="G18" s="3">
        <v>1</v>
      </c>
      <c r="H18" s="3"/>
      <c r="I18" s="3" t="s">
        <v>306</v>
      </c>
    </row>
    <row r="19" spans="1:9">
      <c r="A19" s="3" t="s">
        <v>43</v>
      </c>
      <c r="B19" s="3" t="s">
        <v>23</v>
      </c>
      <c r="C19" s="3"/>
      <c r="D19" s="3" t="s">
        <v>43</v>
      </c>
      <c r="E19" s="47">
        <v>3</v>
      </c>
      <c r="F19" s="3"/>
      <c r="G19" s="3">
        <v>1</v>
      </c>
      <c r="H19" s="3"/>
      <c r="I19" s="3"/>
    </row>
    <row r="20" spans="1:9">
      <c r="A20" s="3" t="s">
        <v>43</v>
      </c>
      <c r="B20" s="3" t="s">
        <v>23</v>
      </c>
      <c r="C20" s="3"/>
      <c r="D20" s="3" t="s">
        <v>73</v>
      </c>
      <c r="E20" s="47">
        <v>5</v>
      </c>
      <c r="F20" s="3"/>
      <c r="G20" s="3">
        <v>1</v>
      </c>
      <c r="H20" s="3"/>
      <c r="I20" s="3"/>
    </row>
    <row r="21" spans="1:9">
      <c r="A21" s="3" t="s">
        <v>43</v>
      </c>
      <c r="B21" s="3" t="s">
        <v>23</v>
      </c>
      <c r="C21" s="3"/>
      <c r="D21" s="3" t="s">
        <v>74</v>
      </c>
      <c r="E21" s="47">
        <v>5</v>
      </c>
      <c r="F21" s="3"/>
      <c r="G21" s="3">
        <v>1</v>
      </c>
      <c r="H21" s="3"/>
      <c r="I21" s="3"/>
    </row>
    <row r="22" spans="1:9">
      <c r="A22" s="3" t="s">
        <v>43</v>
      </c>
      <c r="B22" s="3" t="s">
        <v>23</v>
      </c>
      <c r="C22" s="3"/>
      <c r="D22" s="3" t="s">
        <v>75</v>
      </c>
      <c r="E22" s="47">
        <v>7</v>
      </c>
      <c r="F22" s="3"/>
      <c r="G22" s="3">
        <v>1</v>
      </c>
      <c r="H22" s="3"/>
      <c r="I22" s="3"/>
    </row>
    <row r="23" spans="1:9">
      <c r="A23" s="3" t="s">
        <v>43</v>
      </c>
      <c r="B23" s="3" t="s">
        <v>23</v>
      </c>
      <c r="C23" s="3"/>
      <c r="D23" s="3" t="s">
        <v>76</v>
      </c>
      <c r="E23" s="47">
        <v>9</v>
      </c>
      <c r="F23" s="3"/>
      <c r="G23" s="3">
        <v>1</v>
      </c>
      <c r="H23" s="3"/>
      <c r="I23" s="3" t="s">
        <v>172</v>
      </c>
    </row>
    <row r="24" spans="1:9">
      <c r="A24" s="3" t="s">
        <v>43</v>
      </c>
      <c r="B24" s="3" t="s">
        <v>23</v>
      </c>
      <c r="C24" s="3"/>
      <c r="D24" s="3" t="s">
        <v>77</v>
      </c>
      <c r="E24" s="47">
        <v>11</v>
      </c>
      <c r="F24" s="3"/>
      <c r="G24" s="3">
        <v>1</v>
      </c>
      <c r="H24" s="3"/>
      <c r="I24" s="3" t="s">
        <v>245</v>
      </c>
    </row>
    <row r="25" spans="1:9">
      <c r="A25" s="3" t="s">
        <v>448</v>
      </c>
      <c r="B25" s="3" t="s">
        <v>23</v>
      </c>
      <c r="C25" s="3"/>
      <c r="D25" s="3" t="s">
        <v>78</v>
      </c>
      <c r="E25" s="47">
        <v>4</v>
      </c>
      <c r="F25" s="3"/>
      <c r="G25" s="3">
        <v>1</v>
      </c>
      <c r="H25" s="3"/>
      <c r="I25" s="3"/>
    </row>
    <row r="26" spans="1:9">
      <c r="A26" s="3" t="s">
        <v>448</v>
      </c>
      <c r="B26" s="3" t="s">
        <v>23</v>
      </c>
      <c r="C26" s="3"/>
      <c r="D26" s="3" t="s">
        <v>79</v>
      </c>
      <c r="E26" s="47">
        <v>6</v>
      </c>
      <c r="F26" s="3"/>
      <c r="G26" s="3">
        <v>1</v>
      </c>
      <c r="H26" s="3"/>
      <c r="I26" s="3"/>
    </row>
    <row r="27" spans="1:9">
      <c r="A27" s="3" t="s">
        <v>448</v>
      </c>
      <c r="B27" s="3" t="s">
        <v>23</v>
      </c>
      <c r="C27" s="3"/>
      <c r="D27" s="3" t="s">
        <v>80</v>
      </c>
      <c r="E27" s="47">
        <v>6</v>
      </c>
      <c r="F27" s="3"/>
      <c r="G27" s="3">
        <v>1</v>
      </c>
      <c r="H27" s="3" t="s">
        <v>280</v>
      </c>
      <c r="I27" s="3"/>
    </row>
    <row r="28" spans="1:9">
      <c r="A28" s="3" t="s">
        <v>448</v>
      </c>
      <c r="B28" s="3" t="s">
        <v>23</v>
      </c>
      <c r="C28" s="3"/>
      <c r="D28" s="3" t="s">
        <v>81</v>
      </c>
      <c r="E28" s="47">
        <v>8</v>
      </c>
      <c r="F28" s="3"/>
      <c r="G28" s="3">
        <v>1</v>
      </c>
      <c r="H28" s="3"/>
      <c r="I28" s="3"/>
    </row>
    <row r="29" spans="1:9">
      <c r="A29" s="3" t="s">
        <v>448</v>
      </c>
      <c r="B29" s="3" t="s">
        <v>23</v>
      </c>
      <c r="C29" s="3"/>
      <c r="D29" s="3" t="s">
        <v>82</v>
      </c>
      <c r="E29" s="47">
        <v>10</v>
      </c>
      <c r="F29" s="3"/>
      <c r="G29" s="3">
        <v>1</v>
      </c>
      <c r="H29" s="3"/>
      <c r="I29" s="3" t="s">
        <v>172</v>
      </c>
    </row>
    <row r="30" spans="1:9">
      <c r="A30" s="3" t="s">
        <v>448</v>
      </c>
      <c r="B30" s="3" t="s">
        <v>23</v>
      </c>
      <c r="C30" s="3"/>
      <c r="D30" s="3" t="s">
        <v>83</v>
      </c>
      <c r="E30" s="47">
        <v>12</v>
      </c>
      <c r="F30" s="3"/>
      <c r="G30" s="3">
        <v>1</v>
      </c>
      <c r="H30" s="3"/>
      <c r="I30" s="3"/>
    </row>
    <row r="31" spans="1:9">
      <c r="A31" s="3" t="s">
        <v>449</v>
      </c>
      <c r="B31" s="3" t="s">
        <v>23</v>
      </c>
      <c r="C31" s="3" t="s">
        <v>26</v>
      </c>
      <c r="D31" s="3" t="s">
        <v>84</v>
      </c>
      <c r="E31" s="47">
        <v>2</v>
      </c>
      <c r="F31" s="23">
        <v>2</v>
      </c>
      <c r="G31" s="3">
        <v>2</v>
      </c>
      <c r="H31" s="3"/>
      <c r="I31" s="3"/>
    </row>
    <row r="32" spans="1:9">
      <c r="A32" s="3" t="s">
        <v>449</v>
      </c>
      <c r="B32" s="3" t="s">
        <v>23</v>
      </c>
      <c r="C32" s="3" t="s">
        <v>26</v>
      </c>
      <c r="D32" s="3" t="s">
        <v>85</v>
      </c>
      <c r="E32" s="47">
        <v>3</v>
      </c>
      <c r="F32" s="23">
        <v>2</v>
      </c>
      <c r="G32" s="3">
        <v>2</v>
      </c>
      <c r="H32" s="3"/>
      <c r="I32" s="3"/>
    </row>
    <row r="33" spans="1:9">
      <c r="A33" s="3" t="s">
        <v>449</v>
      </c>
      <c r="B33" s="3" t="s">
        <v>23</v>
      </c>
      <c r="C33" s="3" t="s">
        <v>26</v>
      </c>
      <c r="D33" s="3" t="s">
        <v>86</v>
      </c>
      <c r="E33" s="47">
        <v>5</v>
      </c>
      <c r="F33" s="23">
        <v>3</v>
      </c>
      <c r="G33" s="3">
        <v>2</v>
      </c>
      <c r="H33" s="3"/>
      <c r="I33" s="3"/>
    </row>
    <row r="34" spans="1:9">
      <c r="A34" s="3" t="s">
        <v>449</v>
      </c>
      <c r="B34" s="3" t="s">
        <v>23</v>
      </c>
      <c r="C34" s="3" t="s">
        <v>26</v>
      </c>
      <c r="D34" s="3" t="s">
        <v>87</v>
      </c>
      <c r="E34" s="47">
        <v>7</v>
      </c>
      <c r="F34" s="23">
        <v>4</v>
      </c>
      <c r="G34" s="3">
        <v>2</v>
      </c>
      <c r="H34" s="3"/>
      <c r="I34" s="3" t="s">
        <v>172</v>
      </c>
    </row>
    <row r="35" spans="1:9">
      <c r="A35" s="3" t="s">
        <v>449</v>
      </c>
      <c r="B35" s="3" t="s">
        <v>23</v>
      </c>
      <c r="C35" s="3" t="s">
        <v>26</v>
      </c>
      <c r="D35" s="3" t="s">
        <v>88</v>
      </c>
      <c r="E35" s="47">
        <v>9</v>
      </c>
      <c r="F35" s="103">
        <v>6</v>
      </c>
      <c r="G35" s="3">
        <v>2</v>
      </c>
      <c r="H35" s="3"/>
      <c r="I35" s="3"/>
    </row>
    <row r="36" spans="1:9">
      <c r="A36" s="3" t="s">
        <v>449</v>
      </c>
      <c r="B36" s="3" t="s">
        <v>23</v>
      </c>
      <c r="C36" s="3" t="s">
        <v>26</v>
      </c>
      <c r="D36" s="3" t="s">
        <v>89</v>
      </c>
      <c r="E36" s="101">
        <v>12</v>
      </c>
      <c r="F36" s="23">
        <v>10</v>
      </c>
      <c r="G36" s="74">
        <v>2</v>
      </c>
      <c r="H36" s="3"/>
      <c r="I36" s="3" t="s">
        <v>306</v>
      </c>
    </row>
    <row r="37" spans="1:9">
      <c r="A37" s="3" t="s">
        <v>450</v>
      </c>
      <c r="B37" s="3" t="s">
        <v>26</v>
      </c>
      <c r="C37" s="3"/>
      <c r="D37" s="3" t="s">
        <v>12</v>
      </c>
      <c r="E37" s="102">
        <v>2</v>
      </c>
      <c r="F37" s="3"/>
      <c r="G37" s="74">
        <v>1</v>
      </c>
      <c r="H37" s="3"/>
      <c r="I37" s="3"/>
    </row>
    <row r="38" spans="1:9">
      <c r="A38" s="3" t="s">
        <v>450</v>
      </c>
      <c r="B38" s="3" t="s">
        <v>26</v>
      </c>
      <c r="C38" s="3"/>
      <c r="D38" s="3" t="s">
        <v>90</v>
      </c>
      <c r="E38" s="102">
        <v>3</v>
      </c>
      <c r="F38" s="3"/>
      <c r="G38" s="74">
        <v>1</v>
      </c>
      <c r="H38" s="3" t="s">
        <v>451</v>
      </c>
      <c r="I38" s="3"/>
    </row>
    <row r="39" spans="1:9">
      <c r="A39" s="3" t="s">
        <v>450</v>
      </c>
      <c r="B39" s="3" t="s">
        <v>26</v>
      </c>
      <c r="C39" s="3"/>
      <c r="D39" s="3" t="s">
        <v>91</v>
      </c>
      <c r="E39" s="102">
        <v>2</v>
      </c>
      <c r="F39" s="3"/>
      <c r="G39" s="74">
        <v>1</v>
      </c>
      <c r="H39" s="3" t="s">
        <v>327</v>
      </c>
      <c r="I39" s="3"/>
    </row>
    <row r="40" spans="1:9">
      <c r="A40" s="3" t="s">
        <v>450</v>
      </c>
      <c r="B40" s="3" t="s">
        <v>26</v>
      </c>
      <c r="C40" s="3"/>
      <c r="D40" s="3" t="s">
        <v>92</v>
      </c>
      <c r="E40" s="102">
        <v>5</v>
      </c>
      <c r="F40" s="3"/>
      <c r="G40" s="74">
        <v>1</v>
      </c>
      <c r="H40" s="3"/>
      <c r="I40" s="3" t="s">
        <v>249</v>
      </c>
    </row>
    <row r="41" spans="1:9">
      <c r="A41" s="3" t="s">
        <v>450</v>
      </c>
      <c r="B41" s="3" t="s">
        <v>26</v>
      </c>
      <c r="C41" s="3"/>
      <c r="D41" s="3" t="s">
        <v>93</v>
      </c>
      <c r="E41" s="102">
        <v>7</v>
      </c>
      <c r="F41" s="3"/>
      <c r="G41" s="74">
        <v>1</v>
      </c>
      <c r="H41" s="3"/>
      <c r="I41" s="3" t="s">
        <v>306</v>
      </c>
    </row>
    <row r="42" spans="1:9">
      <c r="A42" s="3" t="s">
        <v>450</v>
      </c>
      <c r="B42" s="3" t="s">
        <v>26</v>
      </c>
      <c r="C42" s="3"/>
      <c r="D42" s="3" t="s">
        <v>14</v>
      </c>
      <c r="E42" s="102">
        <v>7</v>
      </c>
      <c r="F42" s="3"/>
      <c r="G42" s="74">
        <v>1</v>
      </c>
      <c r="H42" s="3" t="s">
        <v>452</v>
      </c>
      <c r="I42" s="3"/>
    </row>
    <row r="43" spans="1:9">
      <c r="A43" s="3" t="s">
        <v>453</v>
      </c>
      <c r="B43" s="3" t="s">
        <v>26</v>
      </c>
      <c r="C43" s="3"/>
      <c r="D43" s="3" t="s">
        <v>94</v>
      </c>
      <c r="E43" s="102">
        <v>5</v>
      </c>
      <c r="F43" s="3"/>
      <c r="G43" s="74">
        <v>1</v>
      </c>
      <c r="H43" s="3"/>
      <c r="I43" s="3" t="s">
        <v>271</v>
      </c>
    </row>
    <row r="44" spans="1:9">
      <c r="A44" s="3" t="s">
        <v>453</v>
      </c>
      <c r="B44" s="3" t="s">
        <v>26</v>
      </c>
      <c r="C44" s="3"/>
      <c r="D44" s="3" t="s">
        <v>95</v>
      </c>
      <c r="E44" s="102">
        <v>7</v>
      </c>
      <c r="F44" s="3"/>
      <c r="G44" s="74">
        <v>1</v>
      </c>
      <c r="H44" s="3"/>
      <c r="I44" s="3" t="s">
        <v>266</v>
      </c>
    </row>
    <row r="45" spans="1:9">
      <c r="A45" s="3" t="s">
        <v>453</v>
      </c>
      <c r="B45" s="3" t="s">
        <v>26</v>
      </c>
      <c r="C45" s="3"/>
      <c r="D45" s="3" t="s">
        <v>96</v>
      </c>
      <c r="E45" s="102">
        <v>9</v>
      </c>
      <c r="F45" s="3"/>
      <c r="G45" s="74">
        <v>1</v>
      </c>
      <c r="H45" s="3"/>
      <c r="I45" s="3"/>
    </row>
    <row r="46" spans="1:9">
      <c r="A46" s="3" t="s">
        <v>453</v>
      </c>
      <c r="B46" s="3" t="s">
        <v>26</v>
      </c>
      <c r="C46" s="3"/>
      <c r="D46" s="3" t="s">
        <v>97</v>
      </c>
      <c r="E46" s="102">
        <v>9</v>
      </c>
      <c r="F46" s="3"/>
      <c r="G46" s="74">
        <v>1</v>
      </c>
      <c r="H46" s="3"/>
      <c r="I46" s="3" t="s">
        <v>245</v>
      </c>
    </row>
    <row r="47" spans="1:9">
      <c r="A47" s="3" t="s">
        <v>453</v>
      </c>
      <c r="B47" s="3" t="s">
        <v>26</v>
      </c>
      <c r="C47" s="3"/>
      <c r="D47" s="3" t="s">
        <v>98</v>
      </c>
      <c r="E47" s="102">
        <v>11</v>
      </c>
      <c r="F47" s="3"/>
      <c r="G47" s="74">
        <v>1</v>
      </c>
      <c r="H47" s="3"/>
      <c r="I47" s="3"/>
    </row>
    <row r="48" spans="1:9">
      <c r="A48" s="3" t="s">
        <v>453</v>
      </c>
      <c r="B48" s="3" t="s">
        <v>26</v>
      </c>
      <c r="C48" s="3"/>
      <c r="D48" s="3" t="s">
        <v>99</v>
      </c>
      <c r="E48" s="102">
        <v>12</v>
      </c>
      <c r="F48" s="3"/>
      <c r="G48" s="74">
        <v>1</v>
      </c>
      <c r="H48" s="3"/>
      <c r="I48" s="3"/>
    </row>
    <row r="49" spans="1:9">
      <c r="A49" s="3" t="s">
        <v>454</v>
      </c>
      <c r="B49" s="3" t="s">
        <v>26</v>
      </c>
      <c r="C49" s="3"/>
      <c r="D49" s="3" t="s">
        <v>15</v>
      </c>
      <c r="E49" s="102">
        <v>2</v>
      </c>
      <c r="F49" s="3"/>
      <c r="G49" s="74">
        <v>1</v>
      </c>
      <c r="H49" s="3"/>
      <c r="I49" s="3"/>
    </row>
    <row r="50" spans="1:9">
      <c r="A50" s="3" t="s">
        <v>454</v>
      </c>
      <c r="B50" s="3" t="s">
        <v>26</v>
      </c>
      <c r="C50" s="3"/>
      <c r="D50" s="3" t="s">
        <v>100</v>
      </c>
      <c r="E50" s="102">
        <v>4</v>
      </c>
      <c r="F50" s="3"/>
      <c r="G50" s="74">
        <v>1</v>
      </c>
      <c r="H50" s="3"/>
      <c r="I50" s="3"/>
    </row>
    <row r="51" spans="1:9">
      <c r="A51" s="3" t="s">
        <v>454</v>
      </c>
      <c r="B51" s="3" t="s">
        <v>26</v>
      </c>
      <c r="C51" s="3"/>
      <c r="D51" s="3" t="s">
        <v>101</v>
      </c>
      <c r="E51" s="102">
        <v>5</v>
      </c>
      <c r="F51" s="3"/>
      <c r="G51" s="74">
        <v>1</v>
      </c>
      <c r="H51" s="3"/>
      <c r="I51" s="3" t="s">
        <v>266</v>
      </c>
    </row>
    <row r="52" spans="1:9">
      <c r="A52" s="3" t="s">
        <v>454</v>
      </c>
      <c r="B52" s="3" t="s">
        <v>26</v>
      </c>
      <c r="C52" s="3"/>
      <c r="D52" s="3" t="s">
        <v>102</v>
      </c>
      <c r="E52" s="102">
        <v>5</v>
      </c>
      <c r="F52" s="3"/>
      <c r="G52" s="74">
        <v>1</v>
      </c>
      <c r="H52" s="3"/>
      <c r="I52" s="3" t="s">
        <v>245</v>
      </c>
    </row>
    <row r="53" spans="1:9">
      <c r="A53" s="3" t="s">
        <v>454</v>
      </c>
      <c r="B53" s="3" t="s">
        <v>26</v>
      </c>
      <c r="C53" s="3"/>
      <c r="D53" s="3" t="s">
        <v>103</v>
      </c>
      <c r="E53" s="102">
        <v>7</v>
      </c>
      <c r="F53" s="3"/>
      <c r="G53" s="74">
        <v>1</v>
      </c>
      <c r="H53" s="3" t="s">
        <v>356</v>
      </c>
      <c r="I53" s="3"/>
    </row>
    <row r="54" spans="1:9">
      <c r="A54" s="3" t="s">
        <v>454</v>
      </c>
      <c r="B54" s="3" t="s">
        <v>26</v>
      </c>
      <c r="C54" s="3"/>
      <c r="D54" s="3" t="s">
        <v>104</v>
      </c>
      <c r="E54" s="102">
        <v>9</v>
      </c>
      <c r="F54" s="3"/>
      <c r="G54" s="74">
        <v>1</v>
      </c>
      <c r="H54" s="3"/>
      <c r="I54" s="3"/>
    </row>
    <row r="55" spans="1:9">
      <c r="A55" s="3" t="s">
        <v>455</v>
      </c>
      <c r="B55" s="3" t="s">
        <v>26</v>
      </c>
      <c r="C55" s="3"/>
      <c r="D55" s="3" t="s">
        <v>105</v>
      </c>
      <c r="E55" s="102">
        <v>3</v>
      </c>
      <c r="F55" s="3"/>
      <c r="G55" s="74">
        <v>3</v>
      </c>
      <c r="H55" s="3"/>
      <c r="I55" s="3"/>
    </row>
    <row r="56" spans="1:9">
      <c r="A56" s="3" t="s">
        <v>455</v>
      </c>
      <c r="B56" s="3" t="s">
        <v>26</v>
      </c>
      <c r="C56" s="3"/>
      <c r="D56" s="3" t="s">
        <v>106</v>
      </c>
      <c r="E56" s="102">
        <v>4</v>
      </c>
      <c r="F56" s="3"/>
      <c r="G56" s="74">
        <v>3</v>
      </c>
      <c r="H56" s="3"/>
      <c r="I56" s="3"/>
    </row>
    <row r="57" spans="1:9">
      <c r="A57" s="3" t="s">
        <v>455</v>
      </c>
      <c r="B57" s="3" t="s">
        <v>26</v>
      </c>
      <c r="C57" s="3"/>
      <c r="D57" s="3" t="s">
        <v>107</v>
      </c>
      <c r="E57" s="102">
        <v>5</v>
      </c>
      <c r="F57" s="3"/>
      <c r="G57" s="74">
        <v>3</v>
      </c>
      <c r="H57" s="3" t="s">
        <v>356</v>
      </c>
      <c r="I57" s="3"/>
    </row>
    <row r="58" spans="1:9">
      <c r="A58" s="3" t="s">
        <v>455</v>
      </c>
      <c r="B58" s="3" t="s">
        <v>26</v>
      </c>
      <c r="C58" s="3"/>
      <c r="D58" s="3" t="s">
        <v>108</v>
      </c>
      <c r="E58" s="102">
        <v>6</v>
      </c>
      <c r="F58" s="3"/>
      <c r="G58" s="74">
        <v>3</v>
      </c>
      <c r="H58" s="3" t="s">
        <v>456</v>
      </c>
      <c r="I58" s="3"/>
    </row>
    <row r="59" spans="1:9">
      <c r="A59" s="3" t="s">
        <v>455</v>
      </c>
      <c r="B59" s="3" t="s">
        <v>26</v>
      </c>
      <c r="C59" s="3"/>
      <c r="D59" s="3" t="s">
        <v>109</v>
      </c>
      <c r="E59" s="102">
        <v>7</v>
      </c>
      <c r="F59" s="3"/>
      <c r="G59" s="74">
        <v>3</v>
      </c>
      <c r="H59" s="3" t="s">
        <v>371</v>
      </c>
      <c r="I59" s="3"/>
    </row>
    <row r="60" spans="1:9">
      <c r="A60" s="3" t="s">
        <v>455</v>
      </c>
      <c r="B60" s="3" t="s">
        <v>26</v>
      </c>
      <c r="C60" s="3"/>
      <c r="D60" s="3" t="s">
        <v>110</v>
      </c>
      <c r="E60" s="102">
        <v>10</v>
      </c>
      <c r="F60" s="3"/>
      <c r="G60" s="74">
        <v>3</v>
      </c>
      <c r="H60" s="3"/>
      <c r="I60" s="3"/>
    </row>
  </sheetData>
  <conditionalFormatting sqref="A3:I36 A37:E60 G37:I60">
    <cfRule type="cellIs" dxfId="21" priority="1" operator="equal">
      <formula>"Dextérité"</formula>
    </cfRule>
    <cfRule type="cellIs" dxfId="20" priority="2" operator="equal">
      <formula>"Force"</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64C4-2BE4-4043-B9D2-6087D8634D33}">
  <dimension ref="A1:Y80"/>
  <sheetViews>
    <sheetView topLeftCell="A29" workbookViewId="0">
      <selection activeCell="C4" sqref="C4"/>
    </sheetView>
  </sheetViews>
  <sheetFormatPr baseColWidth="10" defaultColWidth="11.453125" defaultRowHeight="14.5"/>
  <cols>
    <col min="1" max="1" width="8.453125" bestFit="1" customWidth="1"/>
    <col min="2" max="2" width="6.453125" bestFit="1" customWidth="1"/>
    <col min="3" max="3" width="20.1796875" bestFit="1" customWidth="1"/>
    <col min="4" max="4" width="15.7265625" bestFit="1" customWidth="1"/>
    <col min="5" max="5" width="13.81640625" bestFit="1" customWidth="1"/>
    <col min="6" max="6" width="56" bestFit="1" customWidth="1"/>
    <col min="7" max="7" width="24.7265625" customWidth="1"/>
    <col min="8" max="8" width="4.7265625" bestFit="1" customWidth="1"/>
    <col min="9" max="10" width="4.453125" bestFit="1" customWidth="1"/>
    <col min="11" max="11" width="4.7265625" bestFit="1" customWidth="1"/>
    <col min="12" max="13" width="5.453125" bestFit="1" customWidth="1"/>
    <col min="14" max="14" width="4.7265625" bestFit="1" customWidth="1"/>
    <col min="15" max="16" width="5.453125" bestFit="1" customWidth="1"/>
    <col min="17" max="17" width="4.7265625" bestFit="1" customWidth="1"/>
    <col min="18" max="19" width="5.453125" bestFit="1" customWidth="1"/>
    <col min="20" max="20" width="4.7265625" bestFit="1" customWidth="1"/>
    <col min="21" max="22" width="5.453125" bestFit="1" customWidth="1"/>
    <col min="23" max="23" width="4.7265625" bestFit="1" customWidth="1"/>
    <col min="24" max="25" width="5.453125" bestFit="1" customWidth="1"/>
    <col min="26" max="26" width="11.453125" customWidth="1"/>
  </cols>
  <sheetData>
    <row r="1" spans="1:6">
      <c r="A1" t="s">
        <v>457</v>
      </c>
      <c r="C1" t="s">
        <v>155</v>
      </c>
      <c r="D1" t="s">
        <v>1</v>
      </c>
      <c r="E1" t="s">
        <v>36</v>
      </c>
      <c r="F1" t="s">
        <v>145</v>
      </c>
    </row>
    <row r="2" spans="1:6">
      <c r="A2" t="s">
        <v>37</v>
      </c>
      <c r="C2" t="s">
        <v>458</v>
      </c>
      <c r="D2">
        <v>1</v>
      </c>
      <c r="E2">
        <f t="shared" ref="E2:E31" si="0">D2*100</f>
        <v>100</v>
      </c>
      <c r="F2">
        <f>SUM($E$2:E2)</f>
        <v>100</v>
      </c>
    </row>
    <row r="3" spans="1:6">
      <c r="A3" t="s">
        <v>13</v>
      </c>
      <c r="C3">
        <v>1</v>
      </c>
      <c r="D3">
        <v>2</v>
      </c>
      <c r="E3">
        <f t="shared" si="0"/>
        <v>200</v>
      </c>
      <c r="F3">
        <f>SUM($E$2:E3)</f>
        <v>300</v>
      </c>
    </row>
    <row r="4" spans="1:6">
      <c r="A4" t="s">
        <v>459</v>
      </c>
      <c r="C4">
        <v>2</v>
      </c>
      <c r="D4">
        <v>3</v>
      </c>
      <c r="E4">
        <f t="shared" si="0"/>
        <v>300</v>
      </c>
      <c r="F4">
        <f>SUM($E$2:E4)</f>
        <v>600</v>
      </c>
    </row>
    <row r="5" spans="1:6">
      <c r="D5">
        <v>4</v>
      </c>
      <c r="E5">
        <f t="shared" si="0"/>
        <v>400</v>
      </c>
      <c r="F5">
        <f>SUM($E$2:E5)</f>
        <v>1000</v>
      </c>
    </row>
    <row r="6" spans="1:6">
      <c r="D6">
        <v>5</v>
      </c>
      <c r="E6">
        <f t="shared" si="0"/>
        <v>500</v>
      </c>
      <c r="F6">
        <f>SUM($E$2:E6)</f>
        <v>1500</v>
      </c>
    </row>
    <row r="7" spans="1:6">
      <c r="D7">
        <v>6</v>
      </c>
      <c r="E7">
        <f t="shared" si="0"/>
        <v>600</v>
      </c>
      <c r="F7">
        <f>SUM($E$2:E7)</f>
        <v>2100</v>
      </c>
    </row>
    <row r="8" spans="1:6">
      <c r="D8">
        <v>7</v>
      </c>
      <c r="E8">
        <f t="shared" si="0"/>
        <v>700</v>
      </c>
      <c r="F8">
        <f>SUM($E$2:E8)</f>
        <v>2800</v>
      </c>
    </row>
    <row r="9" spans="1:6">
      <c r="D9">
        <v>8</v>
      </c>
      <c r="E9">
        <f t="shared" si="0"/>
        <v>800</v>
      </c>
      <c r="F9">
        <f>SUM($E$2:E9)</f>
        <v>3600</v>
      </c>
    </row>
    <row r="10" spans="1:6">
      <c r="D10">
        <v>9</v>
      </c>
      <c r="E10">
        <f t="shared" si="0"/>
        <v>900</v>
      </c>
      <c r="F10">
        <f>SUM($E$2:E10)</f>
        <v>4500</v>
      </c>
    </row>
    <row r="11" spans="1:6">
      <c r="D11">
        <v>10</v>
      </c>
      <c r="E11">
        <f t="shared" si="0"/>
        <v>1000</v>
      </c>
      <c r="F11">
        <f>SUM($E$2:E11)</f>
        <v>5500</v>
      </c>
    </row>
    <row r="12" spans="1:6">
      <c r="D12">
        <v>11</v>
      </c>
      <c r="E12">
        <f t="shared" si="0"/>
        <v>1100</v>
      </c>
      <c r="F12">
        <f>SUM($E$2:E12)</f>
        <v>6600</v>
      </c>
    </row>
    <row r="13" spans="1:6">
      <c r="D13">
        <v>12</v>
      </c>
      <c r="E13">
        <f t="shared" si="0"/>
        <v>1200</v>
      </c>
      <c r="F13">
        <f>SUM($E$2:E13)</f>
        <v>7800</v>
      </c>
    </row>
    <row r="14" spans="1:6">
      <c r="D14">
        <v>13</v>
      </c>
      <c r="E14">
        <f t="shared" si="0"/>
        <v>1300</v>
      </c>
      <c r="F14">
        <f>SUM($E$2:E14)</f>
        <v>9100</v>
      </c>
    </row>
    <row r="15" spans="1:6">
      <c r="D15">
        <v>14</v>
      </c>
      <c r="E15">
        <f t="shared" si="0"/>
        <v>1400</v>
      </c>
      <c r="F15">
        <f>SUM($E$2:E15)</f>
        <v>10500</v>
      </c>
    </row>
    <row r="16" spans="1:6">
      <c r="D16">
        <v>15</v>
      </c>
      <c r="E16">
        <f t="shared" si="0"/>
        <v>1500</v>
      </c>
      <c r="F16">
        <f>SUM($E$2:E16)</f>
        <v>12000</v>
      </c>
    </row>
    <row r="17" spans="4:6">
      <c r="D17">
        <v>16</v>
      </c>
      <c r="E17">
        <f t="shared" si="0"/>
        <v>1600</v>
      </c>
      <c r="F17">
        <f>SUM($E$2:E17)</f>
        <v>13600</v>
      </c>
    </row>
    <row r="18" spans="4:6">
      <c r="D18">
        <v>17</v>
      </c>
      <c r="E18">
        <f t="shared" si="0"/>
        <v>1700</v>
      </c>
      <c r="F18">
        <f>SUM($E$2:E18)</f>
        <v>15300</v>
      </c>
    </row>
    <row r="19" spans="4:6">
      <c r="D19">
        <v>18</v>
      </c>
      <c r="E19">
        <f t="shared" si="0"/>
        <v>1800</v>
      </c>
      <c r="F19">
        <f>SUM($E$2:E19)</f>
        <v>17100</v>
      </c>
    </row>
    <row r="20" spans="4:6">
      <c r="D20">
        <v>19</v>
      </c>
      <c r="E20">
        <f t="shared" si="0"/>
        <v>1900</v>
      </c>
      <c r="F20">
        <f>SUM($E$2:E20)</f>
        <v>19000</v>
      </c>
    </row>
    <row r="21" spans="4:6">
      <c r="D21">
        <v>20</v>
      </c>
      <c r="E21">
        <f t="shared" si="0"/>
        <v>2000</v>
      </c>
      <c r="F21">
        <f>SUM($E$2:E21)</f>
        <v>21000</v>
      </c>
    </row>
    <row r="22" spans="4:6">
      <c r="D22">
        <v>21</v>
      </c>
      <c r="E22">
        <f t="shared" si="0"/>
        <v>2100</v>
      </c>
      <c r="F22">
        <f>SUM($E$2:E22)</f>
        <v>23100</v>
      </c>
    </row>
    <row r="23" spans="4:6">
      <c r="D23">
        <v>22</v>
      </c>
      <c r="E23">
        <f t="shared" si="0"/>
        <v>2200</v>
      </c>
      <c r="F23">
        <f>SUM($E$2:E23)</f>
        <v>25300</v>
      </c>
    </row>
    <row r="24" spans="4:6">
      <c r="D24">
        <v>23</v>
      </c>
      <c r="E24">
        <f t="shared" si="0"/>
        <v>2300</v>
      </c>
      <c r="F24">
        <f>SUM($E$2:E24)</f>
        <v>27600</v>
      </c>
    </row>
    <row r="25" spans="4:6">
      <c r="D25">
        <v>24</v>
      </c>
      <c r="E25">
        <f t="shared" si="0"/>
        <v>2400</v>
      </c>
      <c r="F25">
        <f>SUM($E$2:E25)</f>
        <v>30000</v>
      </c>
    </row>
    <row r="26" spans="4:6">
      <c r="D26">
        <v>25</v>
      </c>
      <c r="E26">
        <f t="shared" si="0"/>
        <v>2500</v>
      </c>
      <c r="F26">
        <f>SUM($E$2:E26)</f>
        <v>32500</v>
      </c>
    </row>
    <row r="27" spans="4:6">
      <c r="D27">
        <v>26</v>
      </c>
      <c r="E27">
        <f t="shared" si="0"/>
        <v>2600</v>
      </c>
      <c r="F27">
        <f>SUM($E$2:E27)</f>
        <v>35100</v>
      </c>
    </row>
    <row r="28" spans="4:6">
      <c r="D28">
        <v>27</v>
      </c>
      <c r="E28">
        <f t="shared" si="0"/>
        <v>2700</v>
      </c>
      <c r="F28">
        <f>SUM($E$2:E28)</f>
        <v>37800</v>
      </c>
    </row>
    <row r="29" spans="4:6">
      <c r="D29">
        <v>28</v>
      </c>
      <c r="E29">
        <f t="shared" si="0"/>
        <v>2800</v>
      </c>
      <c r="F29">
        <f>SUM($E$2:E29)</f>
        <v>40600</v>
      </c>
    </row>
    <row r="30" spans="4:6">
      <c r="D30">
        <v>29</v>
      </c>
      <c r="E30">
        <f t="shared" si="0"/>
        <v>2900</v>
      </c>
      <c r="F30">
        <f>SUM($E$2:E30)</f>
        <v>43500</v>
      </c>
    </row>
    <row r="31" spans="4:6">
      <c r="D31">
        <v>30</v>
      </c>
      <c r="E31">
        <f t="shared" si="0"/>
        <v>3000</v>
      </c>
      <c r="F31">
        <f>SUM($E$2:E31)</f>
        <v>46500</v>
      </c>
    </row>
    <row r="36" spans="1:25">
      <c r="H36" s="164" t="s">
        <v>150</v>
      </c>
      <c r="I36" s="164"/>
      <c r="J36" s="164"/>
      <c r="K36" s="164"/>
      <c r="L36" s="164"/>
      <c r="M36" s="164"/>
      <c r="N36" s="164"/>
      <c r="O36" s="164"/>
      <c r="P36" s="164"/>
      <c r="Q36" s="164"/>
      <c r="R36" s="164"/>
      <c r="S36" s="164"/>
      <c r="T36" s="164"/>
      <c r="U36" s="164"/>
      <c r="V36" s="164"/>
      <c r="W36" s="164"/>
      <c r="X36" s="164"/>
      <c r="Y36" s="164"/>
    </row>
    <row r="37" spans="1:25">
      <c r="A37" s="1" t="s">
        <v>34</v>
      </c>
      <c r="D37" s="1"/>
      <c r="E37" s="1"/>
      <c r="F37" s="1"/>
      <c r="G37" s="1"/>
      <c r="H37" s="165">
        <v>1</v>
      </c>
      <c r="I37" s="165"/>
      <c r="J37" s="165"/>
      <c r="K37" s="165">
        <v>2</v>
      </c>
      <c r="L37" s="165"/>
      <c r="M37" s="165"/>
      <c r="N37" s="165">
        <v>3</v>
      </c>
      <c r="O37" s="165"/>
      <c r="P37" s="165"/>
      <c r="Q37" s="165">
        <v>4</v>
      </c>
      <c r="R37" s="165"/>
      <c r="S37" s="165"/>
      <c r="T37" s="165">
        <v>5</v>
      </c>
      <c r="U37" s="165"/>
      <c r="V37" s="165"/>
      <c r="W37" s="165">
        <v>6</v>
      </c>
      <c r="X37" s="165"/>
      <c r="Y37" s="165"/>
    </row>
    <row r="38" spans="1:25">
      <c r="A38" s="2" t="s">
        <v>460</v>
      </c>
      <c r="B38" s="2" t="s">
        <v>461</v>
      </c>
      <c r="C38" s="2" t="s">
        <v>50</v>
      </c>
      <c r="D38" s="2" t="s">
        <v>462</v>
      </c>
      <c r="E38" s="2" t="s">
        <v>463</v>
      </c>
      <c r="F38" s="2" t="s">
        <v>37</v>
      </c>
      <c r="G38" s="26" t="s">
        <v>342</v>
      </c>
      <c r="H38" s="29" t="s">
        <v>464</v>
      </c>
      <c r="I38" s="30" t="s">
        <v>16</v>
      </c>
      <c r="J38" s="31" t="s">
        <v>36</v>
      </c>
      <c r="K38" s="29" t="s">
        <v>464</v>
      </c>
      <c r="L38" s="30" t="s">
        <v>16</v>
      </c>
      <c r="M38" s="31" t="s">
        <v>36</v>
      </c>
      <c r="N38" s="29" t="s">
        <v>464</v>
      </c>
      <c r="O38" s="30" t="s">
        <v>16</v>
      </c>
      <c r="P38" s="31" t="s">
        <v>36</v>
      </c>
      <c r="Q38" s="29" t="s">
        <v>464</v>
      </c>
      <c r="R38" s="30" t="s">
        <v>16</v>
      </c>
      <c r="S38" s="31" t="s">
        <v>36</v>
      </c>
      <c r="T38" s="29" t="s">
        <v>464</v>
      </c>
      <c r="U38" s="30" t="s">
        <v>16</v>
      </c>
      <c r="V38" s="31" t="s">
        <v>36</v>
      </c>
      <c r="W38" s="29" t="s">
        <v>464</v>
      </c>
      <c r="X38" s="30" t="s">
        <v>16</v>
      </c>
      <c r="Y38" s="32" t="s">
        <v>36</v>
      </c>
    </row>
    <row r="39" spans="1:25" ht="15.5">
      <c r="A39" s="15">
        <v>1</v>
      </c>
      <c r="B39" s="16">
        <v>1</v>
      </c>
      <c r="C39" s="3" t="s">
        <v>160</v>
      </c>
      <c r="D39" s="3" t="s">
        <v>245</v>
      </c>
      <c r="E39" s="3"/>
      <c r="F39" s="3" t="s">
        <v>418</v>
      </c>
      <c r="G39" s="27"/>
      <c r="H39" s="33">
        <f>IF($B39&gt;1,$A39+H$37,H$37)</f>
        <v>1</v>
      </c>
      <c r="I39" s="34">
        <f>$B39*20/$H39*H$37</f>
        <v>20</v>
      </c>
      <c r="J39" s="35">
        <f>IF(INT($I39/100)=$I39/100,(($I39/100)+10)*50,IF(INT($I39/10)=$I39/10,(($I39/10)+1)*5,ROUNDUP($I39/10,0)*5))*H$37</f>
        <v>15</v>
      </c>
      <c r="K39" s="33">
        <f>IF($B39&gt;1,$A39+K$37,K$37)</f>
        <v>2</v>
      </c>
      <c r="L39" s="34">
        <f>($B39/$H39*K$37)*20</f>
        <v>40</v>
      </c>
      <c r="M39" s="35">
        <f>IF(INT($I39/100)=$I39/100,(($I39/100)+10)*50,IF(INT($I39/10)=$I39/10,(($I39/10)+1)*5,ROUNDUP($I39/10,0)*5))*K$37</f>
        <v>30</v>
      </c>
      <c r="N39" s="33">
        <f>IF($B39&gt;1,$A39+N$37,N$37)</f>
        <v>3</v>
      </c>
      <c r="O39" s="34">
        <f>($B39/$H39*N$37)*20</f>
        <v>60</v>
      </c>
      <c r="P39" s="35">
        <f>IF(INT($I39/100)=$I39/100,(($I39/100)+10)*50,IF(INT($I39/10)=$I39/10,(($I39/10)+1)*5,ROUNDUP($I39/10,0)*5))*N$37</f>
        <v>45</v>
      </c>
      <c r="Q39" s="33">
        <f>IF($B39&gt;1,$A39+Q$37,Q$37)</f>
        <v>4</v>
      </c>
      <c r="R39" s="34">
        <f>($B39/$H39*Q$37)*20</f>
        <v>80</v>
      </c>
      <c r="S39" s="35">
        <f>IF(INT($I39/100)=$I39/100,(($I39/100)+10)*50,IF(INT($I39/10)=$I39/10,(($I39/10)+1)*5,ROUNDUP($I39/10,0)*5))*Q$37</f>
        <v>60</v>
      </c>
      <c r="T39" s="33">
        <f>IF($B39&gt;1,$A39+T$37,T$37)</f>
        <v>5</v>
      </c>
      <c r="U39" s="34">
        <f>($B39/$H39*T$37)*20</f>
        <v>100</v>
      </c>
      <c r="V39" s="35">
        <f>IF(INT($I39/100)=$I39/100,(($I39/100)+10)*50,IF(INT($I39/10)=$I39/10,(($I39/10)+1)*5,ROUNDUP($I39/10,0)*5))*T$37</f>
        <v>75</v>
      </c>
      <c r="W39" s="33">
        <f>IF($B39&gt;1,$A39+W$37,W$37)</f>
        <v>6</v>
      </c>
      <c r="X39" s="34">
        <f>($B39/$H39*W$37)*20</f>
        <v>120</v>
      </c>
      <c r="Y39" s="36">
        <f>IF(INT($I39/100)=$I39/100,(($I39/100)+10)*50,IF(INT($I39/10)=$I39/10,(($I39/10)+1)*5,ROUNDUP($I39/10,0)*5))*W$37</f>
        <v>90</v>
      </c>
    </row>
    <row r="40" spans="1:25" ht="15.5">
      <c r="A40" s="15">
        <v>1</v>
      </c>
      <c r="B40" s="16">
        <v>2</v>
      </c>
      <c r="C40" s="3" t="s">
        <v>465</v>
      </c>
      <c r="D40" s="3"/>
      <c r="E40" s="3"/>
      <c r="F40" s="3" t="s">
        <v>466</v>
      </c>
      <c r="G40" s="27"/>
      <c r="H40" s="33">
        <f t="shared" ref="H40:H70" si="1">IF($B40&gt;1,$A40+H$37,H$37)</f>
        <v>2</v>
      </c>
      <c r="I40" s="34">
        <f t="shared" ref="I40:I70" si="2">$B40*20/$H40*H$37</f>
        <v>20</v>
      </c>
      <c r="J40" s="35">
        <f t="shared" ref="J40:J70" si="3">IF(INT($I40/100)=$I40/100,(($I40/100)+10)*50,IF(INT($I40/10)=$I40/10,(($I40/10)+1)*5,ROUNDUP($I40/10,0)*5))*H$37</f>
        <v>15</v>
      </c>
      <c r="K40" s="33">
        <f t="shared" ref="K40:K70" si="4">IF($B40&gt;1,$A40+K$37,K$37)</f>
        <v>3</v>
      </c>
      <c r="L40" s="34">
        <f t="shared" ref="L40:L70" si="5">($B40/$H40*K$37)*20</f>
        <v>40</v>
      </c>
      <c r="M40" s="35">
        <f t="shared" ref="M40:M70" si="6">IF(INT($I40/100)=$I40/100,(($I40/100)+10)*50,IF(INT($I40/10)=$I40/10,(($I40/10)+1)*5,ROUNDUP($I40/10,0)*5))*K$37</f>
        <v>30</v>
      </c>
      <c r="N40" s="33">
        <f t="shared" ref="N40:N70" si="7">IF($B40&gt;1,$A40+N$37,N$37)</f>
        <v>4</v>
      </c>
      <c r="O40" s="34">
        <f t="shared" ref="O40:O70" si="8">($B40/$H40*N$37)*20</f>
        <v>60</v>
      </c>
      <c r="P40" s="35">
        <f t="shared" ref="P40:P70" si="9">IF(INT($I40/100)=$I40/100,(($I40/100)+10)*50,IF(INT($I40/10)=$I40/10,(($I40/10)+1)*5,ROUNDUP($I40/10,0)*5))*N$37</f>
        <v>45</v>
      </c>
      <c r="Q40" s="33">
        <f t="shared" ref="Q40:Q70" si="10">IF($B40&gt;1,$A40+Q$37,Q$37)</f>
        <v>5</v>
      </c>
      <c r="R40" s="34">
        <f t="shared" ref="R40:R70" si="11">($B40/$H40*Q$37)*20</f>
        <v>80</v>
      </c>
      <c r="S40" s="35">
        <f t="shared" ref="S40:S70" si="12">IF(INT($I40/100)=$I40/100,(($I40/100)+10)*50,IF(INT($I40/10)=$I40/10,(($I40/10)+1)*5,ROUNDUP($I40/10,0)*5))*Q$37</f>
        <v>60</v>
      </c>
      <c r="T40" s="33">
        <f t="shared" ref="T40:T70" si="13">IF($B40&gt;1,$A40+T$37,T$37)</f>
        <v>6</v>
      </c>
      <c r="U40" s="34">
        <f t="shared" ref="U40:U70" si="14">($B40/$H40*T$37)*20</f>
        <v>100</v>
      </c>
      <c r="V40" s="35">
        <f t="shared" ref="V40:V70" si="15">IF(INT($I40/100)=$I40/100,(($I40/100)+10)*50,IF(INT($I40/10)=$I40/10,(($I40/10)+1)*5,ROUNDUP($I40/10,0)*5))*T$37</f>
        <v>75</v>
      </c>
      <c r="W40" s="33">
        <f t="shared" ref="W40:W70" si="16">IF($B40&gt;1,$A40+W$37,W$37)</f>
        <v>7</v>
      </c>
      <c r="X40" s="34">
        <f t="shared" ref="X40:X70" si="17">($B40/$H40*W$37)*20</f>
        <v>120</v>
      </c>
      <c r="Y40" s="36">
        <f t="shared" ref="Y40:Y70" si="18">IF(INT($I40/100)=$I40/100,(($I40/100)+10)*50,IF(INT($I40/10)=$I40/10,(($I40/10)+1)*5,ROUNDUP($I40/10,0)*5))*W$37</f>
        <v>90</v>
      </c>
    </row>
    <row r="41" spans="1:25" ht="15.5">
      <c r="A41" s="15">
        <v>1</v>
      </c>
      <c r="B41" s="16">
        <v>2</v>
      </c>
      <c r="C41" s="3" t="s">
        <v>467</v>
      </c>
      <c r="D41" s="3" t="s">
        <v>245</v>
      </c>
      <c r="E41" s="3"/>
      <c r="F41" s="3" t="s">
        <v>421</v>
      </c>
      <c r="G41" s="27"/>
      <c r="H41" s="33">
        <f t="shared" si="1"/>
        <v>2</v>
      </c>
      <c r="I41" s="34">
        <f t="shared" si="2"/>
        <v>20</v>
      </c>
      <c r="J41" s="35">
        <f t="shared" si="3"/>
        <v>15</v>
      </c>
      <c r="K41" s="33">
        <f t="shared" si="4"/>
        <v>3</v>
      </c>
      <c r="L41" s="34">
        <f t="shared" si="5"/>
        <v>40</v>
      </c>
      <c r="M41" s="35">
        <f t="shared" si="6"/>
        <v>30</v>
      </c>
      <c r="N41" s="33">
        <f t="shared" si="7"/>
        <v>4</v>
      </c>
      <c r="O41" s="34">
        <f t="shared" si="8"/>
        <v>60</v>
      </c>
      <c r="P41" s="35">
        <f t="shared" si="9"/>
        <v>45</v>
      </c>
      <c r="Q41" s="33">
        <f t="shared" si="10"/>
        <v>5</v>
      </c>
      <c r="R41" s="34">
        <f t="shared" si="11"/>
        <v>80</v>
      </c>
      <c r="S41" s="35">
        <f t="shared" si="12"/>
        <v>60</v>
      </c>
      <c r="T41" s="33">
        <f t="shared" si="13"/>
        <v>6</v>
      </c>
      <c r="U41" s="34">
        <f t="shared" si="14"/>
        <v>100</v>
      </c>
      <c r="V41" s="35">
        <f t="shared" si="15"/>
        <v>75</v>
      </c>
      <c r="W41" s="33">
        <f t="shared" si="16"/>
        <v>7</v>
      </c>
      <c r="X41" s="34">
        <f t="shared" si="17"/>
        <v>120</v>
      </c>
      <c r="Y41" s="36">
        <f t="shared" si="18"/>
        <v>90</v>
      </c>
    </row>
    <row r="42" spans="1:25" ht="15.5">
      <c r="A42" s="15">
        <v>1</v>
      </c>
      <c r="B42" s="16">
        <v>2.5</v>
      </c>
      <c r="C42" s="3" t="s">
        <v>42</v>
      </c>
      <c r="D42" s="3"/>
      <c r="E42" s="3"/>
      <c r="F42" s="3" t="s">
        <v>422</v>
      </c>
      <c r="G42" s="27"/>
      <c r="H42" s="33">
        <f t="shared" si="1"/>
        <v>2</v>
      </c>
      <c r="I42" s="34">
        <f t="shared" si="2"/>
        <v>25</v>
      </c>
      <c r="J42" s="35">
        <f t="shared" si="3"/>
        <v>15</v>
      </c>
      <c r="K42" s="33">
        <f t="shared" si="4"/>
        <v>3</v>
      </c>
      <c r="L42" s="34">
        <f t="shared" si="5"/>
        <v>50</v>
      </c>
      <c r="M42" s="35">
        <f t="shared" si="6"/>
        <v>30</v>
      </c>
      <c r="N42" s="33">
        <f t="shared" si="7"/>
        <v>4</v>
      </c>
      <c r="O42" s="34">
        <f t="shared" si="8"/>
        <v>75</v>
      </c>
      <c r="P42" s="35">
        <f t="shared" si="9"/>
        <v>45</v>
      </c>
      <c r="Q42" s="33">
        <f t="shared" si="10"/>
        <v>5</v>
      </c>
      <c r="R42" s="34">
        <f t="shared" si="11"/>
        <v>100</v>
      </c>
      <c r="S42" s="35">
        <f t="shared" si="12"/>
        <v>60</v>
      </c>
      <c r="T42" s="33">
        <f t="shared" si="13"/>
        <v>6</v>
      </c>
      <c r="U42" s="34">
        <f t="shared" si="14"/>
        <v>125</v>
      </c>
      <c r="V42" s="35">
        <f t="shared" si="15"/>
        <v>75</v>
      </c>
      <c r="W42" s="33">
        <f t="shared" si="16"/>
        <v>7</v>
      </c>
      <c r="X42" s="34">
        <f t="shared" si="17"/>
        <v>150</v>
      </c>
      <c r="Y42" s="36">
        <f t="shared" si="18"/>
        <v>90</v>
      </c>
    </row>
    <row r="43" spans="1:25" ht="15.5">
      <c r="A43" s="15">
        <v>1</v>
      </c>
      <c r="B43" s="16">
        <v>2.5</v>
      </c>
      <c r="C43" s="3" t="s">
        <v>468</v>
      </c>
      <c r="D43" s="3" t="s">
        <v>266</v>
      </c>
      <c r="E43" s="3"/>
      <c r="F43" s="3" t="s">
        <v>424</v>
      </c>
      <c r="G43" s="27"/>
      <c r="H43" s="33">
        <f t="shared" si="1"/>
        <v>2</v>
      </c>
      <c r="I43" s="34">
        <f t="shared" si="2"/>
        <v>25</v>
      </c>
      <c r="J43" s="35">
        <f t="shared" si="3"/>
        <v>15</v>
      </c>
      <c r="K43" s="33">
        <f t="shared" si="4"/>
        <v>3</v>
      </c>
      <c r="L43" s="34">
        <f t="shared" si="5"/>
        <v>50</v>
      </c>
      <c r="M43" s="35">
        <f t="shared" si="6"/>
        <v>30</v>
      </c>
      <c r="N43" s="33">
        <f t="shared" si="7"/>
        <v>4</v>
      </c>
      <c r="O43" s="34">
        <f t="shared" si="8"/>
        <v>75</v>
      </c>
      <c r="P43" s="35">
        <f t="shared" si="9"/>
        <v>45</v>
      </c>
      <c r="Q43" s="33">
        <f t="shared" si="10"/>
        <v>5</v>
      </c>
      <c r="R43" s="34">
        <f t="shared" si="11"/>
        <v>100</v>
      </c>
      <c r="S43" s="35">
        <f t="shared" si="12"/>
        <v>60</v>
      </c>
      <c r="T43" s="33">
        <f t="shared" si="13"/>
        <v>6</v>
      </c>
      <c r="U43" s="34">
        <f t="shared" si="14"/>
        <v>125</v>
      </c>
      <c r="V43" s="35">
        <f t="shared" si="15"/>
        <v>75</v>
      </c>
      <c r="W43" s="33">
        <f t="shared" si="16"/>
        <v>7</v>
      </c>
      <c r="X43" s="34">
        <f t="shared" si="17"/>
        <v>150</v>
      </c>
      <c r="Y43" s="36">
        <f t="shared" si="18"/>
        <v>90</v>
      </c>
    </row>
    <row r="44" spans="1:25" ht="43.5">
      <c r="A44" s="15">
        <v>2</v>
      </c>
      <c r="B44" s="16">
        <v>3.75</v>
      </c>
      <c r="C44" s="3" t="s">
        <v>44</v>
      </c>
      <c r="D44" s="3" t="s">
        <v>249</v>
      </c>
      <c r="E44" s="3" t="s">
        <v>469</v>
      </c>
      <c r="F44" s="17" t="s">
        <v>470</v>
      </c>
      <c r="G44" s="28" t="s">
        <v>471</v>
      </c>
      <c r="H44" s="33">
        <f t="shared" si="1"/>
        <v>3</v>
      </c>
      <c r="I44" s="34">
        <f t="shared" si="2"/>
        <v>25</v>
      </c>
      <c r="J44" s="35">
        <f t="shared" si="3"/>
        <v>15</v>
      </c>
      <c r="K44" s="33">
        <f t="shared" si="4"/>
        <v>4</v>
      </c>
      <c r="L44" s="34">
        <f t="shared" si="5"/>
        <v>50</v>
      </c>
      <c r="M44" s="35">
        <f t="shared" si="6"/>
        <v>30</v>
      </c>
      <c r="N44" s="33">
        <f t="shared" si="7"/>
        <v>5</v>
      </c>
      <c r="O44" s="34">
        <f t="shared" si="8"/>
        <v>75</v>
      </c>
      <c r="P44" s="35">
        <f t="shared" si="9"/>
        <v>45</v>
      </c>
      <c r="Q44" s="33">
        <f t="shared" si="10"/>
        <v>6</v>
      </c>
      <c r="R44" s="34">
        <f t="shared" si="11"/>
        <v>100</v>
      </c>
      <c r="S44" s="35">
        <f t="shared" si="12"/>
        <v>60</v>
      </c>
      <c r="T44" s="33">
        <f t="shared" si="13"/>
        <v>7</v>
      </c>
      <c r="U44" s="34">
        <f t="shared" si="14"/>
        <v>125</v>
      </c>
      <c r="V44" s="35">
        <f t="shared" si="15"/>
        <v>75</v>
      </c>
      <c r="W44" s="33">
        <f t="shared" si="16"/>
        <v>8</v>
      </c>
      <c r="X44" s="34">
        <f t="shared" si="17"/>
        <v>150</v>
      </c>
      <c r="Y44" s="36">
        <f t="shared" si="18"/>
        <v>90</v>
      </c>
    </row>
    <row r="45" spans="1:25" ht="43.5">
      <c r="A45" s="15">
        <v>2</v>
      </c>
      <c r="B45" s="16">
        <v>3.75</v>
      </c>
      <c r="C45" s="3" t="s">
        <v>472</v>
      </c>
      <c r="D45" s="3" t="s">
        <v>245</v>
      </c>
      <c r="E45" s="3" t="s">
        <v>473</v>
      </c>
      <c r="F45" s="18" t="s">
        <v>474</v>
      </c>
      <c r="G45" s="28" t="s">
        <v>471</v>
      </c>
      <c r="H45" s="33">
        <f t="shared" si="1"/>
        <v>3</v>
      </c>
      <c r="I45" s="34">
        <f t="shared" si="2"/>
        <v>25</v>
      </c>
      <c r="J45" s="35">
        <f t="shared" si="3"/>
        <v>15</v>
      </c>
      <c r="K45" s="33">
        <f t="shared" si="4"/>
        <v>4</v>
      </c>
      <c r="L45" s="34">
        <f t="shared" si="5"/>
        <v>50</v>
      </c>
      <c r="M45" s="35">
        <f t="shared" si="6"/>
        <v>30</v>
      </c>
      <c r="N45" s="33">
        <f t="shared" si="7"/>
        <v>5</v>
      </c>
      <c r="O45" s="34">
        <f t="shared" si="8"/>
        <v>75</v>
      </c>
      <c r="P45" s="35">
        <f t="shared" si="9"/>
        <v>45</v>
      </c>
      <c r="Q45" s="33">
        <f t="shared" si="10"/>
        <v>6</v>
      </c>
      <c r="R45" s="34">
        <f t="shared" si="11"/>
        <v>100</v>
      </c>
      <c r="S45" s="35">
        <f t="shared" si="12"/>
        <v>60</v>
      </c>
      <c r="T45" s="33">
        <f t="shared" si="13"/>
        <v>7</v>
      </c>
      <c r="U45" s="34">
        <f t="shared" si="14"/>
        <v>125</v>
      </c>
      <c r="V45" s="35">
        <f t="shared" si="15"/>
        <v>75</v>
      </c>
      <c r="W45" s="33">
        <f t="shared" si="16"/>
        <v>8</v>
      </c>
      <c r="X45" s="34">
        <f t="shared" si="17"/>
        <v>150</v>
      </c>
      <c r="Y45" s="36">
        <f t="shared" si="18"/>
        <v>90</v>
      </c>
    </row>
    <row r="46" spans="1:25" ht="43.5">
      <c r="A46" s="15">
        <v>2</v>
      </c>
      <c r="B46" s="16">
        <v>3.75</v>
      </c>
      <c r="C46" s="3" t="s">
        <v>475</v>
      </c>
      <c r="D46" s="3" t="s">
        <v>266</v>
      </c>
      <c r="E46" s="17" t="s">
        <v>476</v>
      </c>
      <c r="F46" s="17" t="s">
        <v>477</v>
      </c>
      <c r="G46" s="28" t="s">
        <v>471</v>
      </c>
      <c r="H46" s="33">
        <f t="shared" si="1"/>
        <v>3</v>
      </c>
      <c r="I46" s="34">
        <f t="shared" si="2"/>
        <v>25</v>
      </c>
      <c r="J46" s="35">
        <f t="shared" si="3"/>
        <v>15</v>
      </c>
      <c r="K46" s="33">
        <f t="shared" si="4"/>
        <v>4</v>
      </c>
      <c r="L46" s="34">
        <f t="shared" si="5"/>
        <v>50</v>
      </c>
      <c r="M46" s="35">
        <f t="shared" si="6"/>
        <v>30</v>
      </c>
      <c r="N46" s="33">
        <f t="shared" si="7"/>
        <v>5</v>
      </c>
      <c r="O46" s="34">
        <f t="shared" si="8"/>
        <v>75</v>
      </c>
      <c r="P46" s="35">
        <f t="shared" si="9"/>
        <v>45</v>
      </c>
      <c r="Q46" s="33">
        <f t="shared" si="10"/>
        <v>6</v>
      </c>
      <c r="R46" s="34">
        <f t="shared" si="11"/>
        <v>100</v>
      </c>
      <c r="S46" s="35">
        <f t="shared" si="12"/>
        <v>60</v>
      </c>
      <c r="T46" s="33">
        <f t="shared" si="13"/>
        <v>7</v>
      </c>
      <c r="U46" s="34">
        <f t="shared" si="14"/>
        <v>125</v>
      </c>
      <c r="V46" s="35">
        <f t="shared" si="15"/>
        <v>75</v>
      </c>
      <c r="W46" s="33">
        <f t="shared" si="16"/>
        <v>8</v>
      </c>
      <c r="X46" s="34">
        <f t="shared" si="17"/>
        <v>150</v>
      </c>
      <c r="Y46" s="36">
        <f t="shared" si="18"/>
        <v>90</v>
      </c>
    </row>
    <row r="47" spans="1:25" ht="43.5">
      <c r="A47" s="15">
        <v>2</v>
      </c>
      <c r="B47" s="16">
        <v>3.75</v>
      </c>
      <c r="C47" s="3" t="s">
        <v>478</v>
      </c>
      <c r="D47" s="3" t="s">
        <v>172</v>
      </c>
      <c r="E47" s="17" t="s">
        <v>479</v>
      </c>
      <c r="F47" s="17" t="s">
        <v>480</v>
      </c>
      <c r="G47" s="28" t="s">
        <v>471</v>
      </c>
      <c r="H47" s="33">
        <f t="shared" si="1"/>
        <v>3</v>
      </c>
      <c r="I47" s="34">
        <f t="shared" si="2"/>
        <v>25</v>
      </c>
      <c r="J47" s="35">
        <f t="shared" si="3"/>
        <v>15</v>
      </c>
      <c r="K47" s="33">
        <f t="shared" si="4"/>
        <v>4</v>
      </c>
      <c r="L47" s="34">
        <f t="shared" si="5"/>
        <v>50</v>
      </c>
      <c r="M47" s="35">
        <f t="shared" si="6"/>
        <v>30</v>
      </c>
      <c r="N47" s="33">
        <f t="shared" si="7"/>
        <v>5</v>
      </c>
      <c r="O47" s="34">
        <f t="shared" si="8"/>
        <v>75</v>
      </c>
      <c r="P47" s="35">
        <f t="shared" si="9"/>
        <v>45</v>
      </c>
      <c r="Q47" s="33">
        <f t="shared" si="10"/>
        <v>6</v>
      </c>
      <c r="R47" s="34">
        <f t="shared" si="11"/>
        <v>100</v>
      </c>
      <c r="S47" s="35">
        <f t="shared" si="12"/>
        <v>60</v>
      </c>
      <c r="T47" s="33">
        <f t="shared" si="13"/>
        <v>7</v>
      </c>
      <c r="U47" s="34">
        <f t="shared" si="14"/>
        <v>125</v>
      </c>
      <c r="V47" s="35">
        <f t="shared" si="15"/>
        <v>75</v>
      </c>
      <c r="W47" s="33">
        <f t="shared" si="16"/>
        <v>8</v>
      </c>
      <c r="X47" s="34">
        <f t="shared" si="17"/>
        <v>150</v>
      </c>
      <c r="Y47" s="36">
        <f t="shared" si="18"/>
        <v>90</v>
      </c>
    </row>
    <row r="48" spans="1:25" ht="43.5">
      <c r="A48" s="15">
        <v>2</v>
      </c>
      <c r="B48" s="16">
        <v>3.75</v>
      </c>
      <c r="C48" s="3" t="s">
        <v>45</v>
      </c>
      <c r="D48" s="3" t="s">
        <v>263</v>
      </c>
      <c r="E48" s="17" t="s">
        <v>481</v>
      </c>
      <c r="F48" s="17" t="s">
        <v>482</v>
      </c>
      <c r="G48" s="28" t="s">
        <v>471</v>
      </c>
      <c r="H48" s="33">
        <f t="shared" si="1"/>
        <v>3</v>
      </c>
      <c r="I48" s="34">
        <f t="shared" si="2"/>
        <v>25</v>
      </c>
      <c r="J48" s="35">
        <f t="shared" si="3"/>
        <v>15</v>
      </c>
      <c r="K48" s="33">
        <f t="shared" si="4"/>
        <v>4</v>
      </c>
      <c r="L48" s="34">
        <f t="shared" si="5"/>
        <v>50</v>
      </c>
      <c r="M48" s="35">
        <f t="shared" si="6"/>
        <v>30</v>
      </c>
      <c r="N48" s="33">
        <f t="shared" si="7"/>
        <v>5</v>
      </c>
      <c r="O48" s="34">
        <f t="shared" si="8"/>
        <v>75</v>
      </c>
      <c r="P48" s="35">
        <f t="shared" si="9"/>
        <v>45</v>
      </c>
      <c r="Q48" s="33">
        <f t="shared" si="10"/>
        <v>6</v>
      </c>
      <c r="R48" s="34">
        <f t="shared" si="11"/>
        <v>100</v>
      </c>
      <c r="S48" s="35">
        <f t="shared" si="12"/>
        <v>60</v>
      </c>
      <c r="T48" s="33">
        <f t="shared" si="13"/>
        <v>7</v>
      </c>
      <c r="U48" s="34">
        <f t="shared" si="14"/>
        <v>125</v>
      </c>
      <c r="V48" s="35">
        <f t="shared" si="15"/>
        <v>75</v>
      </c>
      <c r="W48" s="33">
        <f t="shared" si="16"/>
        <v>8</v>
      </c>
      <c r="X48" s="34">
        <f t="shared" si="17"/>
        <v>150</v>
      </c>
      <c r="Y48" s="36">
        <f t="shared" si="18"/>
        <v>90</v>
      </c>
    </row>
    <row r="49" spans="1:25" ht="43.5">
      <c r="A49" s="15">
        <v>2</v>
      </c>
      <c r="B49" s="16">
        <v>3.75</v>
      </c>
      <c r="C49" s="3" t="s">
        <v>483</v>
      </c>
      <c r="D49" s="3" t="s">
        <v>270</v>
      </c>
      <c r="E49" s="3" t="s">
        <v>306</v>
      </c>
      <c r="F49" s="17" t="s">
        <v>484</v>
      </c>
      <c r="G49" s="28" t="s">
        <v>471</v>
      </c>
      <c r="H49" s="33">
        <f t="shared" si="1"/>
        <v>3</v>
      </c>
      <c r="I49" s="34">
        <f t="shared" si="2"/>
        <v>25</v>
      </c>
      <c r="J49" s="35">
        <f t="shared" si="3"/>
        <v>15</v>
      </c>
      <c r="K49" s="33">
        <f t="shared" si="4"/>
        <v>4</v>
      </c>
      <c r="L49" s="34">
        <f t="shared" si="5"/>
        <v>50</v>
      </c>
      <c r="M49" s="35">
        <f t="shared" si="6"/>
        <v>30</v>
      </c>
      <c r="N49" s="33">
        <f t="shared" si="7"/>
        <v>5</v>
      </c>
      <c r="O49" s="34">
        <f t="shared" si="8"/>
        <v>75</v>
      </c>
      <c r="P49" s="35">
        <f t="shared" si="9"/>
        <v>45</v>
      </c>
      <c r="Q49" s="33">
        <f t="shared" si="10"/>
        <v>6</v>
      </c>
      <c r="R49" s="34">
        <f t="shared" si="11"/>
        <v>100</v>
      </c>
      <c r="S49" s="35">
        <f t="shared" si="12"/>
        <v>60</v>
      </c>
      <c r="T49" s="33">
        <f t="shared" si="13"/>
        <v>7</v>
      </c>
      <c r="U49" s="34">
        <f t="shared" si="14"/>
        <v>125</v>
      </c>
      <c r="V49" s="35">
        <f t="shared" si="15"/>
        <v>75</v>
      </c>
      <c r="W49" s="33">
        <f t="shared" si="16"/>
        <v>8</v>
      </c>
      <c r="X49" s="34">
        <f t="shared" si="17"/>
        <v>150</v>
      </c>
      <c r="Y49" s="36">
        <f t="shared" si="18"/>
        <v>90</v>
      </c>
    </row>
    <row r="50" spans="1:25" ht="15.5">
      <c r="A50" s="15">
        <v>2</v>
      </c>
      <c r="B50" s="16">
        <v>3.75</v>
      </c>
      <c r="C50" s="3" t="s">
        <v>485</v>
      </c>
      <c r="D50" s="3"/>
      <c r="E50" s="3" t="s">
        <v>245</v>
      </c>
      <c r="F50" s="3" t="s">
        <v>486</v>
      </c>
      <c r="G50" s="27" t="s">
        <v>487</v>
      </c>
      <c r="H50" s="33">
        <f t="shared" si="1"/>
        <v>3</v>
      </c>
      <c r="I50" s="34">
        <f t="shared" si="2"/>
        <v>25</v>
      </c>
      <c r="J50" s="35">
        <f t="shared" si="3"/>
        <v>15</v>
      </c>
      <c r="K50" s="33">
        <f t="shared" si="4"/>
        <v>4</v>
      </c>
      <c r="L50" s="34">
        <f t="shared" si="5"/>
        <v>50</v>
      </c>
      <c r="M50" s="35">
        <f t="shared" si="6"/>
        <v>30</v>
      </c>
      <c r="N50" s="33">
        <f t="shared" si="7"/>
        <v>5</v>
      </c>
      <c r="O50" s="34">
        <f t="shared" si="8"/>
        <v>75</v>
      </c>
      <c r="P50" s="35">
        <f t="shared" si="9"/>
        <v>45</v>
      </c>
      <c r="Q50" s="33">
        <f t="shared" si="10"/>
        <v>6</v>
      </c>
      <c r="R50" s="34">
        <f t="shared" si="11"/>
        <v>100</v>
      </c>
      <c r="S50" s="35">
        <f t="shared" si="12"/>
        <v>60</v>
      </c>
      <c r="T50" s="33">
        <f t="shared" si="13"/>
        <v>7</v>
      </c>
      <c r="U50" s="34">
        <f t="shared" si="14"/>
        <v>125</v>
      </c>
      <c r="V50" s="35">
        <f t="shared" si="15"/>
        <v>75</v>
      </c>
      <c r="W50" s="33">
        <f t="shared" si="16"/>
        <v>8</v>
      </c>
      <c r="X50" s="34">
        <f t="shared" si="17"/>
        <v>150</v>
      </c>
      <c r="Y50" s="36">
        <f t="shared" si="18"/>
        <v>90</v>
      </c>
    </row>
    <row r="51" spans="1:25" ht="15.5">
      <c r="A51" s="15">
        <v>2</v>
      </c>
      <c r="B51" s="16">
        <v>4.5</v>
      </c>
      <c r="C51" s="3" t="s">
        <v>488</v>
      </c>
      <c r="D51" s="3" t="s">
        <v>489</v>
      </c>
      <c r="E51" s="3" t="s">
        <v>490</v>
      </c>
      <c r="F51" s="3"/>
      <c r="G51" s="27"/>
      <c r="H51" s="33">
        <f t="shared" si="1"/>
        <v>3</v>
      </c>
      <c r="I51" s="34">
        <f t="shared" si="2"/>
        <v>30</v>
      </c>
      <c r="J51" s="35">
        <f t="shared" si="3"/>
        <v>20</v>
      </c>
      <c r="K51" s="33">
        <f t="shared" si="4"/>
        <v>4</v>
      </c>
      <c r="L51" s="34">
        <f t="shared" si="5"/>
        <v>60</v>
      </c>
      <c r="M51" s="35">
        <f t="shared" si="6"/>
        <v>40</v>
      </c>
      <c r="N51" s="33">
        <f t="shared" si="7"/>
        <v>5</v>
      </c>
      <c r="O51" s="34">
        <f t="shared" si="8"/>
        <v>90</v>
      </c>
      <c r="P51" s="35">
        <f t="shared" si="9"/>
        <v>60</v>
      </c>
      <c r="Q51" s="33">
        <f t="shared" si="10"/>
        <v>6</v>
      </c>
      <c r="R51" s="34">
        <f t="shared" si="11"/>
        <v>120</v>
      </c>
      <c r="S51" s="35">
        <f t="shared" si="12"/>
        <v>80</v>
      </c>
      <c r="T51" s="33">
        <f t="shared" si="13"/>
        <v>7</v>
      </c>
      <c r="U51" s="34">
        <f t="shared" si="14"/>
        <v>150</v>
      </c>
      <c r="V51" s="35">
        <f t="shared" si="15"/>
        <v>100</v>
      </c>
      <c r="W51" s="33">
        <f t="shared" si="16"/>
        <v>8</v>
      </c>
      <c r="X51" s="34">
        <f t="shared" si="17"/>
        <v>180</v>
      </c>
      <c r="Y51" s="36">
        <f t="shared" si="18"/>
        <v>120</v>
      </c>
    </row>
    <row r="52" spans="1:25" ht="15.5">
      <c r="A52" s="15">
        <v>1</v>
      </c>
      <c r="B52" s="16">
        <v>4.5</v>
      </c>
      <c r="C52" s="3" t="s">
        <v>491</v>
      </c>
      <c r="D52" s="3"/>
      <c r="E52" s="3"/>
      <c r="F52" s="3" t="s">
        <v>283</v>
      </c>
      <c r="G52" s="27"/>
      <c r="H52" s="33">
        <f t="shared" si="1"/>
        <v>2</v>
      </c>
      <c r="I52" s="34">
        <f t="shared" si="2"/>
        <v>45</v>
      </c>
      <c r="J52" s="35">
        <f t="shared" si="3"/>
        <v>25</v>
      </c>
      <c r="K52" s="33">
        <f t="shared" si="4"/>
        <v>3</v>
      </c>
      <c r="L52" s="34">
        <f t="shared" si="5"/>
        <v>90</v>
      </c>
      <c r="M52" s="35">
        <f t="shared" si="6"/>
        <v>50</v>
      </c>
      <c r="N52" s="33">
        <f t="shared" si="7"/>
        <v>4</v>
      </c>
      <c r="O52" s="34">
        <f t="shared" si="8"/>
        <v>135</v>
      </c>
      <c r="P52" s="35">
        <f t="shared" si="9"/>
        <v>75</v>
      </c>
      <c r="Q52" s="33">
        <f t="shared" si="10"/>
        <v>5</v>
      </c>
      <c r="R52" s="34">
        <f t="shared" si="11"/>
        <v>180</v>
      </c>
      <c r="S52" s="35">
        <f t="shared" si="12"/>
        <v>100</v>
      </c>
      <c r="T52" s="33">
        <f t="shared" si="13"/>
        <v>6</v>
      </c>
      <c r="U52" s="34">
        <f t="shared" si="14"/>
        <v>225</v>
      </c>
      <c r="V52" s="35">
        <f t="shared" si="15"/>
        <v>125</v>
      </c>
      <c r="W52" s="33">
        <f t="shared" si="16"/>
        <v>7</v>
      </c>
      <c r="X52" s="34">
        <f t="shared" si="17"/>
        <v>270</v>
      </c>
      <c r="Y52" s="36">
        <f t="shared" si="18"/>
        <v>150</v>
      </c>
    </row>
    <row r="53" spans="1:25" ht="15.5">
      <c r="A53" s="15">
        <v>2</v>
      </c>
      <c r="B53" s="16">
        <v>7.5</v>
      </c>
      <c r="C53" s="3" t="s">
        <v>492</v>
      </c>
      <c r="D53" s="3"/>
      <c r="E53" s="3"/>
      <c r="F53" s="3" t="s">
        <v>17</v>
      </c>
      <c r="G53" s="27"/>
      <c r="H53" s="33">
        <f t="shared" si="1"/>
        <v>3</v>
      </c>
      <c r="I53" s="34">
        <f t="shared" si="2"/>
        <v>50</v>
      </c>
      <c r="J53" s="35">
        <f t="shared" si="3"/>
        <v>30</v>
      </c>
      <c r="K53" s="33">
        <f t="shared" si="4"/>
        <v>4</v>
      </c>
      <c r="L53" s="34">
        <f t="shared" si="5"/>
        <v>100</v>
      </c>
      <c r="M53" s="35">
        <f t="shared" si="6"/>
        <v>60</v>
      </c>
      <c r="N53" s="33">
        <f t="shared" si="7"/>
        <v>5</v>
      </c>
      <c r="O53" s="34">
        <f t="shared" si="8"/>
        <v>150</v>
      </c>
      <c r="P53" s="35">
        <f t="shared" si="9"/>
        <v>90</v>
      </c>
      <c r="Q53" s="33">
        <f t="shared" si="10"/>
        <v>6</v>
      </c>
      <c r="R53" s="34">
        <f t="shared" si="11"/>
        <v>200</v>
      </c>
      <c r="S53" s="35">
        <f t="shared" si="12"/>
        <v>120</v>
      </c>
      <c r="T53" s="33">
        <f t="shared" si="13"/>
        <v>7</v>
      </c>
      <c r="U53" s="34">
        <f t="shared" si="14"/>
        <v>250</v>
      </c>
      <c r="V53" s="35">
        <f t="shared" si="15"/>
        <v>150</v>
      </c>
      <c r="W53" s="33">
        <f t="shared" si="16"/>
        <v>8</v>
      </c>
      <c r="X53" s="34">
        <f t="shared" si="17"/>
        <v>300</v>
      </c>
      <c r="Y53" s="36">
        <f t="shared" si="18"/>
        <v>180</v>
      </c>
    </row>
    <row r="54" spans="1:25" ht="15.5">
      <c r="A54" s="15">
        <v>2</v>
      </c>
      <c r="B54" s="16">
        <v>7.5</v>
      </c>
      <c r="C54" s="3" t="s">
        <v>493</v>
      </c>
      <c r="D54" s="3" t="s">
        <v>245</v>
      </c>
      <c r="E54" s="3"/>
      <c r="F54" s="3"/>
      <c r="G54" s="27"/>
      <c r="H54" s="33">
        <f t="shared" si="1"/>
        <v>3</v>
      </c>
      <c r="I54" s="34">
        <f t="shared" si="2"/>
        <v>50</v>
      </c>
      <c r="J54" s="35">
        <f t="shared" si="3"/>
        <v>30</v>
      </c>
      <c r="K54" s="33">
        <f t="shared" si="4"/>
        <v>4</v>
      </c>
      <c r="L54" s="34">
        <f t="shared" si="5"/>
        <v>100</v>
      </c>
      <c r="M54" s="35">
        <f t="shared" si="6"/>
        <v>60</v>
      </c>
      <c r="N54" s="33">
        <f t="shared" si="7"/>
        <v>5</v>
      </c>
      <c r="O54" s="34">
        <f t="shared" si="8"/>
        <v>150</v>
      </c>
      <c r="P54" s="35">
        <f t="shared" si="9"/>
        <v>90</v>
      </c>
      <c r="Q54" s="33">
        <f t="shared" si="10"/>
        <v>6</v>
      </c>
      <c r="R54" s="34">
        <f t="shared" si="11"/>
        <v>200</v>
      </c>
      <c r="S54" s="35">
        <f t="shared" si="12"/>
        <v>120</v>
      </c>
      <c r="T54" s="33">
        <f t="shared" si="13"/>
        <v>7</v>
      </c>
      <c r="U54" s="34">
        <f t="shared" si="14"/>
        <v>250</v>
      </c>
      <c r="V54" s="35">
        <f t="shared" si="15"/>
        <v>150</v>
      </c>
      <c r="W54" s="33">
        <f t="shared" si="16"/>
        <v>8</v>
      </c>
      <c r="X54" s="34">
        <f t="shared" si="17"/>
        <v>300</v>
      </c>
      <c r="Y54" s="36">
        <f t="shared" si="18"/>
        <v>180</v>
      </c>
    </row>
    <row r="55" spans="1:25" ht="15.5">
      <c r="A55" s="15">
        <v>4</v>
      </c>
      <c r="B55" s="16">
        <v>10</v>
      </c>
      <c r="C55" s="3" t="s">
        <v>494</v>
      </c>
      <c r="D55" s="3" t="s">
        <v>263</v>
      </c>
      <c r="E55" s="3"/>
      <c r="F55" s="3" t="s">
        <v>495</v>
      </c>
      <c r="G55" s="27"/>
      <c r="H55" s="33">
        <f t="shared" si="1"/>
        <v>5</v>
      </c>
      <c r="I55" s="34">
        <f t="shared" si="2"/>
        <v>40</v>
      </c>
      <c r="J55" s="35">
        <f t="shared" si="3"/>
        <v>25</v>
      </c>
      <c r="K55" s="33">
        <f t="shared" si="4"/>
        <v>6</v>
      </c>
      <c r="L55" s="34">
        <f t="shared" si="5"/>
        <v>80</v>
      </c>
      <c r="M55" s="35">
        <f t="shared" si="6"/>
        <v>50</v>
      </c>
      <c r="N55" s="33">
        <f t="shared" si="7"/>
        <v>7</v>
      </c>
      <c r="O55" s="34">
        <f t="shared" si="8"/>
        <v>120</v>
      </c>
      <c r="P55" s="35">
        <f t="shared" si="9"/>
        <v>75</v>
      </c>
      <c r="Q55" s="33">
        <f t="shared" si="10"/>
        <v>8</v>
      </c>
      <c r="R55" s="34">
        <f t="shared" si="11"/>
        <v>160</v>
      </c>
      <c r="S55" s="35">
        <f t="shared" si="12"/>
        <v>100</v>
      </c>
      <c r="T55" s="33">
        <f t="shared" si="13"/>
        <v>9</v>
      </c>
      <c r="U55" s="34">
        <f t="shared" si="14"/>
        <v>200</v>
      </c>
      <c r="V55" s="35">
        <f t="shared" si="15"/>
        <v>125</v>
      </c>
      <c r="W55" s="33">
        <f t="shared" si="16"/>
        <v>10</v>
      </c>
      <c r="X55" s="34">
        <f t="shared" si="17"/>
        <v>240</v>
      </c>
      <c r="Y55" s="36">
        <f t="shared" si="18"/>
        <v>150</v>
      </c>
    </row>
    <row r="56" spans="1:25" ht="15.5">
      <c r="A56" s="15">
        <v>3</v>
      </c>
      <c r="B56" s="16">
        <v>10</v>
      </c>
      <c r="C56" s="3" t="s">
        <v>496</v>
      </c>
      <c r="D56" s="3" t="s">
        <v>249</v>
      </c>
      <c r="E56" s="3"/>
      <c r="F56" s="3" t="s">
        <v>255</v>
      </c>
      <c r="G56" s="27"/>
      <c r="H56" s="33">
        <f t="shared" si="1"/>
        <v>4</v>
      </c>
      <c r="I56" s="34">
        <f t="shared" si="2"/>
        <v>50</v>
      </c>
      <c r="J56" s="35">
        <f t="shared" si="3"/>
        <v>30</v>
      </c>
      <c r="K56" s="33">
        <f t="shared" si="4"/>
        <v>5</v>
      </c>
      <c r="L56" s="34">
        <f t="shared" si="5"/>
        <v>100</v>
      </c>
      <c r="M56" s="35">
        <f t="shared" si="6"/>
        <v>60</v>
      </c>
      <c r="N56" s="33">
        <f t="shared" si="7"/>
        <v>6</v>
      </c>
      <c r="O56" s="34">
        <f t="shared" si="8"/>
        <v>150</v>
      </c>
      <c r="P56" s="35">
        <f t="shared" si="9"/>
        <v>90</v>
      </c>
      <c r="Q56" s="33">
        <f t="shared" si="10"/>
        <v>7</v>
      </c>
      <c r="R56" s="34">
        <f t="shared" si="11"/>
        <v>200</v>
      </c>
      <c r="S56" s="35">
        <f t="shared" si="12"/>
        <v>120</v>
      </c>
      <c r="T56" s="33">
        <f t="shared" si="13"/>
        <v>8</v>
      </c>
      <c r="U56" s="34">
        <f t="shared" si="14"/>
        <v>250</v>
      </c>
      <c r="V56" s="35">
        <f t="shared" si="15"/>
        <v>150</v>
      </c>
      <c r="W56" s="33">
        <f t="shared" si="16"/>
        <v>9</v>
      </c>
      <c r="X56" s="34">
        <f t="shared" si="17"/>
        <v>300</v>
      </c>
      <c r="Y56" s="36">
        <f t="shared" si="18"/>
        <v>180</v>
      </c>
    </row>
    <row r="57" spans="1:25" ht="15.5">
      <c r="A57" s="15">
        <v>3</v>
      </c>
      <c r="B57" s="16">
        <v>12</v>
      </c>
      <c r="C57" s="3" t="s">
        <v>497</v>
      </c>
      <c r="D57" s="3" t="s">
        <v>498</v>
      </c>
      <c r="E57" s="3" t="s">
        <v>270</v>
      </c>
      <c r="F57" s="3" t="s">
        <v>426</v>
      </c>
      <c r="G57" s="27"/>
      <c r="H57" s="33">
        <f t="shared" si="1"/>
        <v>4</v>
      </c>
      <c r="I57" s="34">
        <f t="shared" si="2"/>
        <v>60</v>
      </c>
      <c r="J57" s="35">
        <f t="shared" si="3"/>
        <v>35</v>
      </c>
      <c r="K57" s="33">
        <f t="shared" si="4"/>
        <v>5</v>
      </c>
      <c r="L57" s="34">
        <f t="shared" si="5"/>
        <v>120</v>
      </c>
      <c r="M57" s="35">
        <f t="shared" si="6"/>
        <v>70</v>
      </c>
      <c r="N57" s="33">
        <f t="shared" si="7"/>
        <v>6</v>
      </c>
      <c r="O57" s="34">
        <f t="shared" si="8"/>
        <v>180</v>
      </c>
      <c r="P57" s="35">
        <f t="shared" si="9"/>
        <v>105</v>
      </c>
      <c r="Q57" s="33">
        <f t="shared" si="10"/>
        <v>7</v>
      </c>
      <c r="R57" s="34">
        <f t="shared" si="11"/>
        <v>240</v>
      </c>
      <c r="S57" s="35">
        <f t="shared" si="12"/>
        <v>140</v>
      </c>
      <c r="T57" s="33">
        <f t="shared" si="13"/>
        <v>8</v>
      </c>
      <c r="U57" s="34">
        <f t="shared" si="14"/>
        <v>300</v>
      </c>
      <c r="V57" s="35">
        <f t="shared" si="15"/>
        <v>175</v>
      </c>
      <c r="W57" s="33">
        <f t="shared" si="16"/>
        <v>9</v>
      </c>
      <c r="X57" s="34">
        <f t="shared" si="17"/>
        <v>360</v>
      </c>
      <c r="Y57" s="36">
        <f t="shared" si="18"/>
        <v>210</v>
      </c>
    </row>
    <row r="58" spans="1:25" ht="15.5">
      <c r="A58" s="15">
        <v>3</v>
      </c>
      <c r="B58" s="16">
        <v>16</v>
      </c>
      <c r="C58" s="3" t="s">
        <v>499</v>
      </c>
      <c r="D58" s="3" t="s">
        <v>500</v>
      </c>
      <c r="E58" s="3" t="s">
        <v>501</v>
      </c>
      <c r="F58" s="3" t="s">
        <v>502</v>
      </c>
      <c r="G58" s="27"/>
      <c r="H58" s="33">
        <f t="shared" si="1"/>
        <v>4</v>
      </c>
      <c r="I58" s="34">
        <f t="shared" si="2"/>
        <v>80</v>
      </c>
      <c r="J58" s="35">
        <f t="shared" si="3"/>
        <v>45</v>
      </c>
      <c r="K58" s="33">
        <f t="shared" si="4"/>
        <v>5</v>
      </c>
      <c r="L58" s="34">
        <f t="shared" si="5"/>
        <v>160</v>
      </c>
      <c r="M58" s="35">
        <f t="shared" si="6"/>
        <v>90</v>
      </c>
      <c r="N58" s="33">
        <f t="shared" si="7"/>
        <v>6</v>
      </c>
      <c r="O58" s="34">
        <f t="shared" si="8"/>
        <v>240</v>
      </c>
      <c r="P58" s="35">
        <f t="shared" si="9"/>
        <v>135</v>
      </c>
      <c r="Q58" s="33">
        <f t="shared" si="10"/>
        <v>7</v>
      </c>
      <c r="R58" s="34">
        <f t="shared" si="11"/>
        <v>320</v>
      </c>
      <c r="S58" s="35">
        <f t="shared" si="12"/>
        <v>180</v>
      </c>
      <c r="T58" s="33">
        <f t="shared" si="13"/>
        <v>8</v>
      </c>
      <c r="U58" s="34">
        <f t="shared" si="14"/>
        <v>400</v>
      </c>
      <c r="V58" s="35">
        <f t="shared" si="15"/>
        <v>225</v>
      </c>
      <c r="W58" s="33">
        <f t="shared" si="16"/>
        <v>9</v>
      </c>
      <c r="X58" s="34">
        <f t="shared" si="17"/>
        <v>480</v>
      </c>
      <c r="Y58" s="36">
        <f t="shared" si="18"/>
        <v>270</v>
      </c>
    </row>
    <row r="59" spans="1:25" ht="15.5">
      <c r="A59" s="15">
        <v>3</v>
      </c>
      <c r="B59" s="16">
        <v>16</v>
      </c>
      <c r="C59" s="3" t="s">
        <v>25</v>
      </c>
      <c r="D59" s="3" t="s">
        <v>245</v>
      </c>
      <c r="E59" s="3" t="s">
        <v>473</v>
      </c>
      <c r="F59" s="3" t="s">
        <v>503</v>
      </c>
      <c r="G59" s="27"/>
      <c r="H59" s="33">
        <f t="shared" si="1"/>
        <v>4</v>
      </c>
      <c r="I59" s="34">
        <f t="shared" si="2"/>
        <v>80</v>
      </c>
      <c r="J59" s="35">
        <f t="shared" si="3"/>
        <v>45</v>
      </c>
      <c r="K59" s="33">
        <f t="shared" si="4"/>
        <v>5</v>
      </c>
      <c r="L59" s="34">
        <f t="shared" si="5"/>
        <v>160</v>
      </c>
      <c r="M59" s="35">
        <f t="shared" si="6"/>
        <v>90</v>
      </c>
      <c r="N59" s="33">
        <f t="shared" si="7"/>
        <v>6</v>
      </c>
      <c r="O59" s="34">
        <f t="shared" si="8"/>
        <v>240</v>
      </c>
      <c r="P59" s="35">
        <f t="shared" si="9"/>
        <v>135</v>
      </c>
      <c r="Q59" s="33">
        <f t="shared" si="10"/>
        <v>7</v>
      </c>
      <c r="R59" s="34">
        <f t="shared" si="11"/>
        <v>320</v>
      </c>
      <c r="S59" s="35">
        <f t="shared" si="12"/>
        <v>180</v>
      </c>
      <c r="T59" s="33">
        <f t="shared" si="13"/>
        <v>8</v>
      </c>
      <c r="U59" s="34">
        <f t="shared" si="14"/>
        <v>400</v>
      </c>
      <c r="V59" s="35">
        <f t="shared" si="15"/>
        <v>225</v>
      </c>
      <c r="W59" s="33">
        <f t="shared" si="16"/>
        <v>9</v>
      </c>
      <c r="X59" s="34">
        <f t="shared" si="17"/>
        <v>480</v>
      </c>
      <c r="Y59" s="36">
        <f t="shared" si="18"/>
        <v>270</v>
      </c>
    </row>
    <row r="60" spans="1:25" ht="15.5">
      <c r="A60" s="15">
        <v>3</v>
      </c>
      <c r="B60" s="16">
        <v>18</v>
      </c>
      <c r="C60" s="3" t="s">
        <v>504</v>
      </c>
      <c r="D60" s="3" t="s">
        <v>172</v>
      </c>
      <c r="E60" s="3" t="s">
        <v>505</v>
      </c>
      <c r="F60" s="3" t="s">
        <v>506</v>
      </c>
      <c r="G60" s="27"/>
      <c r="H60" s="33">
        <f t="shared" si="1"/>
        <v>4</v>
      </c>
      <c r="I60" s="34">
        <f t="shared" si="2"/>
        <v>90</v>
      </c>
      <c r="J60" s="35">
        <f t="shared" si="3"/>
        <v>50</v>
      </c>
      <c r="K60" s="33">
        <f t="shared" si="4"/>
        <v>5</v>
      </c>
      <c r="L60" s="34">
        <f t="shared" si="5"/>
        <v>180</v>
      </c>
      <c r="M60" s="35">
        <f t="shared" si="6"/>
        <v>100</v>
      </c>
      <c r="N60" s="33">
        <f t="shared" si="7"/>
        <v>6</v>
      </c>
      <c r="O60" s="34">
        <f t="shared" si="8"/>
        <v>270</v>
      </c>
      <c r="P60" s="35">
        <f t="shared" si="9"/>
        <v>150</v>
      </c>
      <c r="Q60" s="33">
        <f t="shared" si="10"/>
        <v>7</v>
      </c>
      <c r="R60" s="34">
        <f t="shared" si="11"/>
        <v>360</v>
      </c>
      <c r="S60" s="35">
        <f t="shared" si="12"/>
        <v>200</v>
      </c>
      <c r="T60" s="33">
        <f t="shared" si="13"/>
        <v>8</v>
      </c>
      <c r="U60" s="34">
        <f t="shared" si="14"/>
        <v>450</v>
      </c>
      <c r="V60" s="35">
        <f t="shared" si="15"/>
        <v>250</v>
      </c>
      <c r="W60" s="33">
        <f t="shared" si="16"/>
        <v>9</v>
      </c>
      <c r="X60" s="34">
        <f t="shared" si="17"/>
        <v>540</v>
      </c>
      <c r="Y60" s="36">
        <f t="shared" si="18"/>
        <v>300</v>
      </c>
    </row>
    <row r="61" spans="1:25" ht="15.5">
      <c r="A61" s="15">
        <v>4</v>
      </c>
      <c r="B61" s="16">
        <v>20</v>
      </c>
      <c r="C61" s="3" t="s">
        <v>507</v>
      </c>
      <c r="D61" s="3" t="s">
        <v>245</v>
      </c>
      <c r="E61" s="3"/>
      <c r="F61" s="3" t="s">
        <v>508</v>
      </c>
      <c r="G61" s="27"/>
      <c r="H61" s="33">
        <f t="shared" si="1"/>
        <v>5</v>
      </c>
      <c r="I61" s="34">
        <f t="shared" si="2"/>
        <v>80</v>
      </c>
      <c r="J61" s="35">
        <f t="shared" si="3"/>
        <v>45</v>
      </c>
      <c r="K61" s="33">
        <f t="shared" si="4"/>
        <v>6</v>
      </c>
      <c r="L61" s="34">
        <f t="shared" si="5"/>
        <v>160</v>
      </c>
      <c r="M61" s="35">
        <f t="shared" si="6"/>
        <v>90</v>
      </c>
      <c r="N61" s="33">
        <f t="shared" si="7"/>
        <v>7</v>
      </c>
      <c r="O61" s="34">
        <f t="shared" si="8"/>
        <v>240</v>
      </c>
      <c r="P61" s="35">
        <f t="shared" si="9"/>
        <v>135</v>
      </c>
      <c r="Q61" s="33">
        <f t="shared" si="10"/>
        <v>8</v>
      </c>
      <c r="R61" s="34">
        <f t="shared" si="11"/>
        <v>320</v>
      </c>
      <c r="S61" s="35">
        <f t="shared" si="12"/>
        <v>180</v>
      </c>
      <c r="T61" s="33">
        <f t="shared" si="13"/>
        <v>9</v>
      </c>
      <c r="U61" s="34">
        <f t="shared" si="14"/>
        <v>400</v>
      </c>
      <c r="V61" s="35">
        <f t="shared" si="15"/>
        <v>225</v>
      </c>
      <c r="W61" s="33">
        <f t="shared" si="16"/>
        <v>10</v>
      </c>
      <c r="X61" s="34">
        <f t="shared" si="17"/>
        <v>480</v>
      </c>
      <c r="Y61" s="36">
        <f t="shared" si="18"/>
        <v>270</v>
      </c>
    </row>
    <row r="62" spans="1:25" ht="15.5">
      <c r="A62" s="15">
        <v>3</v>
      </c>
      <c r="B62" s="16">
        <v>20</v>
      </c>
      <c r="C62" s="3" t="s">
        <v>509</v>
      </c>
      <c r="D62" s="3" t="s">
        <v>498</v>
      </c>
      <c r="E62" s="3" t="s">
        <v>270</v>
      </c>
      <c r="F62" s="3" t="s">
        <v>270</v>
      </c>
      <c r="G62" s="27"/>
      <c r="H62" s="33">
        <f t="shared" si="1"/>
        <v>4</v>
      </c>
      <c r="I62" s="34">
        <f t="shared" si="2"/>
        <v>100</v>
      </c>
      <c r="J62" s="35">
        <f t="shared" si="3"/>
        <v>550</v>
      </c>
      <c r="K62" s="33">
        <f t="shared" si="4"/>
        <v>5</v>
      </c>
      <c r="L62" s="34">
        <f t="shared" si="5"/>
        <v>200</v>
      </c>
      <c r="M62" s="35">
        <f t="shared" si="6"/>
        <v>1100</v>
      </c>
      <c r="N62" s="33">
        <f t="shared" si="7"/>
        <v>6</v>
      </c>
      <c r="O62" s="34">
        <f t="shared" si="8"/>
        <v>300</v>
      </c>
      <c r="P62" s="35">
        <f t="shared" si="9"/>
        <v>1650</v>
      </c>
      <c r="Q62" s="33">
        <f t="shared" si="10"/>
        <v>7</v>
      </c>
      <c r="R62" s="34">
        <f t="shared" si="11"/>
        <v>400</v>
      </c>
      <c r="S62" s="35">
        <f t="shared" si="12"/>
        <v>2200</v>
      </c>
      <c r="T62" s="33">
        <f t="shared" si="13"/>
        <v>8</v>
      </c>
      <c r="U62" s="34">
        <f t="shared" si="14"/>
        <v>500</v>
      </c>
      <c r="V62" s="35">
        <f t="shared" si="15"/>
        <v>2750</v>
      </c>
      <c r="W62" s="33">
        <f t="shared" si="16"/>
        <v>9</v>
      </c>
      <c r="X62" s="34">
        <f t="shared" si="17"/>
        <v>600</v>
      </c>
      <c r="Y62" s="36">
        <f t="shared" si="18"/>
        <v>3300</v>
      </c>
    </row>
    <row r="63" spans="1:25" ht="15.5">
      <c r="A63" s="15">
        <v>3</v>
      </c>
      <c r="B63" s="16">
        <v>26</v>
      </c>
      <c r="C63" s="3" t="s">
        <v>510</v>
      </c>
      <c r="D63" s="3" t="s">
        <v>249</v>
      </c>
      <c r="E63" s="3" t="s">
        <v>511</v>
      </c>
      <c r="F63" s="3" t="s">
        <v>260</v>
      </c>
      <c r="G63" s="27"/>
      <c r="H63" s="33">
        <f t="shared" si="1"/>
        <v>4</v>
      </c>
      <c r="I63" s="34">
        <f t="shared" si="2"/>
        <v>130</v>
      </c>
      <c r="J63" s="35">
        <f t="shared" si="3"/>
        <v>70</v>
      </c>
      <c r="K63" s="33">
        <f t="shared" si="4"/>
        <v>5</v>
      </c>
      <c r="L63" s="34">
        <f t="shared" si="5"/>
        <v>260</v>
      </c>
      <c r="M63" s="35">
        <f t="shared" si="6"/>
        <v>140</v>
      </c>
      <c r="N63" s="33">
        <f t="shared" si="7"/>
        <v>6</v>
      </c>
      <c r="O63" s="34">
        <f t="shared" si="8"/>
        <v>390</v>
      </c>
      <c r="P63" s="35">
        <f t="shared" si="9"/>
        <v>210</v>
      </c>
      <c r="Q63" s="33">
        <f t="shared" si="10"/>
        <v>7</v>
      </c>
      <c r="R63" s="34">
        <f t="shared" si="11"/>
        <v>520</v>
      </c>
      <c r="S63" s="35">
        <f t="shared" si="12"/>
        <v>280</v>
      </c>
      <c r="T63" s="33">
        <f t="shared" si="13"/>
        <v>8</v>
      </c>
      <c r="U63" s="34">
        <f t="shared" si="14"/>
        <v>650</v>
      </c>
      <c r="V63" s="35">
        <f t="shared" si="15"/>
        <v>350</v>
      </c>
      <c r="W63" s="33">
        <f t="shared" si="16"/>
        <v>9</v>
      </c>
      <c r="X63" s="34">
        <f t="shared" si="17"/>
        <v>780</v>
      </c>
      <c r="Y63" s="36">
        <f t="shared" si="18"/>
        <v>420</v>
      </c>
    </row>
    <row r="64" spans="1:25" ht="15.5">
      <c r="A64" s="15">
        <v>4</v>
      </c>
      <c r="B64" s="16">
        <v>30</v>
      </c>
      <c r="C64" s="3" t="s">
        <v>512</v>
      </c>
      <c r="D64" s="3" t="s">
        <v>263</v>
      </c>
      <c r="E64" s="3" t="s">
        <v>513</v>
      </c>
      <c r="F64" s="3" t="s">
        <v>514</v>
      </c>
      <c r="G64" s="27"/>
      <c r="H64" s="33">
        <f t="shared" si="1"/>
        <v>5</v>
      </c>
      <c r="I64" s="34">
        <f t="shared" si="2"/>
        <v>120</v>
      </c>
      <c r="J64" s="35">
        <f t="shared" si="3"/>
        <v>65</v>
      </c>
      <c r="K64" s="33">
        <f t="shared" si="4"/>
        <v>6</v>
      </c>
      <c r="L64" s="34">
        <f t="shared" si="5"/>
        <v>240</v>
      </c>
      <c r="M64" s="35">
        <f t="shared" si="6"/>
        <v>130</v>
      </c>
      <c r="N64" s="33">
        <f t="shared" si="7"/>
        <v>7</v>
      </c>
      <c r="O64" s="34">
        <f t="shared" si="8"/>
        <v>360</v>
      </c>
      <c r="P64" s="35">
        <f t="shared" si="9"/>
        <v>195</v>
      </c>
      <c r="Q64" s="33">
        <f t="shared" si="10"/>
        <v>8</v>
      </c>
      <c r="R64" s="34">
        <f t="shared" si="11"/>
        <v>480</v>
      </c>
      <c r="S64" s="35">
        <f t="shared" si="12"/>
        <v>260</v>
      </c>
      <c r="T64" s="33">
        <f t="shared" si="13"/>
        <v>9</v>
      </c>
      <c r="U64" s="34">
        <f t="shared" si="14"/>
        <v>600</v>
      </c>
      <c r="V64" s="35">
        <f t="shared" si="15"/>
        <v>325</v>
      </c>
      <c r="W64" s="33">
        <f t="shared" si="16"/>
        <v>10</v>
      </c>
      <c r="X64" s="34">
        <f t="shared" si="17"/>
        <v>720</v>
      </c>
      <c r="Y64" s="36">
        <f t="shared" si="18"/>
        <v>390</v>
      </c>
    </row>
    <row r="65" spans="1:25" ht="15.5">
      <c r="A65" s="15">
        <v>4</v>
      </c>
      <c r="B65" s="16">
        <v>37.5</v>
      </c>
      <c r="C65" s="3" t="s">
        <v>515</v>
      </c>
      <c r="D65" s="3" t="s">
        <v>516</v>
      </c>
      <c r="E65" s="3" t="s">
        <v>517</v>
      </c>
      <c r="F65" s="3" t="s">
        <v>435</v>
      </c>
      <c r="G65" s="27"/>
      <c r="H65" s="33">
        <f t="shared" si="1"/>
        <v>5</v>
      </c>
      <c r="I65" s="34">
        <f t="shared" si="2"/>
        <v>150</v>
      </c>
      <c r="J65" s="35">
        <f t="shared" si="3"/>
        <v>80</v>
      </c>
      <c r="K65" s="33">
        <f t="shared" si="4"/>
        <v>6</v>
      </c>
      <c r="L65" s="34">
        <f t="shared" si="5"/>
        <v>300</v>
      </c>
      <c r="M65" s="35">
        <f t="shared" si="6"/>
        <v>160</v>
      </c>
      <c r="N65" s="33">
        <f t="shared" si="7"/>
        <v>7</v>
      </c>
      <c r="O65" s="34">
        <f t="shared" si="8"/>
        <v>450</v>
      </c>
      <c r="P65" s="35">
        <f t="shared" si="9"/>
        <v>240</v>
      </c>
      <c r="Q65" s="33">
        <f t="shared" si="10"/>
        <v>8</v>
      </c>
      <c r="R65" s="34">
        <f t="shared" si="11"/>
        <v>600</v>
      </c>
      <c r="S65" s="35">
        <f t="shared" si="12"/>
        <v>320</v>
      </c>
      <c r="T65" s="33">
        <f t="shared" si="13"/>
        <v>9</v>
      </c>
      <c r="U65" s="34">
        <f t="shared" si="14"/>
        <v>750</v>
      </c>
      <c r="V65" s="35">
        <f t="shared" si="15"/>
        <v>400</v>
      </c>
      <c r="W65" s="33">
        <f t="shared" si="16"/>
        <v>10</v>
      </c>
      <c r="X65" s="34">
        <f t="shared" si="17"/>
        <v>900</v>
      </c>
      <c r="Y65" s="36">
        <f t="shared" si="18"/>
        <v>480</v>
      </c>
    </row>
    <row r="66" spans="1:25" ht="15.5">
      <c r="A66" s="15">
        <v>4</v>
      </c>
      <c r="B66" s="16">
        <v>45</v>
      </c>
      <c r="C66" s="3" t="s">
        <v>518</v>
      </c>
      <c r="D66" s="3" t="s">
        <v>498</v>
      </c>
      <c r="E66" s="3"/>
      <c r="F66" s="3" t="s">
        <v>519</v>
      </c>
      <c r="G66" s="27"/>
      <c r="H66" s="33">
        <f t="shared" si="1"/>
        <v>5</v>
      </c>
      <c r="I66" s="34">
        <f t="shared" si="2"/>
        <v>180</v>
      </c>
      <c r="J66" s="35">
        <f t="shared" si="3"/>
        <v>95</v>
      </c>
      <c r="K66" s="33">
        <f t="shared" si="4"/>
        <v>6</v>
      </c>
      <c r="L66" s="34">
        <f t="shared" si="5"/>
        <v>360</v>
      </c>
      <c r="M66" s="35">
        <f t="shared" si="6"/>
        <v>190</v>
      </c>
      <c r="N66" s="33">
        <f t="shared" si="7"/>
        <v>7</v>
      </c>
      <c r="O66" s="34">
        <f t="shared" si="8"/>
        <v>540</v>
      </c>
      <c r="P66" s="35">
        <f t="shared" si="9"/>
        <v>285</v>
      </c>
      <c r="Q66" s="33">
        <f t="shared" si="10"/>
        <v>8</v>
      </c>
      <c r="R66" s="34">
        <f t="shared" si="11"/>
        <v>720</v>
      </c>
      <c r="S66" s="35">
        <f t="shared" si="12"/>
        <v>380</v>
      </c>
      <c r="T66" s="33">
        <f t="shared" si="13"/>
        <v>9</v>
      </c>
      <c r="U66" s="34">
        <f t="shared" si="14"/>
        <v>900</v>
      </c>
      <c r="V66" s="35">
        <f t="shared" si="15"/>
        <v>475</v>
      </c>
      <c r="W66" s="33">
        <f t="shared" si="16"/>
        <v>10</v>
      </c>
      <c r="X66" s="34">
        <f t="shared" si="17"/>
        <v>1080</v>
      </c>
      <c r="Y66" s="36">
        <f t="shared" si="18"/>
        <v>570</v>
      </c>
    </row>
    <row r="67" spans="1:25" ht="15.5">
      <c r="A67" s="15">
        <v>5</v>
      </c>
      <c r="B67" s="16">
        <v>60</v>
      </c>
      <c r="C67" s="3" t="s">
        <v>520</v>
      </c>
      <c r="D67" s="3" t="s">
        <v>249</v>
      </c>
      <c r="E67" s="3"/>
      <c r="F67" s="3" t="s">
        <v>18</v>
      </c>
      <c r="G67" s="27"/>
      <c r="H67" s="33">
        <f t="shared" si="1"/>
        <v>6</v>
      </c>
      <c r="I67" s="34">
        <f t="shared" si="2"/>
        <v>200</v>
      </c>
      <c r="J67" s="35">
        <f t="shared" si="3"/>
        <v>600</v>
      </c>
      <c r="K67" s="33">
        <f t="shared" si="4"/>
        <v>7</v>
      </c>
      <c r="L67" s="34">
        <f t="shared" si="5"/>
        <v>400</v>
      </c>
      <c r="M67" s="35">
        <f t="shared" si="6"/>
        <v>1200</v>
      </c>
      <c r="N67" s="33">
        <f t="shared" si="7"/>
        <v>8</v>
      </c>
      <c r="O67" s="34">
        <f t="shared" si="8"/>
        <v>600</v>
      </c>
      <c r="P67" s="35">
        <f t="shared" si="9"/>
        <v>1800</v>
      </c>
      <c r="Q67" s="33">
        <f t="shared" si="10"/>
        <v>9</v>
      </c>
      <c r="R67" s="34">
        <f t="shared" si="11"/>
        <v>800</v>
      </c>
      <c r="S67" s="35">
        <f t="shared" si="12"/>
        <v>2400</v>
      </c>
      <c r="T67" s="33">
        <f t="shared" si="13"/>
        <v>10</v>
      </c>
      <c r="U67" s="34">
        <f t="shared" si="14"/>
        <v>1000</v>
      </c>
      <c r="V67" s="35">
        <f t="shared" si="15"/>
        <v>3000</v>
      </c>
      <c r="W67" s="33">
        <f t="shared" si="16"/>
        <v>11</v>
      </c>
      <c r="X67" s="34">
        <f t="shared" si="17"/>
        <v>1200</v>
      </c>
      <c r="Y67" s="36">
        <f t="shared" si="18"/>
        <v>3600</v>
      </c>
    </row>
    <row r="68" spans="1:25" ht="15.5">
      <c r="A68" s="15">
        <v>5</v>
      </c>
      <c r="B68" s="16">
        <v>60</v>
      </c>
      <c r="C68" s="3" t="s">
        <v>521</v>
      </c>
      <c r="D68" s="3" t="s">
        <v>172</v>
      </c>
      <c r="E68" s="3"/>
      <c r="F68" s="3" t="s">
        <v>258</v>
      </c>
      <c r="G68" s="27"/>
      <c r="H68" s="33">
        <f t="shared" si="1"/>
        <v>6</v>
      </c>
      <c r="I68" s="34">
        <f t="shared" si="2"/>
        <v>200</v>
      </c>
      <c r="J68" s="35">
        <f t="shared" si="3"/>
        <v>600</v>
      </c>
      <c r="K68" s="33">
        <f t="shared" si="4"/>
        <v>7</v>
      </c>
      <c r="L68" s="34">
        <f t="shared" si="5"/>
        <v>400</v>
      </c>
      <c r="M68" s="35">
        <f t="shared" si="6"/>
        <v>1200</v>
      </c>
      <c r="N68" s="33">
        <f t="shared" si="7"/>
        <v>8</v>
      </c>
      <c r="O68" s="34">
        <f t="shared" si="8"/>
        <v>600</v>
      </c>
      <c r="P68" s="35">
        <f t="shared" si="9"/>
        <v>1800</v>
      </c>
      <c r="Q68" s="33">
        <f t="shared" si="10"/>
        <v>9</v>
      </c>
      <c r="R68" s="34">
        <f t="shared" si="11"/>
        <v>800</v>
      </c>
      <c r="S68" s="35">
        <f t="shared" si="12"/>
        <v>2400</v>
      </c>
      <c r="T68" s="33">
        <f t="shared" si="13"/>
        <v>10</v>
      </c>
      <c r="U68" s="34">
        <f t="shared" si="14"/>
        <v>1000</v>
      </c>
      <c r="V68" s="35">
        <f t="shared" si="15"/>
        <v>3000</v>
      </c>
      <c r="W68" s="33">
        <f t="shared" si="16"/>
        <v>11</v>
      </c>
      <c r="X68" s="34">
        <f t="shared" si="17"/>
        <v>1200</v>
      </c>
      <c r="Y68" s="36">
        <f t="shared" si="18"/>
        <v>3600</v>
      </c>
    </row>
    <row r="69" spans="1:25" ht="15.5">
      <c r="A69" s="15">
        <v>6</v>
      </c>
      <c r="B69" s="16">
        <v>70</v>
      </c>
      <c r="C69" s="3" t="s">
        <v>24</v>
      </c>
      <c r="D69" s="3" t="s">
        <v>245</v>
      </c>
      <c r="E69" s="3"/>
      <c r="F69" s="3" t="s">
        <v>522</v>
      </c>
      <c r="G69" s="27"/>
      <c r="H69" s="33">
        <f t="shared" si="1"/>
        <v>7</v>
      </c>
      <c r="I69" s="34">
        <f t="shared" si="2"/>
        <v>200</v>
      </c>
      <c r="J69" s="35">
        <f t="shared" si="3"/>
        <v>600</v>
      </c>
      <c r="K69" s="33">
        <f t="shared" si="4"/>
        <v>8</v>
      </c>
      <c r="L69" s="34">
        <f t="shared" si="5"/>
        <v>400</v>
      </c>
      <c r="M69" s="35">
        <f t="shared" si="6"/>
        <v>1200</v>
      </c>
      <c r="N69" s="33">
        <f t="shared" si="7"/>
        <v>9</v>
      </c>
      <c r="O69" s="34">
        <f t="shared" si="8"/>
        <v>600</v>
      </c>
      <c r="P69" s="35">
        <f t="shared" si="9"/>
        <v>1800</v>
      </c>
      <c r="Q69" s="33">
        <f t="shared" si="10"/>
        <v>10</v>
      </c>
      <c r="R69" s="34">
        <f t="shared" si="11"/>
        <v>800</v>
      </c>
      <c r="S69" s="35">
        <f t="shared" si="12"/>
        <v>2400</v>
      </c>
      <c r="T69" s="33">
        <f t="shared" si="13"/>
        <v>11</v>
      </c>
      <c r="U69" s="34">
        <f t="shared" si="14"/>
        <v>1000</v>
      </c>
      <c r="V69" s="35">
        <f t="shared" si="15"/>
        <v>3000</v>
      </c>
      <c r="W69" s="33">
        <f t="shared" si="16"/>
        <v>12</v>
      </c>
      <c r="X69" s="34">
        <f t="shared" si="17"/>
        <v>1200</v>
      </c>
      <c r="Y69" s="36">
        <f t="shared" si="18"/>
        <v>3600</v>
      </c>
    </row>
    <row r="70" spans="1:25" ht="15.5">
      <c r="A70" s="15">
        <v>6</v>
      </c>
      <c r="B70" s="16">
        <v>175</v>
      </c>
      <c r="C70" s="19" t="s">
        <v>40</v>
      </c>
      <c r="D70" s="3"/>
      <c r="E70" s="3" t="s">
        <v>40</v>
      </c>
      <c r="F70" s="3" t="s">
        <v>40</v>
      </c>
      <c r="G70" s="27" t="s">
        <v>40</v>
      </c>
      <c r="H70" s="37">
        <f t="shared" si="1"/>
        <v>7</v>
      </c>
      <c r="I70" s="38">
        <f t="shared" si="2"/>
        <v>500</v>
      </c>
      <c r="J70" s="39">
        <f t="shared" si="3"/>
        <v>750</v>
      </c>
      <c r="K70" s="37">
        <f t="shared" si="4"/>
        <v>8</v>
      </c>
      <c r="L70" s="38">
        <f t="shared" si="5"/>
        <v>1000</v>
      </c>
      <c r="M70" s="39">
        <f t="shared" si="6"/>
        <v>1500</v>
      </c>
      <c r="N70" s="37">
        <f t="shared" si="7"/>
        <v>9</v>
      </c>
      <c r="O70" s="38">
        <f t="shared" si="8"/>
        <v>1500</v>
      </c>
      <c r="P70" s="39">
        <f t="shared" si="9"/>
        <v>2250</v>
      </c>
      <c r="Q70" s="37">
        <f t="shared" si="10"/>
        <v>10</v>
      </c>
      <c r="R70" s="38">
        <f t="shared" si="11"/>
        <v>2000</v>
      </c>
      <c r="S70" s="39">
        <f t="shared" si="12"/>
        <v>3000</v>
      </c>
      <c r="T70" s="37">
        <f t="shared" si="13"/>
        <v>11</v>
      </c>
      <c r="U70" s="38">
        <f t="shared" si="14"/>
        <v>2500</v>
      </c>
      <c r="V70" s="39">
        <f t="shared" si="15"/>
        <v>3750</v>
      </c>
      <c r="W70" s="37">
        <f t="shared" si="16"/>
        <v>12</v>
      </c>
      <c r="X70" s="38">
        <f t="shared" si="17"/>
        <v>3000</v>
      </c>
      <c r="Y70" s="40">
        <f t="shared" si="18"/>
        <v>4500</v>
      </c>
    </row>
    <row r="71" spans="1:25">
      <c r="C71" s="12"/>
    </row>
    <row r="72" spans="1:25">
      <c r="C72" s="12"/>
    </row>
    <row r="73" spans="1:25">
      <c r="C73" s="12"/>
    </row>
    <row r="74" spans="1:25">
      <c r="C74" s="12"/>
    </row>
    <row r="75" spans="1:25">
      <c r="C75" s="12"/>
    </row>
    <row r="76" spans="1:25">
      <c r="C76" s="12"/>
    </row>
    <row r="77" spans="1:25">
      <c r="C77" s="12"/>
    </row>
    <row r="78" spans="1:25">
      <c r="C78" s="12"/>
    </row>
    <row r="79" spans="1:25">
      <c r="C79" s="12"/>
    </row>
    <row r="80" spans="1:25">
      <c r="C80" s="12"/>
    </row>
  </sheetData>
  <mergeCells count="7">
    <mergeCell ref="H36:Y36"/>
    <mergeCell ref="H37:J37"/>
    <mergeCell ref="K37:M37"/>
    <mergeCell ref="N37:P37"/>
    <mergeCell ref="Q37:S37"/>
    <mergeCell ref="T37:V37"/>
    <mergeCell ref="W37:Y37"/>
  </mergeCells>
  <conditionalFormatting sqref="A39:A70">
    <cfRule type="cellIs" dxfId="19" priority="1" stopIfTrue="1" operator="equal">
      <formula>1</formula>
    </cfRule>
    <cfRule type="cellIs" dxfId="18" priority="2" stopIfTrue="1" operator="equal">
      <formula>2</formula>
    </cfRule>
    <cfRule type="cellIs" dxfId="17" priority="3" stopIfTrue="1" operator="equal">
      <formula>3</formula>
    </cfRule>
    <cfRule type="cellIs" dxfId="16" priority="4" stopIfTrue="1" operator="equal">
      <formula>4</formula>
    </cfRule>
    <cfRule type="cellIs" dxfId="15" priority="5" stopIfTrue="1" operator="equal">
      <formula>5</formula>
    </cfRule>
    <cfRule type="cellIs" dxfId="14" priority="6" stopIfTrue="1" operator="equal">
      <formula>6</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E313-0212-439C-99DB-0DB7FC5305D4}">
  <dimension ref="A1:AR36"/>
  <sheetViews>
    <sheetView workbookViewId="0">
      <selection activeCell="A4" sqref="A4"/>
    </sheetView>
  </sheetViews>
  <sheetFormatPr baseColWidth="10" defaultColWidth="8.7265625" defaultRowHeight="14.5"/>
  <cols>
    <col min="3" max="3" width="20.1796875" bestFit="1" customWidth="1"/>
    <col min="4" max="5" width="15.7265625" customWidth="1"/>
    <col min="6" max="6" width="13.81640625" customWidth="1"/>
    <col min="7" max="7" width="56" customWidth="1"/>
    <col min="8" max="8" width="25" customWidth="1"/>
    <col min="9" max="9" width="4.7265625" customWidth="1"/>
    <col min="10" max="11" width="4.453125" customWidth="1"/>
    <col min="12" max="12" width="4.54296875" customWidth="1"/>
    <col min="13" max="13" width="4.7265625" customWidth="1"/>
    <col min="14" max="16" width="5.453125" customWidth="1"/>
    <col min="17" max="17" width="4.7265625" customWidth="1"/>
    <col min="18" max="20" width="5.453125" customWidth="1"/>
    <col min="21" max="21" width="4.7265625" customWidth="1"/>
    <col min="22" max="23" width="5.453125" customWidth="1"/>
    <col min="24" max="24" width="6.1796875" customWidth="1"/>
    <col min="25" max="25" width="4.7265625" customWidth="1"/>
    <col min="26" max="27" width="5.453125" customWidth="1"/>
    <col min="28" max="28" width="6.26953125" customWidth="1"/>
    <col min="29" max="29" width="4.7265625" customWidth="1"/>
    <col min="30" max="31" width="5.453125" customWidth="1"/>
    <col min="32" max="32" width="6.81640625" customWidth="1"/>
    <col min="33" max="37" width="0" hidden="1" customWidth="1"/>
    <col min="38" max="38" width="10.7265625" hidden="1" customWidth="1"/>
    <col min="39" max="39" width="9.54296875" customWidth="1"/>
    <col min="44" max="44" width="11" customWidth="1"/>
  </cols>
  <sheetData>
    <row r="1" spans="1:44">
      <c r="I1" s="164" t="s">
        <v>523</v>
      </c>
      <c r="J1" s="164"/>
      <c r="K1" s="164"/>
      <c r="L1" s="164"/>
      <c r="M1" s="164"/>
      <c r="N1" s="164"/>
      <c r="O1" s="164"/>
      <c r="P1" s="164"/>
      <c r="Q1" s="164"/>
      <c r="R1" s="164"/>
      <c r="S1" s="164"/>
      <c r="T1" s="164"/>
      <c r="U1" s="164"/>
      <c r="V1" s="164"/>
      <c r="W1" s="164"/>
      <c r="X1" s="164"/>
      <c r="Y1" s="164"/>
      <c r="Z1" s="164"/>
      <c r="AA1" s="164"/>
      <c r="AB1" s="164"/>
      <c r="AC1" s="167"/>
      <c r="AD1" s="167"/>
      <c r="AE1" s="167"/>
    </row>
    <row r="2" spans="1:44">
      <c r="A2" s="1" t="s">
        <v>34</v>
      </c>
      <c r="D2" s="1"/>
      <c r="E2" s="1"/>
      <c r="F2" s="1"/>
      <c r="G2" s="1"/>
      <c r="H2" s="1"/>
      <c r="I2" s="168">
        <v>1</v>
      </c>
      <c r="J2" s="169"/>
      <c r="K2" s="169"/>
      <c r="L2" s="170"/>
      <c r="M2" s="168">
        <v>2</v>
      </c>
      <c r="N2" s="169"/>
      <c r="O2" s="169"/>
      <c r="P2" s="170"/>
      <c r="Q2" s="168">
        <v>3</v>
      </c>
      <c r="R2" s="169"/>
      <c r="S2" s="169"/>
      <c r="T2" s="170"/>
      <c r="U2" s="168">
        <v>4</v>
      </c>
      <c r="V2" s="169"/>
      <c r="W2" s="169"/>
      <c r="X2" s="170"/>
      <c r="Y2" s="168">
        <v>5</v>
      </c>
      <c r="Z2" s="169"/>
      <c r="AA2" s="169"/>
      <c r="AB2" s="169"/>
      <c r="AC2" s="171">
        <v>6</v>
      </c>
      <c r="AD2" s="171"/>
      <c r="AE2" s="171"/>
      <c r="AF2" s="171"/>
      <c r="AG2" s="164" t="s">
        <v>524</v>
      </c>
      <c r="AH2" s="164"/>
      <c r="AI2" s="164"/>
      <c r="AJ2" s="164"/>
      <c r="AK2" s="164"/>
      <c r="AL2" s="164"/>
      <c r="AM2" s="166" t="s">
        <v>525</v>
      </c>
      <c r="AN2" s="166"/>
      <c r="AO2" s="166"/>
      <c r="AP2" s="166"/>
      <c r="AQ2" s="166"/>
      <c r="AR2" s="166"/>
    </row>
    <row r="3" spans="1:44">
      <c r="A3" s="2" t="s">
        <v>460</v>
      </c>
      <c r="B3" s="2" t="s">
        <v>461</v>
      </c>
      <c r="C3" s="2" t="s">
        <v>50</v>
      </c>
      <c r="D3" s="2" t="s">
        <v>462</v>
      </c>
      <c r="E3" s="2" t="s">
        <v>526</v>
      </c>
      <c r="F3" s="2" t="s">
        <v>463</v>
      </c>
      <c r="G3" s="2" t="s">
        <v>37</v>
      </c>
      <c r="H3" s="2" t="s">
        <v>342</v>
      </c>
      <c r="I3" s="24" t="s">
        <v>464</v>
      </c>
      <c r="J3" s="22" t="s">
        <v>16</v>
      </c>
      <c r="K3" s="20" t="s">
        <v>36</v>
      </c>
      <c r="L3" s="113" t="s">
        <v>38</v>
      </c>
      <c r="M3" s="24" t="s">
        <v>464</v>
      </c>
      <c r="N3" s="22" t="s">
        <v>16</v>
      </c>
      <c r="O3" s="20" t="s">
        <v>36</v>
      </c>
      <c r="P3" s="113" t="s">
        <v>38</v>
      </c>
      <c r="Q3" s="24" t="s">
        <v>464</v>
      </c>
      <c r="R3" s="22" t="s">
        <v>16</v>
      </c>
      <c r="S3" s="20" t="s">
        <v>36</v>
      </c>
      <c r="T3" s="113" t="s">
        <v>38</v>
      </c>
      <c r="U3" s="24" t="s">
        <v>464</v>
      </c>
      <c r="V3" s="22" t="s">
        <v>16</v>
      </c>
      <c r="W3" s="20" t="s">
        <v>36</v>
      </c>
      <c r="X3" s="113" t="s">
        <v>38</v>
      </c>
      <c r="Y3" s="24" t="s">
        <v>464</v>
      </c>
      <c r="Z3" s="22" t="s">
        <v>16</v>
      </c>
      <c r="AA3" s="20" t="s">
        <v>36</v>
      </c>
      <c r="AB3" s="113" t="s">
        <v>38</v>
      </c>
      <c r="AC3" s="114" t="s">
        <v>464</v>
      </c>
      <c r="AD3" s="115" t="s">
        <v>16</v>
      </c>
      <c r="AE3" s="116" t="s">
        <v>36</v>
      </c>
      <c r="AF3" s="138" t="s">
        <v>38</v>
      </c>
      <c r="AG3" s="135" t="s">
        <v>527</v>
      </c>
      <c r="AH3" s="135" t="s">
        <v>528</v>
      </c>
      <c r="AI3" s="135" t="s">
        <v>529</v>
      </c>
      <c r="AJ3" s="135" t="s">
        <v>530</v>
      </c>
      <c r="AK3" s="135" t="s">
        <v>531</v>
      </c>
      <c r="AL3" s="135" t="s">
        <v>532</v>
      </c>
      <c r="AM3" s="136" t="s">
        <v>527</v>
      </c>
      <c r="AN3" s="136" t="s">
        <v>528</v>
      </c>
      <c r="AO3" s="136" t="s">
        <v>529</v>
      </c>
      <c r="AP3" s="136" t="s">
        <v>530</v>
      </c>
      <c r="AQ3" s="136" t="s">
        <v>533</v>
      </c>
      <c r="AR3" s="137" t="s">
        <v>532</v>
      </c>
    </row>
    <row r="4" spans="1:44" ht="15.5">
      <c r="A4" s="15">
        <v>1</v>
      </c>
      <c r="B4" s="16">
        <v>1</v>
      </c>
      <c r="C4" s="3" t="s">
        <v>160</v>
      </c>
      <c r="D4" s="3" t="s">
        <v>245</v>
      </c>
      <c r="E4" s="3"/>
      <c r="F4" s="3"/>
      <c r="G4" s="3" t="s">
        <v>534</v>
      </c>
      <c r="H4" s="3"/>
      <c r="I4" s="25">
        <f>IF($B4&gt;1,$A4+I$2,I$2)</f>
        <v>1</v>
      </c>
      <c r="J4" s="23">
        <f>$B4*20/$I4*I$2</f>
        <v>20</v>
      </c>
      <c r="K4" s="21">
        <f>IF(INT($J4/100)=$J4/100,(($J4/100)+10)*50,IF(INT($J4/10)=$J4/10,(($J4/10)+1)*5,ROUNDUP($J4/10,0)*5))*I$2</f>
        <v>15</v>
      </c>
      <c r="L4" s="49">
        <f>K4*I4/3</f>
        <v>5</v>
      </c>
      <c r="M4" s="25">
        <f>IF($B4&gt;1,$A4+M$2,M$2)</f>
        <v>2</v>
      </c>
      <c r="N4" s="23">
        <f>($B4/$I4*M$2)*20</f>
        <v>40</v>
      </c>
      <c r="O4" s="21">
        <f>IF(INT($J4/100)=$J4/100,(($J4/100)+10)*50,IF(INT($J4/10)=$J4/10,(($J4/10)+1)*5,ROUNDUP($J4/10,0)*5))*M$2</f>
        <v>30</v>
      </c>
      <c r="P4" s="49">
        <f>O4*M4/3</f>
        <v>20</v>
      </c>
      <c r="Q4" s="25">
        <f>IF($B4&gt;1,$A4+Q$2,Q$2)</f>
        <v>3</v>
      </c>
      <c r="R4" s="23">
        <f>($B4/$I4*Q$2)*20</f>
        <v>60</v>
      </c>
      <c r="S4" s="21">
        <f>IF(INT($J4/100)=$J4/100,(($J4/100)+10)*50,IF(INT($J4/10)=$J4/10,(($J4/10)+1)*5,ROUNDUP($J4/10,0)*5))*Q$2</f>
        <v>45</v>
      </c>
      <c r="T4" s="49">
        <f>S4*Q4/3</f>
        <v>45</v>
      </c>
      <c r="U4" s="25">
        <f>IF($B4&gt;1,$A4+U$2,U$2)</f>
        <v>4</v>
      </c>
      <c r="V4" s="23">
        <f>($B4/$I4*U$2)*20</f>
        <v>80</v>
      </c>
      <c r="W4" s="21">
        <f>IF(INT($J4/100)=$J4/100,(($J4/100)+10)*50,IF(INT($J4/10)=$J4/10,(($J4/10)+1)*5,ROUNDUP($J4/10,0)*5))*U$2</f>
        <v>60</v>
      </c>
      <c r="X4" s="117">
        <f>W4*U4/3</f>
        <v>80</v>
      </c>
      <c r="Y4" s="25">
        <f>IF($B4&gt;1,$A4+Y$2,Y$2)</f>
        <v>5</v>
      </c>
      <c r="Z4" s="23">
        <f>($B4/$I4*Y$2)*20</f>
        <v>100</v>
      </c>
      <c r="AA4" s="21">
        <f>IF(INT($J4/100)=$J4/100,(($J4/100)+10)*50,IF(INT($J4/10)=$J4/10,(($J4/10)+1)*5,ROUNDUP($J4/10,0)*5))*Y$2</f>
        <v>75</v>
      </c>
      <c r="AB4" s="117">
        <f>AA4*Y4/3</f>
        <v>125</v>
      </c>
      <c r="AC4" s="25">
        <f>IF($B4&gt;1,$A4+AC$2,AC$2)</f>
        <v>6</v>
      </c>
      <c r="AD4" s="23">
        <f>($B4/$I4*AC$2)*20</f>
        <v>120</v>
      </c>
      <c r="AE4" s="21">
        <f>IF(INT($J4/100)=$J4/100,(($J4/100)+10)*50,IF(INT($J4/10)=$J4/10,(($J4/10)+1)*5,ROUNDUP($J4/10,0)*5))*AC$2</f>
        <v>90</v>
      </c>
      <c r="AF4" s="133">
        <f>AE4*AC4/3</f>
        <v>180</v>
      </c>
      <c r="AG4" s="3" t="s">
        <v>535</v>
      </c>
      <c r="AH4" s="3"/>
      <c r="AI4" s="3"/>
      <c r="AJ4" s="3"/>
      <c r="AK4" s="3"/>
      <c r="AL4" s="27"/>
      <c r="AM4" s="134" cm="1">
        <f t="array" ref="AM4">IF(AG4="Oui",($A4/$B4)/(SUMPRODUCT((AG$4:AG$35="Oui")*($A$4:$A$35/$B$4:$B$35))),0)</f>
        <v>0.20344287949921755</v>
      </c>
      <c r="AN4" s="134" cm="1">
        <f t="array" ref="AN4">IF(AH4="Oui",($A4/$B4)/(SUMPRODUCT((AH$4:AH$35="Oui")*($A$4:$A$35/$B$4:$B$35))),0)</f>
        <v>0</v>
      </c>
      <c r="AO4" s="134" cm="1">
        <f t="array" ref="AO4">IF(AI4="Oui",($A4/$B4)/(SUMPRODUCT((AI$4:AI$35="Oui")*($A$4:$A$35/$B$4:$B$35))),0)</f>
        <v>0</v>
      </c>
      <c r="AP4" s="134" cm="1">
        <f t="array" ref="AP4">IF(AJ4="Oui",($A4/$B4)/(SUMPRODUCT((AJ$4:AJ$35="Oui")*($A$4:$A$35/$B$4:$B$35))),0)</f>
        <v>0</v>
      </c>
      <c r="AQ4" s="134" cm="1">
        <f t="array" ref="AQ4">IF(AK4="Oui",($A4/$B4)/(SUMPRODUCT((AK$4:AK$35="Oui")*($A$4:$A$35/$B$4:$B$35))),0)</f>
        <v>0</v>
      </c>
      <c r="AR4" s="134" cm="1">
        <f t="array" ref="AR4">IF(AL4="Oui",($A4/$B4)/(SUMPRODUCT((AL$4:AL$35="Oui")*($A$4:$A$35/$B$4:$B$35))),0)</f>
        <v>0</v>
      </c>
    </row>
    <row r="5" spans="1:44" ht="15.5">
      <c r="A5" s="15">
        <v>1</v>
      </c>
      <c r="B5" s="16">
        <v>2</v>
      </c>
      <c r="C5" s="3" t="s">
        <v>465</v>
      </c>
      <c r="D5" s="3"/>
      <c r="E5" s="3"/>
      <c r="F5" s="3"/>
      <c r="G5" s="3" t="s">
        <v>466</v>
      </c>
      <c r="H5" s="3"/>
      <c r="I5" s="25">
        <f t="shared" ref="I5:I34" si="0">IF($B5&gt;1,$A5+I$2,I$2)</f>
        <v>2</v>
      </c>
      <c r="J5" s="23">
        <f t="shared" ref="J5:J34" si="1">$B5/($I5*I$2)*20</f>
        <v>20</v>
      </c>
      <c r="K5" s="21">
        <f t="shared" ref="K5:K35" si="2">IF(INT($J5/100)=$J5/100,(($J5/100)+10)*50,IF(INT($J5/10)=$J5/10,(($J5/10)+1)*5,ROUNDUP($J5/10,0)*5))*I$2</f>
        <v>15</v>
      </c>
      <c r="L5" s="49">
        <f t="shared" ref="L5:L35" si="3">K5*I5/3</f>
        <v>10</v>
      </c>
      <c r="M5" s="25">
        <f t="shared" ref="M5:M10" si="4">IF($B5&gt;1,$A5+M$2,M$2)</f>
        <v>3</v>
      </c>
      <c r="N5" s="23">
        <f t="shared" ref="N5:N35" si="5">($B5/$I5*M$2)*20</f>
        <v>40</v>
      </c>
      <c r="O5" s="21">
        <f t="shared" ref="O5:O35" si="6">IF(INT($J5/100)=$J5/100,(($J5/100)+10)*50,IF(INT($J5/10)=$J5/10,(($J5/10)+1)*5,ROUNDUP($J5/10,0)*5))*M$2</f>
        <v>30</v>
      </c>
      <c r="P5" s="49">
        <f t="shared" ref="P5:P35" si="7">O5*M5/3</f>
        <v>30</v>
      </c>
      <c r="Q5" s="25">
        <f t="shared" ref="Q5:Q35" si="8">IF($B5&gt;1,$A5+Q$2,Q$2)</f>
        <v>4</v>
      </c>
      <c r="R5" s="23">
        <f t="shared" ref="R5:R35" si="9">($B5/$I5*Q$2)*20</f>
        <v>60</v>
      </c>
      <c r="S5" s="21">
        <f t="shared" ref="S5:S35" si="10">IF(INT($J5/100)=$J5/100,(($J5/100)+10)*50,IF(INT($J5/10)=$J5/10,(($J5/10)+1)*5,ROUNDUP($J5/10,0)*5))*Q$2</f>
        <v>45</v>
      </c>
      <c r="T5" s="49">
        <f t="shared" ref="T5:T35" si="11">S5*Q5/3</f>
        <v>60</v>
      </c>
      <c r="U5" s="25">
        <f t="shared" ref="U5:U35" si="12">IF($B5&gt;1,$A5+U$2,U$2)</f>
        <v>5</v>
      </c>
      <c r="V5" s="23">
        <f t="shared" ref="V5:V35" si="13">($B5/$I5*U$2)*20</f>
        <v>80</v>
      </c>
      <c r="W5" s="21">
        <f t="shared" ref="W5:W35" si="14">IF(INT($J5/100)=$J5/100,(($J5/100)+10)*50,IF(INT($J5/10)=$J5/10,(($J5/10)+1)*5,ROUNDUP($J5/10,0)*5))*U$2</f>
        <v>60</v>
      </c>
      <c r="X5" s="117">
        <f t="shared" ref="X5:X35" si="15">W5*U5/3</f>
        <v>100</v>
      </c>
      <c r="Y5" s="25">
        <f t="shared" ref="Y5:Y35" si="16">IF($B5&gt;1,$A5+Y$2,Y$2)</f>
        <v>6</v>
      </c>
      <c r="Z5" s="23">
        <f t="shared" ref="Z5:Z35" si="17">($B5/$I5*Y$2)*20</f>
        <v>100</v>
      </c>
      <c r="AA5" s="21">
        <f t="shared" ref="AA5:AA35" si="18">IF(INT($J5/100)=$J5/100,(($J5/100)+10)*50,IF(INT($J5/10)=$J5/10,(($J5/10)+1)*5,ROUNDUP($J5/10,0)*5))*Y$2</f>
        <v>75</v>
      </c>
      <c r="AB5" s="117">
        <f t="shared" ref="AB5:AB35" si="19">AA5*Y5/3</f>
        <v>150</v>
      </c>
      <c r="AC5" s="25">
        <f t="shared" ref="AC5:AC35" si="20">IF($B5&gt;1,$A5+AC$2,AC$2)</f>
        <v>7</v>
      </c>
      <c r="AD5" s="23">
        <f t="shared" ref="AD5:AD35" si="21">($B5/$I5*AC$2)*20</f>
        <v>120</v>
      </c>
      <c r="AE5" s="21">
        <f t="shared" ref="AE5:AE34" si="22">IF(INT($J5/100)=$J5/100,(($J5/100)+10)*50,IF(INT($J5/10)=$J5/10,(($J5/10)+1)*5,ROUNDUP($J5/10,0)*5))*AC$2</f>
        <v>90</v>
      </c>
      <c r="AF5" s="133">
        <f t="shared" ref="AF5:AF35" si="23">AE5*AC5/3</f>
        <v>210</v>
      </c>
      <c r="AG5" s="3" t="s">
        <v>535</v>
      </c>
      <c r="AH5" s="3"/>
      <c r="AI5" s="3"/>
      <c r="AJ5" s="3" t="s">
        <v>535</v>
      </c>
      <c r="AK5" s="3" t="s">
        <v>535</v>
      </c>
      <c r="AL5" s="27"/>
      <c r="AM5" s="134" cm="1">
        <f t="array" ref="AM5">IF(AG5="Oui",($A5/$B5)/(SUMPRODUCT((AG$4:AG$35="Oui")*($A$4:$A$35/$B$4:$B$35))),0)</f>
        <v>0.10172143974960877</v>
      </c>
      <c r="AN5" s="134" cm="1">
        <f t="array" ref="AN5">IF(AH5="Oui",($A5/$B5)/(SUMPRODUCT((AH$4:AH$35="Oui")*($A$4:$A$35/$B$4:$B$35))),0)</f>
        <v>0</v>
      </c>
      <c r="AO5" s="134" cm="1">
        <f t="array" ref="AO5">IF(AI5="Oui",($A5/$B5)/(SUMPRODUCT((AI$4:AI$35="Oui")*($A$4:$A$35/$B$4:$B$35))),0)</f>
        <v>0</v>
      </c>
      <c r="AP5" s="134" cm="1">
        <f t="array" ref="AP5">IF(AJ5="Oui",($A5/$B5)/(SUMPRODUCT((AJ$4:AJ$35="Oui")*($A$4:$A$35/$B$4:$B$35))),0)</f>
        <v>0.14546849647918286</v>
      </c>
      <c r="AQ5" s="134" cm="1">
        <f t="array" ref="AQ5">IF(AK5="Oui",($A5/$B5)/(SUMPRODUCT((AK$4:AK$35="Oui")*($A$4:$A$35/$B$4:$B$35))),0)</f>
        <v>0.13453533564841433</v>
      </c>
      <c r="AR5" s="134" cm="1">
        <f t="array" ref="AR5">IF(AL5="Oui",($A5/$B5)/(SUMPRODUCT((AL$4:AL$35="Oui")*($A$4:$A$35/$B$4:$B$35))),0)</f>
        <v>0</v>
      </c>
    </row>
    <row r="6" spans="1:44" ht="15.5">
      <c r="A6" s="15">
        <v>1</v>
      </c>
      <c r="B6" s="16">
        <v>2</v>
      </c>
      <c r="C6" s="3" t="s">
        <v>467</v>
      </c>
      <c r="D6" s="3" t="s">
        <v>245</v>
      </c>
      <c r="E6" s="3"/>
      <c r="F6" s="3"/>
      <c r="G6" s="3" t="s">
        <v>536</v>
      </c>
      <c r="H6" s="3"/>
      <c r="I6" s="25">
        <f t="shared" si="0"/>
        <v>2</v>
      </c>
      <c r="J6" s="23">
        <f t="shared" si="1"/>
        <v>20</v>
      </c>
      <c r="K6" s="21">
        <f t="shared" si="2"/>
        <v>15</v>
      </c>
      <c r="L6" s="49">
        <f t="shared" si="3"/>
        <v>10</v>
      </c>
      <c r="M6" s="25">
        <f t="shared" si="4"/>
        <v>3</v>
      </c>
      <c r="N6" s="23">
        <f t="shared" si="5"/>
        <v>40</v>
      </c>
      <c r="O6" s="21">
        <f t="shared" si="6"/>
        <v>30</v>
      </c>
      <c r="P6" s="49">
        <f t="shared" si="7"/>
        <v>30</v>
      </c>
      <c r="Q6" s="25">
        <f t="shared" si="8"/>
        <v>4</v>
      </c>
      <c r="R6" s="23">
        <f t="shared" si="9"/>
        <v>60</v>
      </c>
      <c r="S6" s="21">
        <f t="shared" si="10"/>
        <v>45</v>
      </c>
      <c r="T6" s="49">
        <f t="shared" si="11"/>
        <v>60</v>
      </c>
      <c r="U6" s="25">
        <f t="shared" si="12"/>
        <v>5</v>
      </c>
      <c r="V6" s="23">
        <f t="shared" si="13"/>
        <v>80</v>
      </c>
      <c r="W6" s="21">
        <f t="shared" si="14"/>
        <v>60</v>
      </c>
      <c r="X6" s="117">
        <f t="shared" si="15"/>
        <v>100</v>
      </c>
      <c r="Y6" s="25">
        <f t="shared" si="16"/>
        <v>6</v>
      </c>
      <c r="Z6" s="23">
        <f t="shared" si="17"/>
        <v>100</v>
      </c>
      <c r="AA6" s="21">
        <f t="shared" si="18"/>
        <v>75</v>
      </c>
      <c r="AB6" s="117">
        <f t="shared" si="19"/>
        <v>150</v>
      </c>
      <c r="AC6" s="25">
        <f t="shared" si="20"/>
        <v>7</v>
      </c>
      <c r="AD6" s="23">
        <f t="shared" si="21"/>
        <v>120</v>
      </c>
      <c r="AE6" s="21">
        <f t="shared" si="22"/>
        <v>90</v>
      </c>
      <c r="AF6" s="133">
        <f t="shared" si="23"/>
        <v>210</v>
      </c>
      <c r="AG6" s="3" t="s">
        <v>535</v>
      </c>
      <c r="AH6" s="3" t="s">
        <v>535</v>
      </c>
      <c r="AI6" s="3"/>
      <c r="AJ6" s="3"/>
      <c r="AK6" s="3"/>
      <c r="AL6" s="27"/>
      <c r="AM6" s="134" cm="1">
        <f t="array" ref="AM6">IF(AG6="Oui",($A6/$B6)/(SUMPRODUCT((AG$4:AG$35="Oui")*($A$4:$A$35/$B$4:$B$35))),0)</f>
        <v>0.10172143974960877</v>
      </c>
      <c r="AN6" s="134" cm="1">
        <f t="array" ref="AN6">IF(AH6="Oui",($A6/$B6)/(SUMPRODUCT((AH$4:AH$35="Oui")*($A$4:$A$35/$B$4:$B$35))),0)</f>
        <v>0.13393470396996202</v>
      </c>
      <c r="AO6" s="134" cm="1">
        <f t="array" ref="AO6">IF(AI6="Oui",($A6/$B6)/(SUMPRODUCT((AI$4:AI$35="Oui")*($A$4:$A$35/$B$4:$B$35))),0)</f>
        <v>0</v>
      </c>
      <c r="AP6" s="134" cm="1">
        <f t="array" ref="AP6">IF(AJ6="Oui",($A6/$B6)/(SUMPRODUCT((AJ$4:AJ$35="Oui")*($A$4:$A$35/$B$4:$B$35))),0)</f>
        <v>0</v>
      </c>
      <c r="AQ6" s="134" cm="1">
        <f t="array" ref="AQ6">IF(AK6="Oui",($A6/$B6)/(SUMPRODUCT((AK$4:AK$35="Oui")*($A$4:$A$35/$B$4:$B$35))),0)</f>
        <v>0</v>
      </c>
      <c r="AR6" s="134" cm="1">
        <f t="array" ref="AR6">IF(AL6="Oui",($A6/$B6)/(SUMPRODUCT((AL$4:AL$35="Oui")*($A$4:$A$35/$B$4:$B$35))),0)</f>
        <v>0</v>
      </c>
    </row>
    <row r="7" spans="1:44" ht="29">
      <c r="A7" s="15">
        <v>1</v>
      </c>
      <c r="B7" s="16">
        <v>2.5</v>
      </c>
      <c r="C7" s="3" t="s">
        <v>42</v>
      </c>
      <c r="D7" s="3"/>
      <c r="E7" s="3"/>
      <c r="F7" s="3"/>
      <c r="G7" s="17" t="s">
        <v>537</v>
      </c>
      <c r="H7" s="3"/>
      <c r="I7" s="25">
        <f t="shared" si="0"/>
        <v>2</v>
      </c>
      <c r="J7" s="23">
        <f t="shared" si="1"/>
        <v>25</v>
      </c>
      <c r="K7" s="21">
        <f t="shared" si="2"/>
        <v>15</v>
      </c>
      <c r="L7" s="49">
        <f t="shared" si="3"/>
        <v>10</v>
      </c>
      <c r="M7" s="25">
        <f t="shared" si="4"/>
        <v>3</v>
      </c>
      <c r="N7" s="23">
        <f t="shared" si="5"/>
        <v>50</v>
      </c>
      <c r="O7" s="21">
        <f t="shared" si="6"/>
        <v>30</v>
      </c>
      <c r="P7" s="49">
        <f t="shared" si="7"/>
        <v>30</v>
      </c>
      <c r="Q7" s="25">
        <f t="shared" si="8"/>
        <v>4</v>
      </c>
      <c r="R7" s="23">
        <f t="shared" si="9"/>
        <v>75</v>
      </c>
      <c r="S7" s="21">
        <f t="shared" si="10"/>
        <v>45</v>
      </c>
      <c r="T7" s="49">
        <f t="shared" si="11"/>
        <v>60</v>
      </c>
      <c r="U7" s="25">
        <f t="shared" si="12"/>
        <v>5</v>
      </c>
      <c r="V7" s="23">
        <f t="shared" si="13"/>
        <v>100</v>
      </c>
      <c r="W7" s="21">
        <f t="shared" si="14"/>
        <v>60</v>
      </c>
      <c r="X7" s="117">
        <f t="shared" si="15"/>
        <v>100</v>
      </c>
      <c r="Y7" s="25">
        <f t="shared" si="16"/>
        <v>6</v>
      </c>
      <c r="Z7" s="23">
        <f t="shared" si="17"/>
        <v>125</v>
      </c>
      <c r="AA7" s="21">
        <f t="shared" si="18"/>
        <v>75</v>
      </c>
      <c r="AB7" s="117">
        <f t="shared" si="19"/>
        <v>150</v>
      </c>
      <c r="AC7" s="25">
        <f t="shared" si="20"/>
        <v>7</v>
      </c>
      <c r="AD7" s="23">
        <f t="shared" si="21"/>
        <v>150</v>
      </c>
      <c r="AE7" s="21">
        <f t="shared" si="22"/>
        <v>90</v>
      </c>
      <c r="AF7" s="133">
        <f t="shared" si="23"/>
        <v>210</v>
      </c>
      <c r="AG7" s="3" t="s">
        <v>535</v>
      </c>
      <c r="AH7" s="3"/>
      <c r="AI7" s="3"/>
      <c r="AJ7" s="3"/>
      <c r="AK7" s="3"/>
      <c r="AL7" s="27" t="s">
        <v>535</v>
      </c>
      <c r="AM7" s="134" cm="1">
        <f t="array" ref="AM7">IF(AG7="Oui",($A7/$B7)/(SUMPRODUCT((AG$4:AG$35="Oui")*($A$4:$A$35/$B$4:$B$35))),0)</f>
        <v>8.137715179968702E-2</v>
      </c>
      <c r="AN7" s="134" cm="1">
        <f t="array" ref="AN7">IF(AH7="Oui",($A7/$B7)/(SUMPRODUCT((AH$4:AH$35="Oui")*($A$4:$A$35/$B$4:$B$35))),0)</f>
        <v>0</v>
      </c>
      <c r="AO7" s="134" cm="1">
        <f t="array" ref="AO7">IF(AI7="Oui",($A7/$B7)/(SUMPRODUCT((AI$4:AI$35="Oui")*($A$4:$A$35/$B$4:$B$35))),0)</f>
        <v>0</v>
      </c>
      <c r="AP7" s="134" cm="1">
        <f t="array" ref="AP7">IF(AJ7="Oui",($A7/$B7)/(SUMPRODUCT((AJ$4:AJ$35="Oui")*($A$4:$A$35/$B$4:$B$35))),0)</f>
        <v>0</v>
      </c>
      <c r="AQ7" s="134" cm="1">
        <f t="array" ref="AQ7">IF(AK7="Oui",($A7/$B7)/(SUMPRODUCT((AK$4:AK$35="Oui")*($A$4:$A$35/$B$4:$B$35))),0)</f>
        <v>0</v>
      </c>
      <c r="AR7" s="134" cm="1">
        <f t="array" ref="AR7">IF(AL7="Oui",($A7/$B7)/(SUMPRODUCT((AL$4:AL$35="Oui")*($A$4:$A$35/$B$4:$B$35))),0)</f>
        <v>0.1297419319706338</v>
      </c>
    </row>
    <row r="8" spans="1:44" ht="15.5">
      <c r="A8" s="15">
        <v>1</v>
      </c>
      <c r="B8" s="16">
        <v>2.5</v>
      </c>
      <c r="C8" s="3" t="s">
        <v>468</v>
      </c>
      <c r="D8" s="3" t="s">
        <v>266</v>
      </c>
      <c r="E8" s="3"/>
      <c r="F8" s="3"/>
      <c r="G8" s="3" t="s">
        <v>424</v>
      </c>
      <c r="H8" s="3"/>
      <c r="I8" s="25">
        <f t="shared" si="0"/>
        <v>2</v>
      </c>
      <c r="J8" s="23">
        <f t="shared" si="1"/>
        <v>25</v>
      </c>
      <c r="K8" s="21">
        <f t="shared" si="2"/>
        <v>15</v>
      </c>
      <c r="L8" s="49">
        <f t="shared" si="3"/>
        <v>10</v>
      </c>
      <c r="M8" s="25">
        <f t="shared" si="4"/>
        <v>3</v>
      </c>
      <c r="N8" s="23">
        <f t="shared" si="5"/>
        <v>50</v>
      </c>
      <c r="O8" s="21">
        <f t="shared" si="6"/>
        <v>30</v>
      </c>
      <c r="P8" s="49">
        <f t="shared" si="7"/>
        <v>30</v>
      </c>
      <c r="Q8" s="25">
        <f t="shared" si="8"/>
        <v>4</v>
      </c>
      <c r="R8" s="23">
        <f t="shared" si="9"/>
        <v>75</v>
      </c>
      <c r="S8" s="21">
        <f t="shared" si="10"/>
        <v>45</v>
      </c>
      <c r="T8" s="49">
        <f t="shared" si="11"/>
        <v>60</v>
      </c>
      <c r="U8" s="25">
        <f t="shared" si="12"/>
        <v>5</v>
      </c>
      <c r="V8" s="23">
        <f t="shared" si="13"/>
        <v>100</v>
      </c>
      <c r="W8" s="21">
        <f t="shared" si="14"/>
        <v>60</v>
      </c>
      <c r="X8" s="117">
        <f t="shared" si="15"/>
        <v>100</v>
      </c>
      <c r="Y8" s="25">
        <f t="shared" si="16"/>
        <v>6</v>
      </c>
      <c r="Z8" s="23">
        <f t="shared" si="17"/>
        <v>125</v>
      </c>
      <c r="AA8" s="21">
        <f t="shared" si="18"/>
        <v>75</v>
      </c>
      <c r="AB8" s="117">
        <f t="shared" si="19"/>
        <v>150</v>
      </c>
      <c r="AC8" s="25">
        <f t="shared" si="20"/>
        <v>7</v>
      </c>
      <c r="AD8" s="23">
        <f t="shared" si="21"/>
        <v>150</v>
      </c>
      <c r="AE8" s="21">
        <f t="shared" si="22"/>
        <v>90</v>
      </c>
      <c r="AF8" s="133">
        <f t="shared" si="23"/>
        <v>210</v>
      </c>
      <c r="AG8" s="3" t="s">
        <v>535</v>
      </c>
      <c r="AH8" s="3"/>
      <c r="AI8" s="3"/>
      <c r="AJ8" s="3"/>
      <c r="AK8" s="3" t="s">
        <v>535</v>
      </c>
      <c r="AL8" s="27"/>
      <c r="AM8" s="134" cm="1">
        <f t="array" ref="AM8">IF(AG8="Oui",($A8/$B8)/(SUMPRODUCT((AG$4:AG$35="Oui")*($A$4:$A$35/$B$4:$B$35))),0)</f>
        <v>8.137715179968702E-2</v>
      </c>
      <c r="AN8" s="134" cm="1">
        <f t="array" ref="AN8">IF(AH8="Oui",($A8/$B8)/(SUMPRODUCT((AH$4:AH$35="Oui")*($A$4:$A$35/$B$4:$B$35))),0)</f>
        <v>0</v>
      </c>
      <c r="AO8" s="134" cm="1">
        <f t="array" ref="AO8">IF(AI8="Oui",($A8/$B8)/(SUMPRODUCT((AI$4:AI$35="Oui")*($A$4:$A$35/$B$4:$B$35))),0)</f>
        <v>0</v>
      </c>
      <c r="AP8" s="134" cm="1">
        <f t="array" ref="AP8">IF(AJ8="Oui",($A8/$B8)/(SUMPRODUCT((AJ$4:AJ$35="Oui")*($A$4:$A$35/$B$4:$B$35))),0)</f>
        <v>0</v>
      </c>
      <c r="AQ8" s="134" cm="1">
        <f t="array" ref="AQ8">IF(AK8="Oui",($A8/$B8)/(SUMPRODUCT((AK$4:AK$35="Oui")*($A$4:$A$35/$B$4:$B$35))),0)</f>
        <v>0.10762826851873147</v>
      </c>
      <c r="AR8" s="134" cm="1">
        <f t="array" ref="AR8">IF(AL8="Oui",($A8/$B8)/(SUMPRODUCT((AL$4:AL$35="Oui")*($A$4:$A$35/$B$4:$B$35))),0)</f>
        <v>0</v>
      </c>
    </row>
    <row r="9" spans="1:44" ht="43.5">
      <c r="A9" s="15">
        <v>2</v>
      </c>
      <c r="B9" s="16">
        <v>3.75</v>
      </c>
      <c r="C9" s="3" t="s">
        <v>44</v>
      </c>
      <c r="D9" s="3" t="s">
        <v>249</v>
      </c>
      <c r="E9" s="3" t="s">
        <v>245</v>
      </c>
      <c r="F9" s="3"/>
      <c r="G9" s="17" t="s">
        <v>538</v>
      </c>
      <c r="H9" s="17" t="s">
        <v>471</v>
      </c>
      <c r="I9" s="25">
        <f t="shared" si="0"/>
        <v>3</v>
      </c>
      <c r="J9" s="23">
        <f t="shared" si="1"/>
        <v>25</v>
      </c>
      <c r="K9" s="21">
        <f t="shared" si="2"/>
        <v>15</v>
      </c>
      <c r="L9" s="49">
        <f t="shared" si="3"/>
        <v>15</v>
      </c>
      <c r="M9" s="25">
        <f t="shared" si="4"/>
        <v>4</v>
      </c>
      <c r="N9" s="23">
        <f>($B9/$I9*M$2)*20</f>
        <v>50</v>
      </c>
      <c r="O9" s="21">
        <f t="shared" si="6"/>
        <v>30</v>
      </c>
      <c r="P9" s="49">
        <f t="shared" si="7"/>
        <v>40</v>
      </c>
      <c r="Q9" s="25">
        <f t="shared" si="8"/>
        <v>5</v>
      </c>
      <c r="R9" s="23">
        <f t="shared" si="9"/>
        <v>75</v>
      </c>
      <c r="S9" s="21">
        <f t="shared" si="10"/>
        <v>45</v>
      </c>
      <c r="T9" s="49">
        <f t="shared" si="11"/>
        <v>75</v>
      </c>
      <c r="U9" s="25">
        <f t="shared" si="12"/>
        <v>6</v>
      </c>
      <c r="V9" s="23">
        <f t="shared" si="13"/>
        <v>100</v>
      </c>
      <c r="W9" s="21">
        <f t="shared" si="14"/>
        <v>60</v>
      </c>
      <c r="X9" s="117">
        <f t="shared" si="15"/>
        <v>120</v>
      </c>
      <c r="Y9" s="25">
        <f t="shared" si="16"/>
        <v>7</v>
      </c>
      <c r="Z9" s="23">
        <f t="shared" si="17"/>
        <v>125</v>
      </c>
      <c r="AA9" s="21">
        <f t="shared" si="18"/>
        <v>75</v>
      </c>
      <c r="AB9" s="117">
        <f t="shared" si="19"/>
        <v>175</v>
      </c>
      <c r="AC9" s="25">
        <f t="shared" si="20"/>
        <v>8</v>
      </c>
      <c r="AD9" s="23">
        <f t="shared" si="21"/>
        <v>150</v>
      </c>
      <c r="AE9" s="21">
        <f t="shared" si="22"/>
        <v>90</v>
      </c>
      <c r="AF9" s="133">
        <f t="shared" si="23"/>
        <v>240</v>
      </c>
      <c r="AG9" s="3" t="s">
        <v>535</v>
      </c>
      <c r="AH9" s="3"/>
      <c r="AI9" s="3" t="s">
        <v>535</v>
      </c>
      <c r="AJ9" s="3"/>
      <c r="AK9" s="3" t="s">
        <v>535</v>
      </c>
      <c r="AL9" s="27"/>
      <c r="AM9" s="134" cm="1">
        <f t="array" ref="AM9">IF(AG9="Oui",($A9/$B9)/(SUMPRODUCT((AG$4:AG$35="Oui")*($A$4:$A$35/$B$4:$B$35))),0)</f>
        <v>0.10850286906624936</v>
      </c>
      <c r="AN9" s="134" cm="1">
        <f t="array" ref="AN9">IF(AH9="Oui",($A9/$B9)/(SUMPRODUCT((AH$4:AH$35="Oui")*($A$4:$A$35/$B$4:$B$35))),0)</f>
        <v>0</v>
      </c>
      <c r="AO9" s="134" cm="1">
        <f t="array" ref="AO9">IF(AI9="Oui",($A9/$B9)/(SUMPRODUCT((AI$4:AI$35="Oui")*($A$4:$A$35/$B$4:$B$35))),0)</f>
        <v>0.12770725567545169</v>
      </c>
      <c r="AP9" s="134" cm="1">
        <f t="array" ref="AP9">IF(AJ9="Oui",($A9/$B9)/(SUMPRODUCT((AJ$4:AJ$35="Oui")*($A$4:$A$35/$B$4:$B$35))),0)</f>
        <v>0</v>
      </c>
      <c r="AQ9" s="134" cm="1">
        <f t="array" ref="AQ9">IF(AK9="Oui",($A9/$B9)/(SUMPRODUCT((AK$4:AK$35="Oui")*($A$4:$A$35/$B$4:$B$35))),0)</f>
        <v>0.14350435802497527</v>
      </c>
      <c r="AR9" s="134" cm="1">
        <f t="array" ref="AR9">IF(AL9="Oui",($A9/$B9)/(SUMPRODUCT((AL$4:AL$35="Oui")*($A$4:$A$35/$B$4:$B$35))),0)</f>
        <v>0</v>
      </c>
    </row>
    <row r="10" spans="1:44" ht="43.5">
      <c r="A10" s="15">
        <v>2</v>
      </c>
      <c r="B10" s="16">
        <v>3.75</v>
      </c>
      <c r="C10" s="3" t="s">
        <v>472</v>
      </c>
      <c r="D10" s="3" t="s">
        <v>245</v>
      </c>
      <c r="E10" s="3" t="s">
        <v>249</v>
      </c>
      <c r="F10" s="3"/>
      <c r="G10" s="18" t="s">
        <v>539</v>
      </c>
      <c r="H10" s="17" t="s">
        <v>471</v>
      </c>
      <c r="I10" s="25">
        <f t="shared" si="0"/>
        <v>3</v>
      </c>
      <c r="J10" s="23">
        <f t="shared" si="1"/>
        <v>25</v>
      </c>
      <c r="K10" s="21">
        <f t="shared" si="2"/>
        <v>15</v>
      </c>
      <c r="L10" s="49">
        <f t="shared" si="3"/>
        <v>15</v>
      </c>
      <c r="M10" s="25">
        <f t="shared" si="4"/>
        <v>4</v>
      </c>
      <c r="N10" s="23">
        <f t="shared" si="5"/>
        <v>50</v>
      </c>
      <c r="O10" s="21">
        <f t="shared" si="6"/>
        <v>30</v>
      </c>
      <c r="P10" s="49">
        <f t="shared" si="7"/>
        <v>40</v>
      </c>
      <c r="Q10" s="25">
        <f t="shared" si="8"/>
        <v>5</v>
      </c>
      <c r="R10" s="23">
        <f t="shared" si="9"/>
        <v>75</v>
      </c>
      <c r="S10" s="21">
        <f t="shared" si="10"/>
        <v>45</v>
      </c>
      <c r="T10" s="49">
        <f t="shared" si="11"/>
        <v>75</v>
      </c>
      <c r="U10" s="25">
        <f t="shared" si="12"/>
        <v>6</v>
      </c>
      <c r="V10" s="23">
        <f t="shared" si="13"/>
        <v>100</v>
      </c>
      <c r="W10" s="21">
        <f t="shared" si="14"/>
        <v>60</v>
      </c>
      <c r="X10" s="117">
        <f t="shared" si="15"/>
        <v>120</v>
      </c>
      <c r="Y10" s="25">
        <f t="shared" si="16"/>
        <v>7</v>
      </c>
      <c r="Z10" s="23">
        <f t="shared" si="17"/>
        <v>125</v>
      </c>
      <c r="AA10" s="21">
        <f t="shared" si="18"/>
        <v>75</v>
      </c>
      <c r="AB10" s="117">
        <f t="shared" si="19"/>
        <v>175</v>
      </c>
      <c r="AC10" s="25">
        <f t="shared" si="20"/>
        <v>8</v>
      </c>
      <c r="AD10" s="23">
        <f t="shared" si="21"/>
        <v>150</v>
      </c>
      <c r="AE10" s="21">
        <f t="shared" si="22"/>
        <v>90</v>
      </c>
      <c r="AF10" s="133">
        <f t="shared" si="23"/>
        <v>240</v>
      </c>
      <c r="AG10" s="3"/>
      <c r="AH10" s="3"/>
      <c r="AI10" s="3" t="s">
        <v>535</v>
      </c>
      <c r="AJ10" s="3"/>
      <c r="AK10" s="3"/>
      <c r="AL10" s="27" t="s">
        <v>535</v>
      </c>
      <c r="AM10" s="134" cm="1">
        <f t="array" ref="AM10">IF(AG10="Oui",($A10/$B10)/(SUMPRODUCT((AG$4:AG$35="Oui")*($A$4:$A$35/$B$4:$B$35))),0)</f>
        <v>0</v>
      </c>
      <c r="AN10" s="134" cm="1">
        <f t="array" ref="AN10">IF(AH10="Oui",($A10/$B10)/(SUMPRODUCT((AH$4:AH$35="Oui")*($A$4:$A$35/$B$4:$B$35))),0)</f>
        <v>0</v>
      </c>
      <c r="AO10" s="134" cm="1">
        <f t="array" ref="AO10">IF(AI10="Oui",($A10/$B10)/(SUMPRODUCT((AI$4:AI$35="Oui")*($A$4:$A$35/$B$4:$B$35))),0)</f>
        <v>0.12770725567545169</v>
      </c>
      <c r="AP10" s="134" cm="1">
        <f t="array" ref="AP10">IF(AJ10="Oui",($A10/$B10)/(SUMPRODUCT((AJ$4:AJ$35="Oui")*($A$4:$A$35/$B$4:$B$35))),0)</f>
        <v>0</v>
      </c>
      <c r="AQ10" s="134" cm="1">
        <f t="array" ref="AQ10">IF(AK10="Oui",($A10/$B10)/(SUMPRODUCT((AK$4:AK$35="Oui")*($A$4:$A$35/$B$4:$B$35))),0)</f>
        <v>0</v>
      </c>
      <c r="AR10" s="134" cm="1">
        <f t="array" ref="AR10">IF(AL10="Oui",($A10/$B10)/(SUMPRODUCT((AL$4:AL$35="Oui")*($A$4:$A$35/$B$4:$B$35))),0)</f>
        <v>0.17298924262751172</v>
      </c>
    </row>
    <row r="11" spans="1:44" ht="43.5">
      <c r="A11" s="15">
        <v>2</v>
      </c>
      <c r="B11" s="16">
        <v>3.75</v>
      </c>
      <c r="C11" s="3" t="s">
        <v>475</v>
      </c>
      <c r="D11" s="3" t="s">
        <v>266</v>
      </c>
      <c r="E11" s="3" t="s">
        <v>263</v>
      </c>
      <c r="F11" s="17" t="s">
        <v>172</v>
      </c>
      <c r="G11" s="17" t="s">
        <v>540</v>
      </c>
      <c r="H11" s="17" t="s">
        <v>471</v>
      </c>
      <c r="I11" s="25">
        <f t="shared" si="0"/>
        <v>3</v>
      </c>
      <c r="J11" s="23">
        <f t="shared" si="1"/>
        <v>25</v>
      </c>
      <c r="K11" s="21">
        <f t="shared" si="2"/>
        <v>15</v>
      </c>
      <c r="L11" s="49">
        <f t="shared" si="3"/>
        <v>15</v>
      </c>
      <c r="M11" s="25">
        <f t="shared" ref="M11:M35" si="24">IF($B11&gt;1,$A11+M$2,M$2)</f>
        <v>4</v>
      </c>
      <c r="N11" s="23">
        <f t="shared" si="5"/>
        <v>50</v>
      </c>
      <c r="O11" s="21">
        <f t="shared" si="6"/>
        <v>30</v>
      </c>
      <c r="P11" s="49">
        <f t="shared" si="7"/>
        <v>40</v>
      </c>
      <c r="Q11" s="25">
        <f t="shared" si="8"/>
        <v>5</v>
      </c>
      <c r="R11" s="23">
        <f t="shared" si="9"/>
        <v>75</v>
      </c>
      <c r="S11" s="21">
        <f t="shared" si="10"/>
        <v>45</v>
      </c>
      <c r="T11" s="49">
        <f t="shared" si="11"/>
        <v>75</v>
      </c>
      <c r="U11" s="25">
        <f t="shared" si="12"/>
        <v>6</v>
      </c>
      <c r="V11" s="23">
        <f t="shared" si="13"/>
        <v>100</v>
      </c>
      <c r="W11" s="21">
        <f t="shared" si="14"/>
        <v>60</v>
      </c>
      <c r="X11" s="117">
        <f t="shared" si="15"/>
        <v>120</v>
      </c>
      <c r="Y11" s="25">
        <f t="shared" si="16"/>
        <v>7</v>
      </c>
      <c r="Z11" s="23">
        <f t="shared" si="17"/>
        <v>125</v>
      </c>
      <c r="AA11" s="21">
        <f t="shared" si="18"/>
        <v>75</v>
      </c>
      <c r="AB11" s="117">
        <f t="shared" si="19"/>
        <v>175</v>
      </c>
      <c r="AC11" s="25">
        <f t="shared" si="20"/>
        <v>8</v>
      </c>
      <c r="AD11" s="23">
        <f t="shared" si="21"/>
        <v>150</v>
      </c>
      <c r="AE11" s="21">
        <f t="shared" si="22"/>
        <v>90</v>
      </c>
      <c r="AF11" s="133">
        <f t="shared" si="23"/>
        <v>240</v>
      </c>
      <c r="AG11" s="3"/>
      <c r="AH11" s="3" t="s">
        <v>535</v>
      </c>
      <c r="AI11" s="3" t="s">
        <v>535</v>
      </c>
      <c r="AJ11" s="3"/>
      <c r="AK11" s="3" t="s">
        <v>535</v>
      </c>
      <c r="AL11" s="27"/>
      <c r="AM11" s="134" cm="1">
        <f t="array" ref="AM11">IF(AG11="Oui",($A11/$B11)/(SUMPRODUCT((AG$4:AG$35="Oui")*($A$4:$A$35/$B$4:$B$35))),0)</f>
        <v>0</v>
      </c>
      <c r="AN11" s="134" cm="1">
        <f t="array" ref="AN11">IF(AH11="Oui",($A11/$B11)/(SUMPRODUCT((AH$4:AH$35="Oui")*($A$4:$A$35/$B$4:$B$35))),0)</f>
        <v>0.14286368423462614</v>
      </c>
      <c r="AO11" s="134" cm="1">
        <f t="array" ref="AO11">IF(AI11="Oui",($A11/$B11)/(SUMPRODUCT((AI$4:AI$35="Oui")*($A$4:$A$35/$B$4:$B$35))),0)</f>
        <v>0.12770725567545169</v>
      </c>
      <c r="AP11" s="134" cm="1">
        <f t="array" ref="AP11">IF(AJ11="Oui",($A11/$B11)/(SUMPRODUCT((AJ$4:AJ$35="Oui")*($A$4:$A$35/$B$4:$B$35))),0)</f>
        <v>0</v>
      </c>
      <c r="AQ11" s="134" cm="1">
        <f t="array" ref="AQ11">IF(AK11="Oui",($A11/$B11)/(SUMPRODUCT((AK$4:AK$35="Oui")*($A$4:$A$35/$B$4:$B$35))),0)</f>
        <v>0.14350435802497527</v>
      </c>
      <c r="AR11" s="134" cm="1">
        <f t="array" ref="AR11">IF(AL11="Oui",($A11/$B11)/(SUMPRODUCT((AL$4:AL$35="Oui")*($A$4:$A$35/$B$4:$B$35))),0)</f>
        <v>0</v>
      </c>
    </row>
    <row r="12" spans="1:44" ht="43.5">
      <c r="A12" s="15">
        <v>2</v>
      </c>
      <c r="B12" s="16">
        <v>3.75</v>
      </c>
      <c r="C12" s="3" t="s">
        <v>478</v>
      </c>
      <c r="D12" s="3" t="s">
        <v>172</v>
      </c>
      <c r="E12" s="3" t="s">
        <v>266</v>
      </c>
      <c r="F12" s="17" t="s">
        <v>263</v>
      </c>
      <c r="G12" s="17" t="s">
        <v>541</v>
      </c>
      <c r="H12" s="17" t="s">
        <v>471</v>
      </c>
      <c r="I12" s="25">
        <f t="shared" si="0"/>
        <v>3</v>
      </c>
      <c r="J12" s="23">
        <f t="shared" si="1"/>
        <v>25</v>
      </c>
      <c r="K12" s="21">
        <f t="shared" si="2"/>
        <v>15</v>
      </c>
      <c r="L12" s="49">
        <f t="shared" si="3"/>
        <v>15</v>
      </c>
      <c r="M12" s="25">
        <f t="shared" si="24"/>
        <v>4</v>
      </c>
      <c r="N12" s="23">
        <f t="shared" si="5"/>
        <v>50</v>
      </c>
      <c r="O12" s="21">
        <f t="shared" si="6"/>
        <v>30</v>
      </c>
      <c r="P12" s="49">
        <f t="shared" si="7"/>
        <v>40</v>
      </c>
      <c r="Q12" s="25">
        <f t="shared" si="8"/>
        <v>5</v>
      </c>
      <c r="R12" s="23">
        <f t="shared" si="9"/>
        <v>75</v>
      </c>
      <c r="S12" s="21">
        <f t="shared" si="10"/>
        <v>45</v>
      </c>
      <c r="T12" s="49">
        <f t="shared" si="11"/>
        <v>75</v>
      </c>
      <c r="U12" s="25">
        <f t="shared" si="12"/>
        <v>6</v>
      </c>
      <c r="V12" s="23">
        <f t="shared" si="13"/>
        <v>100</v>
      </c>
      <c r="W12" s="21">
        <f t="shared" si="14"/>
        <v>60</v>
      </c>
      <c r="X12" s="117">
        <f t="shared" si="15"/>
        <v>120</v>
      </c>
      <c r="Y12" s="25">
        <f t="shared" si="16"/>
        <v>7</v>
      </c>
      <c r="Z12" s="23">
        <f t="shared" si="17"/>
        <v>125</v>
      </c>
      <c r="AA12" s="21">
        <f t="shared" si="18"/>
        <v>75</v>
      </c>
      <c r="AB12" s="117">
        <f t="shared" si="19"/>
        <v>175</v>
      </c>
      <c r="AC12" s="25">
        <f t="shared" si="20"/>
        <v>8</v>
      </c>
      <c r="AD12" s="23">
        <f t="shared" si="21"/>
        <v>150</v>
      </c>
      <c r="AE12" s="21">
        <f t="shared" si="22"/>
        <v>90</v>
      </c>
      <c r="AF12" s="133">
        <f t="shared" si="23"/>
        <v>240</v>
      </c>
      <c r="AG12" s="3"/>
      <c r="AH12" s="3"/>
      <c r="AI12" s="3" t="s">
        <v>535</v>
      </c>
      <c r="AJ12" s="3" t="s">
        <v>535</v>
      </c>
      <c r="AK12" s="3"/>
      <c r="AL12" s="27"/>
      <c r="AM12" s="134" cm="1">
        <f t="array" ref="AM12">IF(AG12="Oui",($A12/$B12)/(SUMPRODUCT((AG$4:AG$35="Oui")*($A$4:$A$35/$B$4:$B$35))),0)</f>
        <v>0</v>
      </c>
      <c r="AN12" s="134" cm="1">
        <f t="array" ref="AN12">IF(AH12="Oui",($A12/$B12)/(SUMPRODUCT((AH$4:AH$35="Oui")*($A$4:$A$35/$B$4:$B$35))),0)</f>
        <v>0</v>
      </c>
      <c r="AO12" s="134" cm="1">
        <f t="array" ref="AO12">IF(AI12="Oui",($A12/$B12)/(SUMPRODUCT((AI$4:AI$35="Oui")*($A$4:$A$35/$B$4:$B$35))),0)</f>
        <v>0.12770725567545169</v>
      </c>
      <c r="AP12" s="134" cm="1">
        <f t="array" ref="AP12">IF(AJ12="Oui",($A12/$B12)/(SUMPRODUCT((AJ$4:AJ$35="Oui")*($A$4:$A$35/$B$4:$B$35))),0)</f>
        <v>0.15516639624446171</v>
      </c>
      <c r="AQ12" s="134" cm="1">
        <f t="array" ref="AQ12">IF(AK12="Oui",($A12/$B12)/(SUMPRODUCT((AK$4:AK$35="Oui")*($A$4:$A$35/$B$4:$B$35))),0)</f>
        <v>0</v>
      </c>
      <c r="AR12" s="134" cm="1">
        <f t="array" ref="AR12">IF(AL12="Oui",($A12/$B12)/(SUMPRODUCT((AL$4:AL$35="Oui")*($A$4:$A$35/$B$4:$B$35))),0)</f>
        <v>0</v>
      </c>
    </row>
    <row r="13" spans="1:44" ht="43.5">
      <c r="A13" s="15">
        <v>2</v>
      </c>
      <c r="B13" s="16">
        <v>3.75</v>
      </c>
      <c r="C13" s="3" t="s">
        <v>45</v>
      </c>
      <c r="D13" s="3" t="s">
        <v>263</v>
      </c>
      <c r="E13" s="3" t="s">
        <v>172</v>
      </c>
      <c r="F13" s="17" t="s">
        <v>266</v>
      </c>
      <c r="G13" s="17" t="s">
        <v>542</v>
      </c>
      <c r="H13" s="17" t="s">
        <v>471</v>
      </c>
      <c r="I13" s="25">
        <f t="shared" si="0"/>
        <v>3</v>
      </c>
      <c r="J13" s="23">
        <f t="shared" si="1"/>
        <v>25</v>
      </c>
      <c r="K13" s="21">
        <f t="shared" si="2"/>
        <v>15</v>
      </c>
      <c r="L13" s="49">
        <f t="shared" si="3"/>
        <v>15</v>
      </c>
      <c r="M13" s="25">
        <f t="shared" si="24"/>
        <v>4</v>
      </c>
      <c r="N13" s="23">
        <f t="shared" si="5"/>
        <v>50</v>
      </c>
      <c r="O13" s="21">
        <f t="shared" si="6"/>
        <v>30</v>
      </c>
      <c r="P13" s="49">
        <f t="shared" si="7"/>
        <v>40</v>
      </c>
      <c r="Q13" s="25">
        <f t="shared" si="8"/>
        <v>5</v>
      </c>
      <c r="R13" s="23">
        <f t="shared" si="9"/>
        <v>75</v>
      </c>
      <c r="S13" s="21">
        <f t="shared" si="10"/>
        <v>45</v>
      </c>
      <c r="T13" s="49">
        <f t="shared" si="11"/>
        <v>75</v>
      </c>
      <c r="U13" s="25">
        <f t="shared" si="12"/>
        <v>6</v>
      </c>
      <c r="V13" s="23">
        <f t="shared" si="13"/>
        <v>100</v>
      </c>
      <c r="W13" s="21">
        <f t="shared" si="14"/>
        <v>60</v>
      </c>
      <c r="X13" s="117">
        <f t="shared" si="15"/>
        <v>120</v>
      </c>
      <c r="Y13" s="25">
        <f t="shared" si="16"/>
        <v>7</v>
      </c>
      <c r="Z13" s="23">
        <f t="shared" si="17"/>
        <v>125</v>
      </c>
      <c r="AA13" s="21">
        <f t="shared" si="18"/>
        <v>75</v>
      </c>
      <c r="AB13" s="117">
        <f t="shared" si="19"/>
        <v>175</v>
      </c>
      <c r="AC13" s="25">
        <f t="shared" si="20"/>
        <v>8</v>
      </c>
      <c r="AD13" s="23">
        <f t="shared" si="21"/>
        <v>150</v>
      </c>
      <c r="AE13" s="21">
        <f t="shared" si="22"/>
        <v>90</v>
      </c>
      <c r="AF13" s="133">
        <f t="shared" si="23"/>
        <v>240</v>
      </c>
      <c r="AG13" s="3"/>
      <c r="AH13" s="3"/>
      <c r="AI13" s="3" t="s">
        <v>535</v>
      </c>
      <c r="AJ13" s="3" t="s">
        <v>535</v>
      </c>
      <c r="AK13" s="3"/>
      <c r="AL13" s="27" t="s">
        <v>535</v>
      </c>
      <c r="AM13" s="134" cm="1">
        <f t="array" ref="AM13">IF(AG13="Oui",($A13/$B13)/(SUMPRODUCT((AG$4:AG$35="Oui")*($A$4:$A$35/$B$4:$B$35))),0)</f>
        <v>0</v>
      </c>
      <c r="AN13" s="134" cm="1">
        <f t="array" ref="AN13">IF(AH13="Oui",($A13/$B13)/(SUMPRODUCT((AH$4:AH$35="Oui")*($A$4:$A$35/$B$4:$B$35))),0)</f>
        <v>0</v>
      </c>
      <c r="AO13" s="134" cm="1">
        <f t="array" ref="AO13">IF(AI13="Oui",($A13/$B13)/(SUMPRODUCT((AI$4:AI$35="Oui")*($A$4:$A$35/$B$4:$B$35))),0)</f>
        <v>0.12770725567545169</v>
      </c>
      <c r="AP13" s="134" cm="1">
        <f t="array" ref="AP13">IF(AJ13="Oui",($A13/$B13)/(SUMPRODUCT((AJ$4:AJ$35="Oui")*($A$4:$A$35/$B$4:$B$35))),0)</f>
        <v>0.15516639624446171</v>
      </c>
      <c r="AQ13" s="134" cm="1">
        <f t="array" ref="AQ13">IF(AK13="Oui",($A13/$B13)/(SUMPRODUCT((AK$4:AK$35="Oui")*($A$4:$A$35/$B$4:$B$35))),0)</f>
        <v>0</v>
      </c>
      <c r="AR13" s="134" cm="1">
        <f t="array" ref="AR13">IF(AL13="Oui",($A13/$B13)/(SUMPRODUCT((AL$4:AL$35="Oui")*($A$4:$A$35/$B$4:$B$35))),0)</f>
        <v>0.17298924262751172</v>
      </c>
    </row>
    <row r="14" spans="1:44" ht="43.5">
      <c r="A14" s="15">
        <v>2</v>
      </c>
      <c r="B14" s="16">
        <v>3.75</v>
      </c>
      <c r="C14" s="3" t="s">
        <v>483</v>
      </c>
      <c r="D14" s="3" t="s">
        <v>270</v>
      </c>
      <c r="E14" s="3" t="s">
        <v>306</v>
      </c>
      <c r="G14" s="17" t="s">
        <v>543</v>
      </c>
      <c r="H14" s="17" t="s">
        <v>471</v>
      </c>
      <c r="I14" s="25">
        <f t="shared" si="0"/>
        <v>3</v>
      </c>
      <c r="J14" s="23">
        <f t="shared" si="1"/>
        <v>25</v>
      </c>
      <c r="K14" s="21">
        <f t="shared" si="2"/>
        <v>15</v>
      </c>
      <c r="L14" s="49">
        <f t="shared" si="3"/>
        <v>15</v>
      </c>
      <c r="M14" s="25">
        <f t="shared" si="24"/>
        <v>4</v>
      </c>
      <c r="N14" s="23">
        <f t="shared" si="5"/>
        <v>50</v>
      </c>
      <c r="O14" s="21">
        <f t="shared" si="6"/>
        <v>30</v>
      </c>
      <c r="P14" s="49">
        <f t="shared" si="7"/>
        <v>40</v>
      </c>
      <c r="Q14" s="25">
        <f t="shared" si="8"/>
        <v>5</v>
      </c>
      <c r="R14" s="23">
        <f t="shared" si="9"/>
        <v>75</v>
      </c>
      <c r="S14" s="21">
        <f t="shared" si="10"/>
        <v>45</v>
      </c>
      <c r="T14" s="49">
        <f t="shared" si="11"/>
        <v>75</v>
      </c>
      <c r="U14" s="25">
        <f t="shared" si="12"/>
        <v>6</v>
      </c>
      <c r="V14" s="23">
        <f t="shared" si="13"/>
        <v>100</v>
      </c>
      <c r="W14" s="21">
        <f t="shared" si="14"/>
        <v>60</v>
      </c>
      <c r="X14" s="117">
        <f t="shared" si="15"/>
        <v>120</v>
      </c>
      <c r="Y14" s="25">
        <f t="shared" si="16"/>
        <v>7</v>
      </c>
      <c r="Z14" s="23">
        <f t="shared" si="17"/>
        <v>125</v>
      </c>
      <c r="AA14" s="21">
        <f t="shared" si="18"/>
        <v>75</v>
      </c>
      <c r="AB14" s="117">
        <f t="shared" si="19"/>
        <v>175</v>
      </c>
      <c r="AC14" s="25">
        <f t="shared" si="20"/>
        <v>8</v>
      </c>
      <c r="AD14" s="23">
        <f t="shared" si="21"/>
        <v>150</v>
      </c>
      <c r="AE14" s="21">
        <f t="shared" si="22"/>
        <v>90</v>
      </c>
      <c r="AF14" s="133">
        <f t="shared" si="23"/>
        <v>240</v>
      </c>
      <c r="AG14" s="3"/>
      <c r="AH14" s="3" t="s">
        <v>535</v>
      </c>
      <c r="AI14" s="3"/>
      <c r="AJ14" s="3"/>
      <c r="AK14" s="3"/>
      <c r="AL14" s="27"/>
      <c r="AM14" s="134" cm="1">
        <f t="array" ref="AM14">IF(AG14="Oui",($A14/$B14)/(SUMPRODUCT((AG$4:AG$35="Oui")*($A$4:$A$35/$B$4:$B$35))),0)</f>
        <v>0</v>
      </c>
      <c r="AN14" s="134" cm="1">
        <f t="array" ref="AN14">IF(AH14="Oui",($A14/$B14)/(SUMPRODUCT((AH$4:AH$35="Oui")*($A$4:$A$35/$B$4:$B$35))),0)</f>
        <v>0.14286368423462614</v>
      </c>
      <c r="AO14" s="134" cm="1">
        <f t="array" ref="AO14">IF(AI14="Oui",($A14/$B14)/(SUMPRODUCT((AI$4:AI$35="Oui")*($A$4:$A$35/$B$4:$B$35))),0)</f>
        <v>0</v>
      </c>
      <c r="AP14" s="134" cm="1">
        <f t="array" ref="AP14">IF(AJ14="Oui",($A14/$B14)/(SUMPRODUCT((AJ$4:AJ$35="Oui")*($A$4:$A$35/$B$4:$B$35))),0)</f>
        <v>0</v>
      </c>
      <c r="AQ14" s="134" cm="1">
        <f t="array" ref="AQ14">IF(AK14="Oui",($A14/$B14)/(SUMPRODUCT((AK$4:AK$35="Oui")*($A$4:$A$35/$B$4:$B$35))),0)</f>
        <v>0</v>
      </c>
      <c r="AR14" s="134" cm="1">
        <f t="array" ref="AR14">IF(AL14="Oui",($A14/$B14)/(SUMPRODUCT((AL$4:AL$35="Oui")*($A$4:$A$35/$B$4:$B$35))),0)</f>
        <v>0</v>
      </c>
    </row>
    <row r="15" spans="1:44" ht="15.5">
      <c r="A15" s="15">
        <v>2</v>
      </c>
      <c r="B15" s="16">
        <v>3.75</v>
      </c>
      <c r="C15" s="3" t="s">
        <v>485</v>
      </c>
      <c r="D15" s="3"/>
      <c r="E15" s="3"/>
      <c r="F15" s="3" t="s">
        <v>245</v>
      </c>
      <c r="G15" s="3" t="s">
        <v>486</v>
      </c>
      <c r="H15" s="3" t="s">
        <v>487</v>
      </c>
      <c r="I15" s="25">
        <f t="shared" si="0"/>
        <v>3</v>
      </c>
      <c r="J15" s="23">
        <f t="shared" si="1"/>
        <v>25</v>
      </c>
      <c r="K15" s="21">
        <f t="shared" si="2"/>
        <v>15</v>
      </c>
      <c r="L15" s="49">
        <f t="shared" si="3"/>
        <v>15</v>
      </c>
      <c r="M15" s="25">
        <f t="shared" si="24"/>
        <v>4</v>
      </c>
      <c r="N15" s="23">
        <f t="shared" si="5"/>
        <v>50</v>
      </c>
      <c r="O15" s="21">
        <f t="shared" si="6"/>
        <v>30</v>
      </c>
      <c r="P15" s="49">
        <f t="shared" si="7"/>
        <v>40</v>
      </c>
      <c r="Q15" s="25">
        <f t="shared" si="8"/>
        <v>5</v>
      </c>
      <c r="R15" s="23">
        <f t="shared" si="9"/>
        <v>75</v>
      </c>
      <c r="S15" s="21">
        <f t="shared" si="10"/>
        <v>45</v>
      </c>
      <c r="T15" s="49">
        <f t="shared" si="11"/>
        <v>75</v>
      </c>
      <c r="U15" s="25">
        <f t="shared" si="12"/>
        <v>6</v>
      </c>
      <c r="V15" s="23">
        <f t="shared" si="13"/>
        <v>100</v>
      </c>
      <c r="W15" s="21">
        <f t="shared" si="14"/>
        <v>60</v>
      </c>
      <c r="X15" s="117">
        <f t="shared" si="15"/>
        <v>120</v>
      </c>
      <c r="Y15" s="25">
        <f t="shared" si="16"/>
        <v>7</v>
      </c>
      <c r="Z15" s="23">
        <f t="shared" si="17"/>
        <v>125</v>
      </c>
      <c r="AA15" s="21">
        <f t="shared" si="18"/>
        <v>75</v>
      </c>
      <c r="AB15" s="117">
        <f t="shared" si="19"/>
        <v>175</v>
      </c>
      <c r="AC15" s="25">
        <f t="shared" si="20"/>
        <v>8</v>
      </c>
      <c r="AD15" s="23">
        <f t="shared" si="21"/>
        <v>150</v>
      </c>
      <c r="AE15" s="21">
        <f t="shared" si="22"/>
        <v>90</v>
      </c>
      <c r="AF15" s="133">
        <f t="shared" si="23"/>
        <v>240</v>
      </c>
      <c r="AG15" s="3" t="s">
        <v>535</v>
      </c>
      <c r="AH15" s="3" t="s">
        <v>535</v>
      </c>
      <c r="AI15" s="3"/>
      <c r="AJ15" s="3"/>
      <c r="AK15" s="3"/>
      <c r="AL15" s="27"/>
      <c r="AM15" s="134" cm="1">
        <f t="array" ref="AM15">IF(AG15="Oui",($A15/$B15)/(SUMPRODUCT((AG$4:AG$35="Oui")*($A$4:$A$35/$B$4:$B$35))),0)</f>
        <v>0.10850286906624936</v>
      </c>
      <c r="AN15" s="134" cm="1">
        <f t="array" ref="AN15">IF(AH15="Oui",($A15/$B15)/(SUMPRODUCT((AH$4:AH$35="Oui")*($A$4:$A$35/$B$4:$B$35))),0)</f>
        <v>0.14286368423462614</v>
      </c>
      <c r="AO15" s="134" cm="1">
        <f t="array" ref="AO15">IF(AI15="Oui",($A15/$B15)/(SUMPRODUCT((AI$4:AI$35="Oui")*($A$4:$A$35/$B$4:$B$35))),0)</f>
        <v>0</v>
      </c>
      <c r="AP15" s="134" cm="1">
        <f t="array" ref="AP15">IF(AJ15="Oui",($A15/$B15)/(SUMPRODUCT((AJ$4:AJ$35="Oui")*($A$4:$A$35/$B$4:$B$35))),0)</f>
        <v>0</v>
      </c>
      <c r="AQ15" s="134" cm="1">
        <f t="array" ref="AQ15">IF(AK15="Oui",($A15/$B15)/(SUMPRODUCT((AK$4:AK$35="Oui")*($A$4:$A$35/$B$4:$B$35))),0)</f>
        <v>0</v>
      </c>
      <c r="AR15" s="134" cm="1">
        <f t="array" ref="AR15">IF(AL15="Oui",($A15/$B15)/(SUMPRODUCT((AL$4:AL$35="Oui")*($A$4:$A$35/$B$4:$B$35))),0)</f>
        <v>0</v>
      </c>
    </row>
    <row r="16" spans="1:44" ht="15.5">
      <c r="A16" s="15">
        <v>2</v>
      </c>
      <c r="B16" s="16">
        <v>4.5</v>
      </c>
      <c r="C16" s="3" t="s">
        <v>488</v>
      </c>
      <c r="D16" s="3" t="s">
        <v>544</v>
      </c>
      <c r="E16" s="3"/>
      <c r="F16" s="3" t="s">
        <v>490</v>
      </c>
      <c r="G16" s="3"/>
      <c r="H16" s="3"/>
      <c r="I16" s="25">
        <f t="shared" si="0"/>
        <v>3</v>
      </c>
      <c r="J16" s="23">
        <f t="shared" si="1"/>
        <v>30</v>
      </c>
      <c r="K16" s="21">
        <f t="shared" si="2"/>
        <v>20</v>
      </c>
      <c r="L16" s="49">
        <f t="shared" si="3"/>
        <v>20</v>
      </c>
      <c r="M16" s="25">
        <f t="shared" si="24"/>
        <v>4</v>
      </c>
      <c r="N16" s="23">
        <f t="shared" si="5"/>
        <v>60</v>
      </c>
      <c r="O16" s="21">
        <f t="shared" si="6"/>
        <v>40</v>
      </c>
      <c r="P16" s="49">
        <f t="shared" si="7"/>
        <v>53.333333333333336</v>
      </c>
      <c r="Q16" s="25">
        <f t="shared" si="8"/>
        <v>5</v>
      </c>
      <c r="R16" s="23">
        <f t="shared" si="9"/>
        <v>90</v>
      </c>
      <c r="S16" s="21">
        <f t="shared" si="10"/>
        <v>60</v>
      </c>
      <c r="T16" s="49">
        <f t="shared" si="11"/>
        <v>100</v>
      </c>
      <c r="U16" s="25">
        <f t="shared" si="12"/>
        <v>6</v>
      </c>
      <c r="V16" s="23">
        <f t="shared" si="13"/>
        <v>120</v>
      </c>
      <c r="W16" s="21">
        <f t="shared" si="14"/>
        <v>80</v>
      </c>
      <c r="X16" s="117">
        <f t="shared" si="15"/>
        <v>160</v>
      </c>
      <c r="Y16" s="25">
        <f t="shared" si="16"/>
        <v>7</v>
      </c>
      <c r="Z16" s="23">
        <f t="shared" si="17"/>
        <v>150</v>
      </c>
      <c r="AA16" s="21">
        <f t="shared" si="18"/>
        <v>100</v>
      </c>
      <c r="AB16" s="117">
        <f t="shared" si="19"/>
        <v>233.33333333333334</v>
      </c>
      <c r="AC16" s="25">
        <f t="shared" si="20"/>
        <v>8</v>
      </c>
      <c r="AD16" s="23">
        <f t="shared" si="21"/>
        <v>180</v>
      </c>
      <c r="AE16" s="21">
        <f t="shared" si="22"/>
        <v>120</v>
      </c>
      <c r="AF16" s="133">
        <f t="shared" si="23"/>
        <v>320</v>
      </c>
      <c r="AG16" s="3"/>
      <c r="AH16" s="3"/>
      <c r="AI16" s="3"/>
      <c r="AJ16" s="3"/>
      <c r="AK16" s="3" t="s">
        <v>535</v>
      </c>
      <c r="AL16" s="27" t="s">
        <v>535</v>
      </c>
      <c r="AM16" s="134" cm="1">
        <f t="array" ref="AM16">IF(AG16="Oui",($A16/$B16)/(SUMPRODUCT((AG$4:AG$35="Oui")*($A$4:$A$35/$B$4:$B$35))),0)</f>
        <v>0</v>
      </c>
      <c r="AN16" s="134" cm="1">
        <f t="array" ref="AN16">IF(AH16="Oui",($A16/$B16)/(SUMPRODUCT((AH$4:AH$35="Oui")*($A$4:$A$35/$B$4:$B$35))),0)</f>
        <v>0</v>
      </c>
      <c r="AO16" s="134" cm="1">
        <f t="array" ref="AO16">IF(AI16="Oui",($A16/$B16)/(SUMPRODUCT((AI$4:AI$35="Oui")*($A$4:$A$35/$B$4:$B$35))),0)</f>
        <v>0</v>
      </c>
      <c r="AP16" s="134" cm="1">
        <f t="array" ref="AP16">IF(AJ16="Oui",($A16/$B16)/(SUMPRODUCT((AJ$4:AJ$35="Oui")*($A$4:$A$35/$B$4:$B$35))),0)</f>
        <v>0</v>
      </c>
      <c r="AQ16" s="134" cm="1">
        <f t="array" ref="AQ16">IF(AK16="Oui",($A16/$B16)/(SUMPRODUCT((AK$4:AK$35="Oui")*($A$4:$A$35/$B$4:$B$35))),0)</f>
        <v>0.11958696502081273</v>
      </c>
      <c r="AR16" s="134" cm="1">
        <f t="array" ref="AR16">IF(AL16="Oui",($A16/$B16)/(SUMPRODUCT((AL$4:AL$35="Oui")*($A$4:$A$35/$B$4:$B$35))),0)</f>
        <v>0.14415770218959309</v>
      </c>
    </row>
    <row r="17" spans="1:44" ht="15.5">
      <c r="A17" s="15">
        <v>1</v>
      </c>
      <c r="B17" s="16">
        <v>4.5</v>
      </c>
      <c r="C17" s="3" t="s">
        <v>491</v>
      </c>
      <c r="D17" s="3"/>
      <c r="E17" s="3"/>
      <c r="F17" s="3"/>
      <c r="G17" s="3" t="s">
        <v>545</v>
      </c>
      <c r="H17" s="3"/>
      <c r="I17" s="25">
        <f t="shared" si="0"/>
        <v>2</v>
      </c>
      <c r="J17" s="23">
        <f t="shared" si="1"/>
        <v>45</v>
      </c>
      <c r="K17" s="21">
        <f t="shared" si="2"/>
        <v>25</v>
      </c>
      <c r="L17" s="49">
        <f t="shared" si="3"/>
        <v>16.666666666666668</v>
      </c>
      <c r="M17" s="25">
        <f t="shared" si="24"/>
        <v>3</v>
      </c>
      <c r="N17" s="23">
        <f t="shared" si="5"/>
        <v>90</v>
      </c>
      <c r="O17" s="21">
        <f t="shared" si="6"/>
        <v>50</v>
      </c>
      <c r="P17" s="49">
        <f t="shared" si="7"/>
        <v>50</v>
      </c>
      <c r="Q17" s="25">
        <f t="shared" si="8"/>
        <v>4</v>
      </c>
      <c r="R17" s="23">
        <f t="shared" si="9"/>
        <v>135</v>
      </c>
      <c r="S17" s="21">
        <f t="shared" si="10"/>
        <v>75</v>
      </c>
      <c r="T17" s="49">
        <f t="shared" si="11"/>
        <v>100</v>
      </c>
      <c r="U17" s="25">
        <f t="shared" si="12"/>
        <v>5</v>
      </c>
      <c r="V17" s="23">
        <f t="shared" si="13"/>
        <v>180</v>
      </c>
      <c r="W17" s="21">
        <f t="shared" si="14"/>
        <v>100</v>
      </c>
      <c r="X17" s="117">
        <f t="shared" si="15"/>
        <v>166.66666666666666</v>
      </c>
      <c r="Y17" s="25">
        <f t="shared" si="16"/>
        <v>6</v>
      </c>
      <c r="Z17" s="23">
        <f t="shared" si="17"/>
        <v>225</v>
      </c>
      <c r="AA17" s="21">
        <f t="shared" si="18"/>
        <v>125</v>
      </c>
      <c r="AB17" s="117">
        <f t="shared" si="19"/>
        <v>250</v>
      </c>
      <c r="AC17" s="25">
        <f t="shared" si="20"/>
        <v>7</v>
      </c>
      <c r="AD17" s="23">
        <f t="shared" si="21"/>
        <v>270</v>
      </c>
      <c r="AE17" s="21">
        <f t="shared" si="22"/>
        <v>150</v>
      </c>
      <c r="AF17" s="133">
        <f t="shared" si="23"/>
        <v>350</v>
      </c>
      <c r="AG17" s="3"/>
      <c r="AH17" s="3" t="s">
        <v>535</v>
      </c>
      <c r="AI17" s="3"/>
      <c r="AJ17" s="3"/>
      <c r="AK17" s="3"/>
      <c r="AL17" s="27"/>
      <c r="AM17" s="134" cm="1">
        <f t="array" ref="AM17">IF(AG17="Oui",($A17/$B17)/(SUMPRODUCT((AG$4:AG$35="Oui")*($A$4:$A$35/$B$4:$B$35))),0)</f>
        <v>0</v>
      </c>
      <c r="AN17" s="134" cm="1">
        <f t="array" ref="AN17">IF(AH17="Oui",($A17/$B17)/(SUMPRODUCT((AH$4:AH$35="Oui")*($A$4:$A$35/$B$4:$B$35))),0)</f>
        <v>5.9526535097760895E-2</v>
      </c>
      <c r="AO17" s="134" cm="1">
        <f t="array" ref="AO17">IF(AI17="Oui",($A17/$B17)/(SUMPRODUCT((AI$4:AI$35="Oui")*($A$4:$A$35/$B$4:$B$35))),0)</f>
        <v>0</v>
      </c>
      <c r="AP17" s="134" cm="1">
        <f t="array" ref="AP17">IF(AJ17="Oui",($A17/$B17)/(SUMPRODUCT((AJ$4:AJ$35="Oui")*($A$4:$A$35/$B$4:$B$35))),0)</f>
        <v>0</v>
      </c>
      <c r="AQ17" s="134" cm="1">
        <f t="array" ref="AQ17">IF(AK17="Oui",($A17/$B17)/(SUMPRODUCT((AK$4:AK$35="Oui")*($A$4:$A$35/$B$4:$B$35))),0)</f>
        <v>0</v>
      </c>
      <c r="AR17" s="134" cm="1">
        <f t="array" ref="AR17">IF(AL17="Oui",($A17/$B17)/(SUMPRODUCT((AL$4:AL$35="Oui")*($A$4:$A$35/$B$4:$B$35))),0)</f>
        <v>0</v>
      </c>
    </row>
    <row r="18" spans="1:44" ht="15.5">
      <c r="A18" s="15">
        <v>2</v>
      </c>
      <c r="B18" s="16">
        <v>7.5</v>
      </c>
      <c r="C18" s="3" t="s">
        <v>492</v>
      </c>
      <c r="D18" s="3"/>
      <c r="E18" s="3"/>
      <c r="F18" s="3"/>
      <c r="G18" s="3" t="s">
        <v>17</v>
      </c>
      <c r="H18" s="3"/>
      <c r="I18" s="25">
        <f t="shared" si="0"/>
        <v>3</v>
      </c>
      <c r="J18" s="23">
        <f t="shared" si="1"/>
        <v>50</v>
      </c>
      <c r="K18" s="21">
        <f t="shared" si="2"/>
        <v>30</v>
      </c>
      <c r="L18" s="49">
        <f t="shared" si="3"/>
        <v>30</v>
      </c>
      <c r="M18" s="25">
        <f t="shared" si="24"/>
        <v>4</v>
      </c>
      <c r="N18" s="23">
        <f t="shared" si="5"/>
        <v>100</v>
      </c>
      <c r="O18" s="21">
        <f t="shared" si="6"/>
        <v>60</v>
      </c>
      <c r="P18" s="49">
        <f t="shared" si="7"/>
        <v>80</v>
      </c>
      <c r="Q18" s="25">
        <f t="shared" si="8"/>
        <v>5</v>
      </c>
      <c r="R18" s="23">
        <f t="shared" si="9"/>
        <v>150</v>
      </c>
      <c r="S18" s="21">
        <f t="shared" si="10"/>
        <v>90</v>
      </c>
      <c r="T18" s="49">
        <f t="shared" si="11"/>
        <v>150</v>
      </c>
      <c r="U18" s="25">
        <f t="shared" si="12"/>
        <v>6</v>
      </c>
      <c r="V18" s="23">
        <f t="shared" si="13"/>
        <v>200</v>
      </c>
      <c r="W18" s="21">
        <f t="shared" si="14"/>
        <v>120</v>
      </c>
      <c r="X18" s="117">
        <f t="shared" si="15"/>
        <v>240</v>
      </c>
      <c r="Y18" s="25">
        <f t="shared" si="16"/>
        <v>7</v>
      </c>
      <c r="Z18" s="23">
        <f t="shared" si="17"/>
        <v>250</v>
      </c>
      <c r="AA18" s="21">
        <f t="shared" si="18"/>
        <v>150</v>
      </c>
      <c r="AB18" s="117">
        <f t="shared" si="19"/>
        <v>350</v>
      </c>
      <c r="AC18" s="25">
        <f t="shared" si="20"/>
        <v>8</v>
      </c>
      <c r="AD18" s="23">
        <f t="shared" si="21"/>
        <v>300</v>
      </c>
      <c r="AE18" s="21">
        <f t="shared" si="22"/>
        <v>180</v>
      </c>
      <c r="AF18" s="133">
        <f t="shared" si="23"/>
        <v>480</v>
      </c>
      <c r="AG18" s="3"/>
      <c r="AH18" s="3"/>
      <c r="AI18" s="3"/>
      <c r="AJ18" s="3" t="s">
        <v>535</v>
      </c>
      <c r="AK18" s="3" t="s">
        <v>535</v>
      </c>
      <c r="AL18" s="27"/>
      <c r="AM18" s="134" cm="1">
        <f t="array" ref="AM18">IF(AG18="Oui",($A18/$B18)/(SUMPRODUCT((AG$4:AG$35="Oui")*($A$4:$A$35/$B$4:$B$35))),0)</f>
        <v>0</v>
      </c>
      <c r="AN18" s="134" cm="1">
        <f t="array" ref="AN18">IF(AH18="Oui",($A18/$B18)/(SUMPRODUCT((AH$4:AH$35="Oui")*($A$4:$A$35/$B$4:$B$35))),0)</f>
        <v>0</v>
      </c>
      <c r="AO18" s="134" cm="1">
        <f t="array" ref="AO18">IF(AI18="Oui",($A18/$B18)/(SUMPRODUCT((AI$4:AI$35="Oui")*($A$4:$A$35/$B$4:$B$35))),0)</f>
        <v>0</v>
      </c>
      <c r="AP18" s="134" cm="1">
        <f t="array" ref="AP18">IF(AJ18="Oui",($A18/$B18)/(SUMPRODUCT((AJ$4:AJ$35="Oui")*($A$4:$A$35/$B$4:$B$35))),0)</f>
        <v>7.7583198122230856E-2</v>
      </c>
      <c r="AQ18" s="134" cm="1">
        <f t="array" ref="AQ18">IF(AK18="Oui",($A18/$B18)/(SUMPRODUCT((AK$4:AK$35="Oui")*($A$4:$A$35/$B$4:$B$35))),0)</f>
        <v>7.1752179012487635E-2</v>
      </c>
      <c r="AR18" s="134" cm="1">
        <f t="array" ref="AR18">IF(AL18="Oui",($A18/$B18)/(SUMPRODUCT((AL$4:AL$35="Oui")*($A$4:$A$35/$B$4:$B$35))),0)</f>
        <v>0</v>
      </c>
    </row>
    <row r="19" spans="1:44" ht="15.5">
      <c r="A19" s="15">
        <v>2</v>
      </c>
      <c r="B19" s="16">
        <v>7.5</v>
      </c>
      <c r="C19" s="3" t="s">
        <v>493</v>
      </c>
      <c r="D19" s="3" t="s">
        <v>245</v>
      </c>
      <c r="E19" s="3"/>
      <c r="F19" s="3"/>
      <c r="G19" s="3"/>
      <c r="H19" s="3"/>
      <c r="I19" s="25">
        <f t="shared" si="0"/>
        <v>3</v>
      </c>
      <c r="J19" s="23">
        <f t="shared" si="1"/>
        <v>50</v>
      </c>
      <c r="K19" s="21">
        <f t="shared" si="2"/>
        <v>30</v>
      </c>
      <c r="L19" s="49">
        <f t="shared" si="3"/>
        <v>30</v>
      </c>
      <c r="M19" s="25">
        <f t="shared" si="24"/>
        <v>4</v>
      </c>
      <c r="N19" s="23">
        <f t="shared" si="5"/>
        <v>100</v>
      </c>
      <c r="O19" s="21">
        <f t="shared" si="6"/>
        <v>60</v>
      </c>
      <c r="P19" s="49">
        <f t="shared" si="7"/>
        <v>80</v>
      </c>
      <c r="Q19" s="25">
        <f t="shared" si="8"/>
        <v>5</v>
      </c>
      <c r="R19" s="23">
        <f t="shared" si="9"/>
        <v>150</v>
      </c>
      <c r="S19" s="21">
        <f t="shared" si="10"/>
        <v>90</v>
      </c>
      <c r="T19" s="49">
        <f t="shared" si="11"/>
        <v>150</v>
      </c>
      <c r="U19" s="25">
        <f t="shared" si="12"/>
        <v>6</v>
      </c>
      <c r="V19" s="23">
        <f t="shared" si="13"/>
        <v>200</v>
      </c>
      <c r="W19" s="21">
        <f t="shared" si="14"/>
        <v>120</v>
      </c>
      <c r="X19" s="117">
        <f t="shared" si="15"/>
        <v>240</v>
      </c>
      <c r="Y19" s="25">
        <f t="shared" si="16"/>
        <v>7</v>
      </c>
      <c r="Z19" s="23">
        <f t="shared" si="17"/>
        <v>250</v>
      </c>
      <c r="AA19" s="21">
        <f t="shared" si="18"/>
        <v>150</v>
      </c>
      <c r="AB19" s="117">
        <f t="shared" si="19"/>
        <v>350</v>
      </c>
      <c r="AC19" s="25">
        <f t="shared" si="20"/>
        <v>8</v>
      </c>
      <c r="AD19" s="23">
        <f t="shared" si="21"/>
        <v>300</v>
      </c>
      <c r="AE19" s="21">
        <f t="shared" si="22"/>
        <v>180</v>
      </c>
      <c r="AF19" s="133">
        <f t="shared" si="23"/>
        <v>480</v>
      </c>
      <c r="AG19" s="3" t="s">
        <v>535</v>
      </c>
      <c r="AH19" s="3"/>
      <c r="AI19" s="3"/>
      <c r="AJ19" s="3"/>
      <c r="AK19" s="3" t="s">
        <v>535</v>
      </c>
      <c r="AL19" s="27" t="s">
        <v>535</v>
      </c>
      <c r="AM19" s="134" cm="1">
        <f t="array" ref="AM19">IF(AG19="Oui",($A19/$B19)/(SUMPRODUCT((AG$4:AG$35="Oui")*($A$4:$A$35/$B$4:$B$35))),0)</f>
        <v>5.4251434533124678E-2</v>
      </c>
      <c r="AN19" s="134" cm="1">
        <f t="array" ref="AN19">IF(AH19="Oui",($A19/$B19)/(SUMPRODUCT((AH$4:AH$35="Oui")*($A$4:$A$35/$B$4:$B$35))),0)</f>
        <v>0</v>
      </c>
      <c r="AO19" s="134" cm="1">
        <f t="array" ref="AO19">IF(AI19="Oui",($A19/$B19)/(SUMPRODUCT((AI$4:AI$35="Oui")*($A$4:$A$35/$B$4:$B$35))),0)</f>
        <v>0</v>
      </c>
      <c r="AP19" s="134" cm="1">
        <f t="array" ref="AP19">IF(AJ19="Oui",($A19/$B19)/(SUMPRODUCT((AJ$4:AJ$35="Oui")*($A$4:$A$35/$B$4:$B$35))),0)</f>
        <v>0</v>
      </c>
      <c r="AQ19" s="134" cm="1">
        <f t="array" ref="AQ19">IF(AK19="Oui",($A19/$B19)/(SUMPRODUCT((AK$4:AK$35="Oui")*($A$4:$A$35/$B$4:$B$35))),0)</f>
        <v>7.1752179012487635E-2</v>
      </c>
      <c r="AR19" s="134" cm="1">
        <f t="array" ref="AR19">IF(AL19="Oui",($A19/$B19)/(SUMPRODUCT((AL$4:AL$35="Oui")*($A$4:$A$35/$B$4:$B$35))),0)</f>
        <v>8.6494621313755862E-2</v>
      </c>
    </row>
    <row r="20" spans="1:44" ht="43.5">
      <c r="A20" s="15">
        <v>4</v>
      </c>
      <c r="B20" s="16">
        <v>10</v>
      </c>
      <c r="C20" s="3" t="s">
        <v>494</v>
      </c>
      <c r="D20" s="3" t="s">
        <v>263</v>
      </c>
      <c r="E20" s="3"/>
      <c r="F20" s="3"/>
      <c r="G20" s="17" t="s">
        <v>546</v>
      </c>
      <c r="H20" s="3"/>
      <c r="I20" s="25">
        <f t="shared" si="0"/>
        <v>5</v>
      </c>
      <c r="J20" s="23">
        <f t="shared" si="1"/>
        <v>40</v>
      </c>
      <c r="K20" s="21">
        <f t="shared" si="2"/>
        <v>25</v>
      </c>
      <c r="L20" s="49">
        <f t="shared" si="3"/>
        <v>41.666666666666664</v>
      </c>
      <c r="M20" s="25">
        <f t="shared" si="24"/>
        <v>6</v>
      </c>
      <c r="N20" s="23">
        <f t="shared" si="5"/>
        <v>80</v>
      </c>
      <c r="O20" s="21">
        <f t="shared" si="6"/>
        <v>50</v>
      </c>
      <c r="P20" s="49">
        <f t="shared" si="7"/>
        <v>100</v>
      </c>
      <c r="Q20" s="25">
        <f t="shared" si="8"/>
        <v>7</v>
      </c>
      <c r="R20" s="23">
        <f t="shared" si="9"/>
        <v>120</v>
      </c>
      <c r="S20" s="21">
        <f t="shared" si="10"/>
        <v>75</v>
      </c>
      <c r="T20" s="49">
        <f t="shared" si="11"/>
        <v>175</v>
      </c>
      <c r="U20" s="25">
        <f t="shared" si="12"/>
        <v>8</v>
      </c>
      <c r="V20" s="23">
        <f t="shared" si="13"/>
        <v>160</v>
      </c>
      <c r="W20" s="21">
        <f t="shared" si="14"/>
        <v>100</v>
      </c>
      <c r="X20" s="117">
        <f t="shared" si="15"/>
        <v>266.66666666666669</v>
      </c>
      <c r="Y20" s="25">
        <f t="shared" si="16"/>
        <v>9</v>
      </c>
      <c r="Z20" s="23">
        <f t="shared" si="17"/>
        <v>200</v>
      </c>
      <c r="AA20" s="21">
        <f t="shared" si="18"/>
        <v>125</v>
      </c>
      <c r="AB20" s="117">
        <f t="shared" si="19"/>
        <v>375</v>
      </c>
      <c r="AC20" s="25">
        <f t="shared" si="20"/>
        <v>10</v>
      </c>
      <c r="AD20" s="23">
        <f t="shared" si="21"/>
        <v>240</v>
      </c>
      <c r="AE20" s="21">
        <f t="shared" si="22"/>
        <v>150</v>
      </c>
      <c r="AF20" s="133">
        <f t="shared" si="23"/>
        <v>500</v>
      </c>
      <c r="AG20" s="3"/>
      <c r="AH20" s="3" t="s">
        <v>535</v>
      </c>
      <c r="AI20" s="3" t="s">
        <v>535</v>
      </c>
      <c r="AJ20" s="3" t="s">
        <v>535</v>
      </c>
      <c r="AK20" s="3"/>
      <c r="AL20" s="27"/>
      <c r="AM20" s="134" cm="1">
        <f t="array" ref="AM20">IF(AG20="Oui",($A20/$B20)/(SUMPRODUCT((AG$4:AG$35="Oui")*($A$4:$A$35/$B$4:$B$35))),0)</f>
        <v>0</v>
      </c>
      <c r="AN20" s="134" cm="1">
        <f t="array" ref="AN20">IF(AH20="Oui",($A20/$B20)/(SUMPRODUCT((AH$4:AH$35="Oui")*($A$4:$A$35/$B$4:$B$35))),0)</f>
        <v>0.10714776317596962</v>
      </c>
      <c r="AO20" s="134" cm="1">
        <f t="array" ref="AO20">IF(AI20="Oui",($A20/$B20)/(SUMPRODUCT((AI$4:AI$35="Oui")*($A$4:$A$35/$B$4:$B$35))),0)</f>
        <v>9.5780441756588758E-2</v>
      </c>
      <c r="AP20" s="134" cm="1">
        <f t="array" ref="AP20">IF(AJ20="Oui",($A20/$B20)/(SUMPRODUCT((AJ$4:AJ$35="Oui")*($A$4:$A$35/$B$4:$B$35))),0)</f>
        <v>0.11637479718334628</v>
      </c>
      <c r="AQ20" s="134" cm="1">
        <f t="array" ref="AQ20">IF(AK20="Oui",($A20/$B20)/(SUMPRODUCT((AK$4:AK$35="Oui")*($A$4:$A$35/$B$4:$B$35))),0)</f>
        <v>0</v>
      </c>
      <c r="AR20" s="134" cm="1">
        <f t="array" ref="AR20">IF(AL20="Oui",($A20/$B20)/(SUMPRODUCT((AL$4:AL$35="Oui")*($A$4:$A$35/$B$4:$B$35))),0)</f>
        <v>0</v>
      </c>
    </row>
    <row r="21" spans="1:44" ht="15.5">
      <c r="A21" s="15">
        <v>3</v>
      </c>
      <c r="B21" s="16">
        <v>10</v>
      </c>
      <c r="C21" s="3" t="s">
        <v>496</v>
      </c>
      <c r="D21" s="3" t="s">
        <v>249</v>
      </c>
      <c r="E21" s="3"/>
      <c r="F21" s="3"/>
      <c r="G21" s="3" t="s">
        <v>255</v>
      </c>
      <c r="H21" s="3"/>
      <c r="I21" s="25">
        <f t="shared" si="0"/>
        <v>4</v>
      </c>
      <c r="J21" s="23">
        <f t="shared" si="1"/>
        <v>50</v>
      </c>
      <c r="K21" s="21">
        <f t="shared" si="2"/>
        <v>30</v>
      </c>
      <c r="L21" s="49">
        <f t="shared" si="3"/>
        <v>40</v>
      </c>
      <c r="M21" s="25">
        <f t="shared" si="24"/>
        <v>5</v>
      </c>
      <c r="N21" s="23">
        <f t="shared" si="5"/>
        <v>100</v>
      </c>
      <c r="O21" s="21">
        <f t="shared" si="6"/>
        <v>60</v>
      </c>
      <c r="P21" s="49">
        <f t="shared" si="7"/>
        <v>100</v>
      </c>
      <c r="Q21" s="25">
        <f t="shared" si="8"/>
        <v>6</v>
      </c>
      <c r="R21" s="23">
        <f t="shared" si="9"/>
        <v>150</v>
      </c>
      <c r="S21" s="21">
        <f t="shared" si="10"/>
        <v>90</v>
      </c>
      <c r="T21" s="49">
        <f t="shared" si="11"/>
        <v>180</v>
      </c>
      <c r="U21" s="25">
        <f t="shared" si="12"/>
        <v>7</v>
      </c>
      <c r="V21" s="23">
        <f t="shared" si="13"/>
        <v>200</v>
      </c>
      <c r="W21" s="21">
        <f t="shared" si="14"/>
        <v>120</v>
      </c>
      <c r="X21" s="117">
        <f t="shared" si="15"/>
        <v>280</v>
      </c>
      <c r="Y21" s="25">
        <f t="shared" si="16"/>
        <v>8</v>
      </c>
      <c r="Z21" s="23">
        <f t="shared" si="17"/>
        <v>250</v>
      </c>
      <c r="AA21" s="21">
        <f t="shared" si="18"/>
        <v>150</v>
      </c>
      <c r="AB21" s="117">
        <f t="shared" si="19"/>
        <v>400</v>
      </c>
      <c r="AC21" s="25">
        <f t="shared" si="20"/>
        <v>9</v>
      </c>
      <c r="AD21" s="23">
        <f t="shared" si="21"/>
        <v>300</v>
      </c>
      <c r="AE21" s="21">
        <f t="shared" si="22"/>
        <v>180</v>
      </c>
      <c r="AF21" s="133">
        <f t="shared" si="23"/>
        <v>540</v>
      </c>
      <c r="AG21" s="3" t="s">
        <v>535</v>
      </c>
      <c r="AH21" s="3" t="s">
        <v>535</v>
      </c>
      <c r="AI21" s="3" t="s">
        <v>535</v>
      </c>
      <c r="AJ21" s="3" t="s">
        <v>535</v>
      </c>
      <c r="AK21" s="3" t="s">
        <v>535</v>
      </c>
      <c r="AL21" s="27" t="s">
        <v>535</v>
      </c>
      <c r="AM21" s="134" cm="1">
        <f t="array" ref="AM21">IF(AG21="Oui",($A21/$B21)/(SUMPRODUCT((AG$4:AG$35="Oui")*($A$4:$A$35/$B$4:$B$35))),0)</f>
        <v>6.1032863849765265E-2</v>
      </c>
      <c r="AN21" s="134" cm="1">
        <f t="array" ref="AN21">IF(AH21="Oui",($A21/$B21)/(SUMPRODUCT((AH$4:AH$35="Oui")*($A$4:$A$35/$B$4:$B$35))),0)</f>
        <v>8.0360822381977212E-2</v>
      </c>
      <c r="AO21" s="134" cm="1">
        <f t="array" ref="AO21">IF(AI21="Oui",($A21/$B21)/(SUMPRODUCT((AI$4:AI$35="Oui")*($A$4:$A$35/$B$4:$B$35))),0)</f>
        <v>7.1835331317441561E-2</v>
      </c>
      <c r="AP21" s="134" cm="1">
        <f t="array" ref="AP21">IF(AJ21="Oui",($A21/$B21)/(SUMPRODUCT((AJ$4:AJ$35="Oui")*($A$4:$A$35/$B$4:$B$35))),0)</f>
        <v>8.7281097887509707E-2</v>
      </c>
      <c r="AQ21" s="134" cm="1">
        <f t="array" ref="AQ21">IF(AK21="Oui",($A21/$B21)/(SUMPRODUCT((AK$4:AK$35="Oui")*($A$4:$A$35/$B$4:$B$35))),0)</f>
        <v>8.0721201389048591E-2</v>
      </c>
      <c r="AR21" s="134" cm="1">
        <f t="array" ref="AR21">IF(AL21="Oui",($A21/$B21)/(SUMPRODUCT((AL$4:AL$35="Oui")*($A$4:$A$35/$B$4:$B$35))),0)</f>
        <v>9.7306448977975343E-2</v>
      </c>
    </row>
    <row r="22" spans="1:44" ht="15.5">
      <c r="A22" s="15">
        <v>3</v>
      </c>
      <c r="B22" s="16">
        <v>12</v>
      </c>
      <c r="C22" s="3" t="s">
        <v>497</v>
      </c>
      <c r="D22" s="3" t="s">
        <v>547</v>
      </c>
      <c r="E22" s="3"/>
      <c r="F22" s="3" t="s">
        <v>270</v>
      </c>
      <c r="G22" s="3" t="s">
        <v>548</v>
      </c>
      <c r="H22" s="3"/>
      <c r="I22" s="25">
        <f t="shared" si="0"/>
        <v>4</v>
      </c>
      <c r="J22" s="23">
        <f t="shared" si="1"/>
        <v>60</v>
      </c>
      <c r="K22" s="21">
        <f t="shared" si="2"/>
        <v>35</v>
      </c>
      <c r="L22" s="49">
        <f t="shared" si="3"/>
        <v>46.666666666666664</v>
      </c>
      <c r="M22" s="25">
        <f t="shared" si="24"/>
        <v>5</v>
      </c>
      <c r="N22" s="23">
        <f t="shared" si="5"/>
        <v>120</v>
      </c>
      <c r="O22" s="21">
        <f t="shared" si="6"/>
        <v>70</v>
      </c>
      <c r="P22" s="49">
        <f t="shared" si="7"/>
        <v>116.66666666666667</v>
      </c>
      <c r="Q22" s="25">
        <f t="shared" si="8"/>
        <v>6</v>
      </c>
      <c r="R22" s="23">
        <f t="shared" si="9"/>
        <v>180</v>
      </c>
      <c r="S22" s="21">
        <f t="shared" si="10"/>
        <v>105</v>
      </c>
      <c r="T22" s="49">
        <f t="shared" si="11"/>
        <v>210</v>
      </c>
      <c r="U22" s="25">
        <f t="shared" si="12"/>
        <v>7</v>
      </c>
      <c r="V22" s="23">
        <f t="shared" si="13"/>
        <v>240</v>
      </c>
      <c r="W22" s="21">
        <f t="shared" si="14"/>
        <v>140</v>
      </c>
      <c r="X22" s="117">
        <f t="shared" si="15"/>
        <v>326.66666666666669</v>
      </c>
      <c r="Y22" s="25">
        <f t="shared" si="16"/>
        <v>8</v>
      </c>
      <c r="Z22" s="23">
        <f t="shared" si="17"/>
        <v>300</v>
      </c>
      <c r="AA22" s="21">
        <f t="shared" si="18"/>
        <v>175</v>
      </c>
      <c r="AB22" s="117">
        <f t="shared" si="19"/>
        <v>466.66666666666669</v>
      </c>
      <c r="AC22" s="25">
        <f t="shared" si="20"/>
        <v>9</v>
      </c>
      <c r="AD22" s="23">
        <f t="shared" si="21"/>
        <v>360</v>
      </c>
      <c r="AE22" s="21">
        <f t="shared" si="22"/>
        <v>210</v>
      </c>
      <c r="AF22" s="133">
        <f t="shared" si="23"/>
        <v>630</v>
      </c>
      <c r="AG22" s="3"/>
      <c r="AH22" s="3" t="s">
        <v>535</v>
      </c>
      <c r="AI22" s="3" t="s">
        <v>535</v>
      </c>
      <c r="AJ22" s="3" t="s">
        <v>535</v>
      </c>
      <c r="AK22" s="3"/>
      <c r="AL22" s="27"/>
      <c r="AM22" s="134" cm="1">
        <f t="array" ref="AM22">IF(AG22="Oui",($A22/$B22)/(SUMPRODUCT((AG$4:AG$35="Oui")*($A$4:$A$35/$B$4:$B$35))),0)</f>
        <v>0</v>
      </c>
      <c r="AN22" s="134" cm="1">
        <f t="array" ref="AN22">IF(AH22="Oui",($A22/$B22)/(SUMPRODUCT((AH$4:AH$35="Oui")*($A$4:$A$35/$B$4:$B$35))),0)</f>
        <v>6.6967351984981008E-2</v>
      </c>
      <c r="AO22" s="134" cm="1">
        <f t="array" ref="AO22">IF(AI22="Oui",($A22/$B22)/(SUMPRODUCT((AI$4:AI$35="Oui")*($A$4:$A$35/$B$4:$B$35))),0)</f>
        <v>5.9862776097867977E-2</v>
      </c>
      <c r="AP22" s="134" cm="1">
        <f t="array" ref="AP22">IF(AJ22="Oui",($A22/$B22)/(SUMPRODUCT((AJ$4:AJ$35="Oui")*($A$4:$A$35/$B$4:$B$35))),0)</f>
        <v>7.2734248239591431E-2</v>
      </c>
      <c r="AQ22" s="134" cm="1">
        <f t="array" ref="AQ22">IF(AK22="Oui",($A22/$B22)/(SUMPRODUCT((AK$4:AK$35="Oui")*($A$4:$A$35/$B$4:$B$35))),0)</f>
        <v>0</v>
      </c>
      <c r="AR22" s="134" cm="1">
        <f t="array" ref="AR22">IF(AL22="Oui",($A22/$B22)/(SUMPRODUCT((AL$4:AL$35="Oui")*($A$4:$A$35/$B$4:$B$35))),0)</f>
        <v>0</v>
      </c>
    </row>
    <row r="23" spans="1:44" ht="101.5">
      <c r="A23" s="15">
        <v>3</v>
      </c>
      <c r="B23" s="16">
        <v>16</v>
      </c>
      <c r="C23" s="3" t="s">
        <v>499</v>
      </c>
      <c r="D23" s="3" t="s">
        <v>549</v>
      </c>
      <c r="E23" s="3"/>
      <c r="F23" s="3" t="s">
        <v>501</v>
      </c>
      <c r="G23" s="17" t="s">
        <v>550</v>
      </c>
      <c r="H23" s="3"/>
      <c r="I23" s="25">
        <f t="shared" si="0"/>
        <v>4</v>
      </c>
      <c r="J23" s="23">
        <f t="shared" si="1"/>
        <v>80</v>
      </c>
      <c r="K23" s="21">
        <f t="shared" si="2"/>
        <v>45</v>
      </c>
      <c r="L23" s="49">
        <f t="shared" si="3"/>
        <v>60</v>
      </c>
      <c r="M23" s="25">
        <f t="shared" si="24"/>
        <v>5</v>
      </c>
      <c r="N23" s="23">
        <f t="shared" si="5"/>
        <v>160</v>
      </c>
      <c r="O23" s="21">
        <f t="shared" si="6"/>
        <v>90</v>
      </c>
      <c r="P23" s="49">
        <f t="shared" si="7"/>
        <v>150</v>
      </c>
      <c r="Q23" s="25">
        <f t="shared" si="8"/>
        <v>6</v>
      </c>
      <c r="R23" s="23">
        <f t="shared" si="9"/>
        <v>240</v>
      </c>
      <c r="S23" s="21">
        <f t="shared" si="10"/>
        <v>135</v>
      </c>
      <c r="T23" s="49">
        <f t="shared" si="11"/>
        <v>270</v>
      </c>
      <c r="U23" s="25">
        <f t="shared" si="12"/>
        <v>7</v>
      </c>
      <c r="V23" s="23">
        <f t="shared" si="13"/>
        <v>320</v>
      </c>
      <c r="W23" s="21">
        <f t="shared" si="14"/>
        <v>180</v>
      </c>
      <c r="X23" s="117">
        <f t="shared" si="15"/>
        <v>420</v>
      </c>
      <c r="Y23" s="25">
        <f t="shared" si="16"/>
        <v>8</v>
      </c>
      <c r="Z23" s="23">
        <f t="shared" si="17"/>
        <v>400</v>
      </c>
      <c r="AA23" s="21">
        <f t="shared" si="18"/>
        <v>225</v>
      </c>
      <c r="AB23" s="117">
        <f t="shared" si="19"/>
        <v>600</v>
      </c>
      <c r="AC23" s="25">
        <f t="shared" si="20"/>
        <v>9</v>
      </c>
      <c r="AD23" s="23">
        <f t="shared" si="21"/>
        <v>480</v>
      </c>
      <c r="AE23" s="21">
        <f t="shared" si="22"/>
        <v>270</v>
      </c>
      <c r="AF23" s="133">
        <f t="shared" si="23"/>
        <v>810</v>
      </c>
      <c r="AG23" s="3"/>
      <c r="AH23" s="3"/>
      <c r="AI23" s="3" t="s">
        <v>535</v>
      </c>
      <c r="AJ23" s="3" t="s">
        <v>535</v>
      </c>
      <c r="AK23" s="3"/>
      <c r="AL23" s="27"/>
      <c r="AM23" s="134" cm="1">
        <f t="array" ref="AM23">IF(AG23="Oui",($A23/$B23)/(SUMPRODUCT((AG$4:AG$35="Oui")*($A$4:$A$35/$B$4:$B$35))),0)</f>
        <v>0</v>
      </c>
      <c r="AN23" s="134" cm="1">
        <f t="array" ref="AN23">IF(AH23="Oui",($A23/$B23)/(SUMPRODUCT((AH$4:AH$35="Oui")*($A$4:$A$35/$B$4:$B$35))),0)</f>
        <v>0</v>
      </c>
      <c r="AO23" s="134" cm="1">
        <f t="array" ref="AO23">IF(AI23="Oui",($A23/$B23)/(SUMPRODUCT((AI$4:AI$35="Oui")*($A$4:$A$35/$B$4:$B$35))),0)</f>
        <v>4.4897082073400978E-2</v>
      </c>
      <c r="AP23" s="134" cm="1">
        <f t="array" ref="AP23">IF(AJ23="Oui",($A23/$B23)/(SUMPRODUCT((AJ$4:AJ$35="Oui")*($A$4:$A$35/$B$4:$B$35))),0)</f>
        <v>5.4550686179693567E-2</v>
      </c>
      <c r="AQ23" s="134" cm="1">
        <f t="array" ref="AQ23">IF(AK23="Oui",($A23/$B23)/(SUMPRODUCT((AK$4:AK$35="Oui")*($A$4:$A$35/$B$4:$B$35))),0)</f>
        <v>0</v>
      </c>
      <c r="AR23" s="134" cm="1">
        <f t="array" ref="AR23">IF(AL23="Oui",($A23/$B23)/(SUMPRODUCT((AL$4:AL$35="Oui")*($A$4:$A$35/$B$4:$B$35))),0)</f>
        <v>0</v>
      </c>
    </row>
    <row r="24" spans="1:44" ht="43.5">
      <c r="A24" s="15">
        <v>3</v>
      </c>
      <c r="B24" s="16">
        <v>16</v>
      </c>
      <c r="C24" s="3" t="s">
        <v>25</v>
      </c>
      <c r="D24" s="3" t="s">
        <v>245</v>
      </c>
      <c r="F24" s="3" t="s">
        <v>249</v>
      </c>
      <c r="G24" s="17" t="s">
        <v>551</v>
      </c>
      <c r="H24" s="3"/>
      <c r="I24" s="25">
        <f t="shared" si="0"/>
        <v>4</v>
      </c>
      <c r="J24" s="23">
        <f t="shared" si="1"/>
        <v>80</v>
      </c>
      <c r="K24" s="21">
        <f t="shared" si="2"/>
        <v>45</v>
      </c>
      <c r="L24" s="49">
        <f t="shared" si="3"/>
        <v>60</v>
      </c>
      <c r="M24" s="25">
        <f t="shared" si="24"/>
        <v>5</v>
      </c>
      <c r="N24" s="23">
        <f t="shared" si="5"/>
        <v>160</v>
      </c>
      <c r="O24" s="21">
        <f t="shared" si="6"/>
        <v>90</v>
      </c>
      <c r="P24" s="49">
        <f t="shared" si="7"/>
        <v>150</v>
      </c>
      <c r="Q24" s="25">
        <f t="shared" si="8"/>
        <v>6</v>
      </c>
      <c r="R24" s="23">
        <f t="shared" si="9"/>
        <v>240</v>
      </c>
      <c r="S24" s="21">
        <f t="shared" si="10"/>
        <v>135</v>
      </c>
      <c r="T24" s="49">
        <f t="shared" si="11"/>
        <v>270</v>
      </c>
      <c r="U24" s="25">
        <f t="shared" si="12"/>
        <v>7</v>
      </c>
      <c r="V24" s="23">
        <f t="shared" si="13"/>
        <v>320</v>
      </c>
      <c r="W24" s="21">
        <f t="shared" si="14"/>
        <v>180</v>
      </c>
      <c r="X24" s="117">
        <f t="shared" si="15"/>
        <v>420</v>
      </c>
      <c r="Y24" s="25">
        <f t="shared" si="16"/>
        <v>8</v>
      </c>
      <c r="Z24" s="23">
        <f t="shared" si="17"/>
        <v>400</v>
      </c>
      <c r="AA24" s="21">
        <f t="shared" si="18"/>
        <v>225</v>
      </c>
      <c r="AB24" s="117">
        <f t="shared" si="19"/>
        <v>600</v>
      </c>
      <c r="AC24" s="25">
        <f t="shared" si="20"/>
        <v>9</v>
      </c>
      <c r="AD24" s="23">
        <f t="shared" si="21"/>
        <v>480</v>
      </c>
      <c r="AE24" s="21">
        <f t="shared" si="22"/>
        <v>270</v>
      </c>
      <c r="AF24" s="133">
        <f t="shared" si="23"/>
        <v>810</v>
      </c>
      <c r="AG24" s="3"/>
      <c r="AH24" s="3"/>
      <c r="AI24" s="3"/>
      <c r="AJ24" s="3"/>
      <c r="AK24" s="3"/>
      <c r="AL24" s="27" t="s">
        <v>535</v>
      </c>
      <c r="AM24" s="134" cm="1">
        <f t="array" ref="AM24">IF(AG24="Oui",($A24/$B24)/(SUMPRODUCT((AG$4:AG$35="Oui")*($A$4:$A$35/$B$4:$B$35))),0)</f>
        <v>0</v>
      </c>
      <c r="AN24" s="134" cm="1">
        <f t="array" ref="AN24">IF(AH24="Oui",($A24/$B24)/(SUMPRODUCT((AH$4:AH$35="Oui")*($A$4:$A$35/$B$4:$B$35))),0)</f>
        <v>0</v>
      </c>
      <c r="AO24" s="134" cm="1">
        <f t="array" ref="AO24">IF(AI24="Oui",($A24/$B24)/(SUMPRODUCT((AI$4:AI$35="Oui")*($A$4:$A$35/$B$4:$B$35))),0)</f>
        <v>0</v>
      </c>
      <c r="AP24" s="134" cm="1">
        <f t="array" ref="AP24">IF(AJ24="Oui",($A24/$B24)/(SUMPRODUCT((AJ$4:AJ$35="Oui")*($A$4:$A$35/$B$4:$B$35))),0)</f>
        <v>0</v>
      </c>
      <c r="AQ24" s="134" cm="1">
        <f t="array" ref="AQ24">IF(AK24="Oui",($A24/$B24)/(SUMPRODUCT((AK$4:AK$35="Oui")*($A$4:$A$35/$B$4:$B$35))),0)</f>
        <v>0</v>
      </c>
      <c r="AR24" s="134" cm="1">
        <f t="array" ref="AR24">IF(AL24="Oui",($A24/$B24)/(SUMPRODUCT((AL$4:AL$35="Oui")*($A$4:$A$35/$B$4:$B$35))),0)</f>
        <v>6.0816530611234591E-2</v>
      </c>
    </row>
    <row r="25" spans="1:44" ht="15.5">
      <c r="A25" s="15">
        <v>3</v>
      </c>
      <c r="B25" s="16">
        <v>18</v>
      </c>
      <c r="C25" s="3" t="s">
        <v>504</v>
      </c>
      <c r="D25" s="3" t="s">
        <v>172</v>
      </c>
      <c r="E25" s="3"/>
      <c r="F25" s="3" t="s">
        <v>505</v>
      </c>
      <c r="G25" s="3" t="s">
        <v>506</v>
      </c>
      <c r="H25" s="3"/>
      <c r="I25" s="25">
        <f t="shared" si="0"/>
        <v>4</v>
      </c>
      <c r="J25" s="23">
        <f t="shared" si="1"/>
        <v>90</v>
      </c>
      <c r="K25" s="21">
        <f t="shared" si="2"/>
        <v>50</v>
      </c>
      <c r="L25" s="49">
        <f t="shared" si="3"/>
        <v>66.666666666666671</v>
      </c>
      <c r="M25" s="25">
        <f t="shared" si="24"/>
        <v>5</v>
      </c>
      <c r="N25" s="23">
        <f t="shared" si="5"/>
        <v>180</v>
      </c>
      <c r="O25" s="21">
        <f t="shared" si="6"/>
        <v>100</v>
      </c>
      <c r="P25" s="49">
        <f t="shared" si="7"/>
        <v>166.66666666666666</v>
      </c>
      <c r="Q25" s="25">
        <f t="shared" si="8"/>
        <v>6</v>
      </c>
      <c r="R25" s="23">
        <f t="shared" si="9"/>
        <v>270</v>
      </c>
      <c r="S25" s="21">
        <f t="shared" si="10"/>
        <v>150</v>
      </c>
      <c r="T25" s="49">
        <f t="shared" si="11"/>
        <v>300</v>
      </c>
      <c r="U25" s="25">
        <f t="shared" si="12"/>
        <v>7</v>
      </c>
      <c r="V25" s="23">
        <f t="shared" si="13"/>
        <v>360</v>
      </c>
      <c r="W25" s="21">
        <f t="shared" si="14"/>
        <v>200</v>
      </c>
      <c r="X25" s="117">
        <f t="shared" si="15"/>
        <v>466.66666666666669</v>
      </c>
      <c r="Y25" s="25">
        <f t="shared" si="16"/>
        <v>8</v>
      </c>
      <c r="Z25" s="23">
        <f t="shared" si="17"/>
        <v>450</v>
      </c>
      <c r="AA25" s="21">
        <f t="shared" si="18"/>
        <v>250</v>
      </c>
      <c r="AB25" s="117">
        <f t="shared" si="19"/>
        <v>666.66666666666663</v>
      </c>
      <c r="AC25" s="25">
        <f t="shared" si="20"/>
        <v>9</v>
      </c>
      <c r="AD25" s="23">
        <f t="shared" si="21"/>
        <v>540</v>
      </c>
      <c r="AE25" s="21">
        <f t="shared" si="22"/>
        <v>300</v>
      </c>
      <c r="AF25" s="133">
        <f t="shared" si="23"/>
        <v>900</v>
      </c>
      <c r="AG25" s="3" t="s">
        <v>535</v>
      </c>
      <c r="AH25" s="3"/>
      <c r="AI25" s="3"/>
      <c r="AJ25" s="3" t="s">
        <v>535</v>
      </c>
      <c r="AK25" s="3" t="s">
        <v>535</v>
      </c>
      <c r="AL25" s="27"/>
      <c r="AM25" s="134" cm="1">
        <f t="array" ref="AM25">IF(AG25="Oui",($A25/$B25)/(SUMPRODUCT((AG$4:AG$35="Oui")*($A$4:$A$35/$B$4:$B$35))),0)</f>
        <v>3.3907146583202923E-2</v>
      </c>
      <c r="AN25" s="134" cm="1">
        <f t="array" ref="AN25">IF(AH25="Oui",($A25/$B25)/(SUMPRODUCT((AH$4:AH$35="Oui")*($A$4:$A$35/$B$4:$B$35))),0)</f>
        <v>0</v>
      </c>
      <c r="AO25" s="134" cm="1">
        <f t="array" ref="AO25">IF(AI25="Oui",($A25/$B25)/(SUMPRODUCT((AI$4:AI$35="Oui")*($A$4:$A$35/$B$4:$B$35))),0)</f>
        <v>0</v>
      </c>
      <c r="AP25" s="134" cm="1">
        <f t="array" ref="AP25">IF(AJ25="Oui",($A25/$B25)/(SUMPRODUCT((AJ$4:AJ$35="Oui")*($A$4:$A$35/$B$4:$B$35))),0)</f>
        <v>4.8489498826394278E-2</v>
      </c>
      <c r="AQ25" s="134" cm="1">
        <f t="array" ref="AQ25">IF(AK25="Oui",($A25/$B25)/(SUMPRODUCT((AK$4:AK$35="Oui")*($A$4:$A$35/$B$4:$B$35))),0)</f>
        <v>4.4845111882804774E-2</v>
      </c>
      <c r="AR25" s="134" cm="1">
        <f t="array" ref="AR25">IF(AL25="Oui",($A25/$B25)/(SUMPRODUCT((AL$4:AL$35="Oui")*($A$4:$A$35/$B$4:$B$35))),0)</f>
        <v>0</v>
      </c>
    </row>
    <row r="26" spans="1:44" ht="29">
      <c r="A26" s="15">
        <v>4</v>
      </c>
      <c r="B26" s="16">
        <v>20</v>
      </c>
      <c r="C26" s="3" t="s">
        <v>507</v>
      </c>
      <c r="D26" s="3" t="s">
        <v>245</v>
      </c>
      <c r="E26" s="3"/>
      <c r="F26" s="3"/>
      <c r="G26" s="17" t="s">
        <v>508</v>
      </c>
      <c r="H26" s="3"/>
      <c r="I26" s="25">
        <f t="shared" si="0"/>
        <v>5</v>
      </c>
      <c r="J26" s="23">
        <f t="shared" si="1"/>
        <v>80</v>
      </c>
      <c r="K26" s="21">
        <f t="shared" si="2"/>
        <v>45</v>
      </c>
      <c r="L26" s="49">
        <f t="shared" si="3"/>
        <v>75</v>
      </c>
      <c r="M26" s="25">
        <f t="shared" si="24"/>
        <v>6</v>
      </c>
      <c r="N26" s="23">
        <f t="shared" si="5"/>
        <v>160</v>
      </c>
      <c r="O26" s="21">
        <f t="shared" si="6"/>
        <v>90</v>
      </c>
      <c r="P26" s="49">
        <f t="shared" si="7"/>
        <v>180</v>
      </c>
      <c r="Q26" s="25">
        <f t="shared" si="8"/>
        <v>7</v>
      </c>
      <c r="R26" s="23">
        <f t="shared" si="9"/>
        <v>240</v>
      </c>
      <c r="S26" s="21">
        <f t="shared" si="10"/>
        <v>135</v>
      </c>
      <c r="T26" s="49">
        <f t="shared" si="11"/>
        <v>315</v>
      </c>
      <c r="U26" s="25">
        <f t="shared" si="12"/>
        <v>8</v>
      </c>
      <c r="V26" s="23">
        <f t="shared" si="13"/>
        <v>320</v>
      </c>
      <c r="W26" s="21">
        <f t="shared" si="14"/>
        <v>180</v>
      </c>
      <c r="X26" s="117">
        <f t="shared" si="15"/>
        <v>480</v>
      </c>
      <c r="Y26" s="25">
        <f t="shared" si="16"/>
        <v>9</v>
      </c>
      <c r="Z26" s="23">
        <f t="shared" si="17"/>
        <v>400</v>
      </c>
      <c r="AA26" s="21">
        <f t="shared" si="18"/>
        <v>225</v>
      </c>
      <c r="AB26" s="117">
        <f t="shared" si="19"/>
        <v>675</v>
      </c>
      <c r="AC26" s="25">
        <f t="shared" si="20"/>
        <v>10</v>
      </c>
      <c r="AD26" s="23">
        <f t="shared" si="21"/>
        <v>480</v>
      </c>
      <c r="AE26" s="21">
        <f t="shared" si="22"/>
        <v>270</v>
      </c>
      <c r="AF26" s="133">
        <f t="shared" si="23"/>
        <v>900</v>
      </c>
      <c r="AG26" s="3" t="s">
        <v>535</v>
      </c>
      <c r="AH26" s="3"/>
      <c r="AI26" s="3"/>
      <c r="AJ26" s="3"/>
      <c r="AK26" s="3"/>
      <c r="AL26" s="27"/>
      <c r="AM26" s="134" cm="1">
        <f t="array" ref="AM26">IF(AG26="Oui",($A26/$B26)/(SUMPRODUCT((AG$4:AG$35="Oui")*($A$4:$A$35/$B$4:$B$35))),0)</f>
        <v>4.068857589984351E-2</v>
      </c>
      <c r="AN26" s="134" cm="1">
        <f t="array" ref="AN26">IF(AH26="Oui",($A26/$B26)/(SUMPRODUCT((AH$4:AH$35="Oui")*($A$4:$A$35/$B$4:$B$35))),0)</f>
        <v>0</v>
      </c>
      <c r="AO26" s="134" cm="1">
        <f t="array" ref="AO26">IF(AI26="Oui",($A26/$B26)/(SUMPRODUCT((AI$4:AI$35="Oui")*($A$4:$A$35/$B$4:$B$35))),0)</f>
        <v>0</v>
      </c>
      <c r="AP26" s="134" cm="1">
        <f t="array" ref="AP26">IF(AJ26="Oui",($A26/$B26)/(SUMPRODUCT((AJ$4:AJ$35="Oui")*($A$4:$A$35/$B$4:$B$35))),0)</f>
        <v>0</v>
      </c>
      <c r="AQ26" s="134" cm="1">
        <f t="array" ref="AQ26">IF(AK26="Oui",($A26/$B26)/(SUMPRODUCT((AK$4:AK$35="Oui")*($A$4:$A$35/$B$4:$B$35))),0)</f>
        <v>0</v>
      </c>
      <c r="AR26" s="134" cm="1">
        <f t="array" ref="AR26">IF(AL26="Oui",($A26/$B26)/(SUMPRODUCT((AL$4:AL$35="Oui")*($A$4:$A$35/$B$4:$B$35))),0)</f>
        <v>0</v>
      </c>
    </row>
    <row r="27" spans="1:44" ht="15.5">
      <c r="A27" s="15">
        <v>3</v>
      </c>
      <c r="B27" s="16">
        <v>20</v>
      </c>
      <c r="C27" s="3" t="s">
        <v>509</v>
      </c>
      <c r="D27" s="3" t="s">
        <v>498</v>
      </c>
      <c r="E27" s="3"/>
      <c r="F27" s="3" t="s">
        <v>270</v>
      </c>
      <c r="G27" s="3" t="s">
        <v>270</v>
      </c>
      <c r="H27" s="3"/>
      <c r="I27" s="25">
        <f t="shared" si="0"/>
        <v>4</v>
      </c>
      <c r="J27" s="23">
        <f t="shared" si="1"/>
        <v>100</v>
      </c>
      <c r="K27" s="21">
        <f t="shared" si="2"/>
        <v>550</v>
      </c>
      <c r="L27" s="49">
        <f t="shared" si="3"/>
        <v>733.33333333333337</v>
      </c>
      <c r="M27" s="25">
        <f t="shared" si="24"/>
        <v>5</v>
      </c>
      <c r="N27" s="23">
        <f t="shared" si="5"/>
        <v>200</v>
      </c>
      <c r="O27" s="21">
        <f t="shared" si="6"/>
        <v>1100</v>
      </c>
      <c r="P27" s="49">
        <f t="shared" si="7"/>
        <v>1833.3333333333333</v>
      </c>
      <c r="Q27" s="25">
        <f t="shared" si="8"/>
        <v>6</v>
      </c>
      <c r="R27" s="23">
        <f t="shared" si="9"/>
        <v>300</v>
      </c>
      <c r="S27" s="21">
        <f t="shared" si="10"/>
        <v>1650</v>
      </c>
      <c r="T27" s="49">
        <f t="shared" si="11"/>
        <v>3300</v>
      </c>
      <c r="U27" s="25">
        <f t="shared" si="12"/>
        <v>7</v>
      </c>
      <c r="V27" s="23">
        <f t="shared" si="13"/>
        <v>400</v>
      </c>
      <c r="W27" s="21">
        <f t="shared" si="14"/>
        <v>2200</v>
      </c>
      <c r="X27" s="117">
        <f t="shared" si="15"/>
        <v>5133.333333333333</v>
      </c>
      <c r="Y27" s="25">
        <f t="shared" si="16"/>
        <v>8</v>
      </c>
      <c r="Z27" s="23">
        <f t="shared" si="17"/>
        <v>500</v>
      </c>
      <c r="AA27" s="21">
        <f t="shared" si="18"/>
        <v>2750</v>
      </c>
      <c r="AB27" s="117">
        <f t="shared" si="19"/>
        <v>7333.333333333333</v>
      </c>
      <c r="AC27" s="25">
        <f t="shared" si="20"/>
        <v>9</v>
      </c>
      <c r="AD27" s="23">
        <f t="shared" si="21"/>
        <v>600</v>
      </c>
      <c r="AE27" s="21">
        <f t="shared" si="22"/>
        <v>3300</v>
      </c>
      <c r="AF27" s="133">
        <f t="shared" si="23"/>
        <v>9900</v>
      </c>
      <c r="AG27" s="3"/>
      <c r="AH27" s="3" t="s">
        <v>535</v>
      </c>
      <c r="AI27" s="3" t="s">
        <v>535</v>
      </c>
      <c r="AJ27" s="3" t="s">
        <v>535</v>
      </c>
      <c r="AK27" s="3"/>
      <c r="AL27" s="27"/>
      <c r="AM27" s="134" cm="1">
        <f t="array" ref="AM27">IF(AG27="Oui",($A27/$B27)/(SUMPRODUCT((AG$4:AG$35="Oui")*($A$4:$A$35/$B$4:$B$35))),0)</f>
        <v>0</v>
      </c>
      <c r="AN27" s="134" cm="1">
        <f t="array" ref="AN27">IF(AH27="Oui",($A27/$B27)/(SUMPRODUCT((AH$4:AH$35="Oui")*($A$4:$A$35/$B$4:$B$35))),0)</f>
        <v>4.0180411190988606E-2</v>
      </c>
      <c r="AO27" s="134" cm="1">
        <f t="array" ref="AO27">IF(AI27="Oui",($A27/$B27)/(SUMPRODUCT((AI$4:AI$35="Oui")*($A$4:$A$35/$B$4:$B$35))),0)</f>
        <v>3.5917665658720781E-2</v>
      </c>
      <c r="AP27" s="134" cm="1">
        <f t="array" ref="AP27">IF(AJ27="Oui",($A27/$B27)/(SUMPRODUCT((AJ$4:AJ$35="Oui")*($A$4:$A$35/$B$4:$B$35))),0)</f>
        <v>4.3640548943754853E-2</v>
      </c>
      <c r="AQ27" s="134" cm="1">
        <f t="array" ref="AQ27">IF(AK27="Oui",($A27/$B27)/(SUMPRODUCT((AK$4:AK$35="Oui")*($A$4:$A$35/$B$4:$B$35))),0)</f>
        <v>0</v>
      </c>
      <c r="AR27" s="134" cm="1">
        <f t="array" ref="AR27">IF(AL27="Oui",($A27/$B27)/(SUMPRODUCT((AL$4:AL$35="Oui")*($A$4:$A$35/$B$4:$B$35))),0)</f>
        <v>0</v>
      </c>
    </row>
    <row r="28" spans="1:44" ht="15.5">
      <c r="A28" s="15">
        <v>3</v>
      </c>
      <c r="B28" s="16">
        <v>26</v>
      </c>
      <c r="C28" s="3" t="s">
        <v>510</v>
      </c>
      <c r="D28" s="3" t="s">
        <v>249</v>
      </c>
      <c r="E28" s="3"/>
      <c r="F28" s="3" t="s">
        <v>511</v>
      </c>
      <c r="G28" s="3" t="s">
        <v>260</v>
      </c>
      <c r="H28" s="3"/>
      <c r="I28" s="25">
        <f t="shared" si="0"/>
        <v>4</v>
      </c>
      <c r="J28" s="23">
        <f t="shared" si="1"/>
        <v>130</v>
      </c>
      <c r="K28" s="21">
        <f t="shared" si="2"/>
        <v>70</v>
      </c>
      <c r="L28" s="49">
        <f t="shared" si="3"/>
        <v>93.333333333333329</v>
      </c>
      <c r="M28" s="25">
        <f t="shared" si="24"/>
        <v>5</v>
      </c>
      <c r="N28" s="23">
        <f t="shared" si="5"/>
        <v>260</v>
      </c>
      <c r="O28" s="21">
        <f t="shared" si="6"/>
        <v>140</v>
      </c>
      <c r="P28" s="49">
        <f t="shared" si="7"/>
        <v>233.33333333333334</v>
      </c>
      <c r="Q28" s="25">
        <f t="shared" si="8"/>
        <v>6</v>
      </c>
      <c r="R28" s="23">
        <f t="shared" si="9"/>
        <v>390</v>
      </c>
      <c r="S28" s="21">
        <f t="shared" si="10"/>
        <v>210</v>
      </c>
      <c r="T28" s="49">
        <f t="shared" si="11"/>
        <v>420</v>
      </c>
      <c r="U28" s="25">
        <f t="shared" si="12"/>
        <v>7</v>
      </c>
      <c r="V28" s="23">
        <f t="shared" si="13"/>
        <v>520</v>
      </c>
      <c r="W28" s="21">
        <f t="shared" si="14"/>
        <v>280</v>
      </c>
      <c r="X28" s="117">
        <f t="shared" si="15"/>
        <v>653.33333333333337</v>
      </c>
      <c r="Y28" s="25">
        <f t="shared" si="16"/>
        <v>8</v>
      </c>
      <c r="Z28" s="23">
        <f t="shared" si="17"/>
        <v>650</v>
      </c>
      <c r="AA28" s="21">
        <f t="shared" si="18"/>
        <v>350</v>
      </c>
      <c r="AB28" s="117">
        <f t="shared" si="19"/>
        <v>933.33333333333337</v>
      </c>
      <c r="AC28" s="25">
        <f t="shared" si="20"/>
        <v>9</v>
      </c>
      <c r="AD28" s="23">
        <f t="shared" si="21"/>
        <v>780</v>
      </c>
      <c r="AE28" s="21">
        <f t="shared" si="22"/>
        <v>420</v>
      </c>
      <c r="AF28" s="133">
        <f t="shared" si="23"/>
        <v>1260</v>
      </c>
      <c r="AG28" s="3" t="s">
        <v>535</v>
      </c>
      <c r="AH28" s="3" t="s">
        <v>535</v>
      </c>
      <c r="AI28" s="3" t="s">
        <v>535</v>
      </c>
      <c r="AJ28" s="3" t="s">
        <v>535</v>
      </c>
      <c r="AK28" s="3" t="s">
        <v>535</v>
      </c>
      <c r="AL28" s="27" t="s">
        <v>535</v>
      </c>
      <c r="AM28" s="134" cm="1">
        <f t="array" ref="AM28">IF(AG28="Oui",($A28/$B28)/(SUMPRODUCT((AG$4:AG$35="Oui")*($A$4:$A$35/$B$4:$B$35))),0)</f>
        <v>2.3474178403755874E-2</v>
      </c>
      <c r="AN28" s="134" cm="1">
        <f t="array" ref="AN28">IF(AH28="Oui",($A28/$B28)/(SUMPRODUCT((AH$4:AH$35="Oui")*($A$4:$A$35/$B$4:$B$35))),0)</f>
        <v>3.0908008608452775E-2</v>
      </c>
      <c r="AO28" s="134" cm="1">
        <f t="array" ref="AO28">IF(AI28="Oui",($A28/$B28)/(SUMPRODUCT((AI$4:AI$35="Oui")*($A$4:$A$35/$B$4:$B$35))),0)</f>
        <v>2.7628973583631374E-2</v>
      </c>
      <c r="AP28" s="134" cm="1">
        <f t="array" ref="AP28">IF(AJ28="Oui",($A28/$B28)/(SUMPRODUCT((AJ$4:AJ$35="Oui")*($A$4:$A$35/$B$4:$B$35))),0)</f>
        <v>3.3569653033657582E-2</v>
      </c>
      <c r="AQ28" s="134" cm="1">
        <f t="array" ref="AQ28">IF(AK28="Oui",($A28/$B28)/(SUMPRODUCT((AK$4:AK$35="Oui")*($A$4:$A$35/$B$4:$B$35))),0)</f>
        <v>3.1046615918864845E-2</v>
      </c>
      <c r="AR28" s="134" cm="1">
        <f t="array" ref="AR28">IF(AL28="Oui",($A28/$B28)/(SUMPRODUCT((AL$4:AL$35="Oui")*($A$4:$A$35/$B$4:$B$35))),0)</f>
        <v>3.7425557299221292E-2</v>
      </c>
    </row>
    <row r="29" spans="1:44" ht="43.5">
      <c r="A29" s="15">
        <v>4</v>
      </c>
      <c r="B29" s="16">
        <v>30</v>
      </c>
      <c r="C29" s="3" t="s">
        <v>512</v>
      </c>
      <c r="D29" s="3" t="s">
        <v>263</v>
      </c>
      <c r="E29" s="3"/>
      <c r="F29" s="3" t="s">
        <v>513</v>
      </c>
      <c r="G29" s="17" t="s">
        <v>552</v>
      </c>
      <c r="H29" s="3"/>
      <c r="I29" s="25">
        <f t="shared" si="0"/>
        <v>5</v>
      </c>
      <c r="J29" s="23">
        <f t="shared" si="1"/>
        <v>120</v>
      </c>
      <c r="K29" s="21">
        <f t="shared" si="2"/>
        <v>65</v>
      </c>
      <c r="L29" s="49">
        <f t="shared" si="3"/>
        <v>108.33333333333333</v>
      </c>
      <c r="M29" s="25">
        <f t="shared" si="24"/>
        <v>6</v>
      </c>
      <c r="N29" s="23">
        <f t="shared" si="5"/>
        <v>240</v>
      </c>
      <c r="O29" s="21">
        <f t="shared" si="6"/>
        <v>130</v>
      </c>
      <c r="P29" s="49">
        <f t="shared" si="7"/>
        <v>260</v>
      </c>
      <c r="Q29" s="25">
        <f t="shared" si="8"/>
        <v>7</v>
      </c>
      <c r="R29" s="23">
        <f t="shared" si="9"/>
        <v>360</v>
      </c>
      <c r="S29" s="21">
        <f t="shared" si="10"/>
        <v>195</v>
      </c>
      <c r="T29" s="49">
        <f t="shared" si="11"/>
        <v>455</v>
      </c>
      <c r="U29" s="25">
        <f t="shared" si="12"/>
        <v>8</v>
      </c>
      <c r="V29" s="23">
        <f t="shared" si="13"/>
        <v>480</v>
      </c>
      <c r="W29" s="21">
        <f t="shared" si="14"/>
        <v>260</v>
      </c>
      <c r="X29" s="117">
        <f t="shared" si="15"/>
        <v>693.33333333333337</v>
      </c>
      <c r="Y29" s="25">
        <f t="shared" si="16"/>
        <v>9</v>
      </c>
      <c r="Z29" s="23">
        <f t="shared" si="17"/>
        <v>600</v>
      </c>
      <c r="AA29" s="21">
        <f t="shared" si="18"/>
        <v>325</v>
      </c>
      <c r="AB29" s="117">
        <f t="shared" si="19"/>
        <v>975</v>
      </c>
      <c r="AC29" s="25">
        <f t="shared" si="20"/>
        <v>10</v>
      </c>
      <c r="AD29" s="23">
        <f t="shared" si="21"/>
        <v>720</v>
      </c>
      <c r="AE29" s="21">
        <f t="shared" si="22"/>
        <v>390</v>
      </c>
      <c r="AF29" s="133">
        <f t="shared" si="23"/>
        <v>1300</v>
      </c>
      <c r="AG29" s="3"/>
      <c r="AH29" s="3"/>
      <c r="AI29" s="3"/>
      <c r="AJ29" s="3"/>
      <c r="AK29" s="3"/>
      <c r="AL29" s="27" t="s">
        <v>535</v>
      </c>
      <c r="AM29" s="134" cm="1">
        <f t="array" ref="AM29">IF(AG29="Oui",($A29/$B29)/(SUMPRODUCT((AG$4:AG$35="Oui")*($A$4:$A$35/$B$4:$B$35))),0)</f>
        <v>0</v>
      </c>
      <c r="AN29" s="134" cm="1">
        <f t="array" ref="AN29">IF(AH29="Oui",($A29/$B29)/(SUMPRODUCT((AH$4:AH$35="Oui")*($A$4:$A$35/$B$4:$B$35))),0)</f>
        <v>0</v>
      </c>
      <c r="AO29" s="134" cm="1">
        <f t="array" ref="AO29">IF(AI29="Oui",($A29/$B29)/(SUMPRODUCT((AI$4:AI$35="Oui")*($A$4:$A$35/$B$4:$B$35))),0)</f>
        <v>0</v>
      </c>
      <c r="AP29" s="134" cm="1">
        <f t="array" ref="AP29">IF(AJ29="Oui",($A29/$B29)/(SUMPRODUCT((AJ$4:AJ$35="Oui")*($A$4:$A$35/$B$4:$B$35))),0)</f>
        <v>0</v>
      </c>
      <c r="AQ29" s="134" cm="1">
        <f t="array" ref="AQ29">IF(AK29="Oui",($A29/$B29)/(SUMPRODUCT((AK$4:AK$35="Oui")*($A$4:$A$35/$B$4:$B$35))),0)</f>
        <v>0</v>
      </c>
      <c r="AR29" s="134" cm="1">
        <f t="array" ref="AR29">IF(AL29="Oui",($A29/$B29)/(SUMPRODUCT((AL$4:AL$35="Oui")*($A$4:$A$35/$B$4:$B$35))),0)</f>
        <v>4.3247310656877931E-2</v>
      </c>
    </row>
    <row r="30" spans="1:44" ht="15.5">
      <c r="A30" s="15">
        <v>4</v>
      </c>
      <c r="B30" s="16">
        <v>37.5</v>
      </c>
      <c r="C30" s="3" t="s">
        <v>515</v>
      </c>
      <c r="D30" s="3" t="s">
        <v>553</v>
      </c>
      <c r="E30" s="3"/>
      <c r="F30" s="3" t="s">
        <v>517</v>
      </c>
      <c r="G30" s="3" t="s">
        <v>435</v>
      </c>
      <c r="H30" s="3"/>
      <c r="I30" s="25">
        <f t="shared" si="0"/>
        <v>5</v>
      </c>
      <c r="J30" s="23">
        <f t="shared" si="1"/>
        <v>150</v>
      </c>
      <c r="K30" s="21">
        <f t="shared" si="2"/>
        <v>80</v>
      </c>
      <c r="L30" s="49">
        <f t="shared" si="3"/>
        <v>133.33333333333334</v>
      </c>
      <c r="M30" s="25">
        <f t="shared" si="24"/>
        <v>6</v>
      </c>
      <c r="N30" s="23">
        <f t="shared" si="5"/>
        <v>300</v>
      </c>
      <c r="O30" s="21">
        <f t="shared" si="6"/>
        <v>160</v>
      </c>
      <c r="P30" s="49">
        <f t="shared" si="7"/>
        <v>320</v>
      </c>
      <c r="Q30" s="25">
        <f t="shared" si="8"/>
        <v>7</v>
      </c>
      <c r="R30" s="23">
        <f t="shared" si="9"/>
        <v>450</v>
      </c>
      <c r="S30" s="21">
        <f t="shared" si="10"/>
        <v>240</v>
      </c>
      <c r="T30" s="49">
        <f t="shared" si="11"/>
        <v>560</v>
      </c>
      <c r="U30" s="25">
        <f t="shared" si="12"/>
        <v>8</v>
      </c>
      <c r="V30" s="23">
        <f t="shared" si="13"/>
        <v>600</v>
      </c>
      <c r="W30" s="21">
        <f t="shared" si="14"/>
        <v>320</v>
      </c>
      <c r="X30" s="117">
        <f t="shared" si="15"/>
        <v>853.33333333333337</v>
      </c>
      <c r="Y30" s="25">
        <f t="shared" si="16"/>
        <v>9</v>
      </c>
      <c r="Z30" s="23">
        <f t="shared" si="17"/>
        <v>750</v>
      </c>
      <c r="AA30" s="21">
        <f t="shared" si="18"/>
        <v>400</v>
      </c>
      <c r="AB30" s="117">
        <f t="shared" si="19"/>
        <v>1200</v>
      </c>
      <c r="AC30" s="25">
        <f t="shared" si="20"/>
        <v>10</v>
      </c>
      <c r="AD30" s="23">
        <f t="shared" si="21"/>
        <v>900</v>
      </c>
      <c r="AE30" s="21">
        <f t="shared" si="22"/>
        <v>480</v>
      </c>
      <c r="AF30" s="133">
        <f t="shared" si="23"/>
        <v>1600</v>
      </c>
      <c r="AG30" s="3"/>
      <c r="AH30" s="3" t="s">
        <v>535</v>
      </c>
      <c r="AI30" s="3" t="s">
        <v>535</v>
      </c>
      <c r="AJ30" s="3"/>
      <c r="AK30" s="3" t="s">
        <v>535</v>
      </c>
      <c r="AL30" s="27"/>
      <c r="AM30" s="134" cm="1">
        <f t="array" ref="AM30">IF(AG30="Oui",($A30/$B30)/(SUMPRODUCT((AG$4:AG$35="Oui")*($A$4:$A$35/$B$4:$B$35))),0)</f>
        <v>0</v>
      </c>
      <c r="AN30" s="134" cm="1">
        <f t="array" ref="AN30">IF(AH30="Oui",($A30/$B30)/(SUMPRODUCT((AH$4:AH$35="Oui")*($A$4:$A$35/$B$4:$B$35))),0)</f>
        <v>2.8572736846925233E-2</v>
      </c>
      <c r="AO30" s="134" cm="1">
        <f t="array" ref="AO30">IF(AI30="Oui",($A30/$B30)/(SUMPRODUCT((AI$4:AI$35="Oui")*($A$4:$A$35/$B$4:$B$35))),0)</f>
        <v>2.5541451135090338E-2</v>
      </c>
      <c r="AP30" s="134" cm="1">
        <f t="array" ref="AP30">IF(AJ30="Oui",($A30/$B30)/(SUMPRODUCT((AJ$4:AJ$35="Oui")*($A$4:$A$35/$B$4:$B$35))),0)</f>
        <v>0</v>
      </c>
      <c r="AQ30" s="134" cm="1">
        <f t="array" ref="AQ30">IF(AK30="Oui",($A30/$B30)/(SUMPRODUCT((AK$4:AK$35="Oui")*($A$4:$A$35/$B$4:$B$35))),0)</f>
        <v>2.8700871604995057E-2</v>
      </c>
      <c r="AR30" s="134" cm="1">
        <f t="array" ref="AR30">IF(AL30="Oui",($A30/$B30)/(SUMPRODUCT((AL$4:AL$35="Oui")*($A$4:$A$35/$B$4:$B$35))),0)</f>
        <v>0</v>
      </c>
    </row>
    <row r="31" spans="1:44" ht="15.5">
      <c r="A31" s="15">
        <v>4</v>
      </c>
      <c r="B31" s="16">
        <v>45</v>
      </c>
      <c r="C31" s="3" t="s">
        <v>518</v>
      </c>
      <c r="D31" s="3" t="s">
        <v>547</v>
      </c>
      <c r="E31" s="3"/>
      <c r="F31" s="3"/>
      <c r="G31" s="3" t="s">
        <v>519</v>
      </c>
      <c r="H31" s="3"/>
      <c r="I31" s="25">
        <f t="shared" si="0"/>
        <v>5</v>
      </c>
      <c r="J31" s="23">
        <f t="shared" si="1"/>
        <v>180</v>
      </c>
      <c r="K31" s="21">
        <f t="shared" si="2"/>
        <v>95</v>
      </c>
      <c r="L31" s="49">
        <f t="shared" si="3"/>
        <v>158.33333333333334</v>
      </c>
      <c r="M31" s="25">
        <f t="shared" si="24"/>
        <v>6</v>
      </c>
      <c r="N31" s="23">
        <f t="shared" si="5"/>
        <v>360</v>
      </c>
      <c r="O31" s="21">
        <f t="shared" si="6"/>
        <v>190</v>
      </c>
      <c r="P31" s="49">
        <f t="shared" si="7"/>
        <v>380</v>
      </c>
      <c r="Q31" s="25">
        <f t="shared" si="8"/>
        <v>7</v>
      </c>
      <c r="R31" s="23">
        <f t="shared" si="9"/>
        <v>540</v>
      </c>
      <c r="S31" s="21">
        <f t="shared" si="10"/>
        <v>285</v>
      </c>
      <c r="T31" s="49">
        <f t="shared" si="11"/>
        <v>665</v>
      </c>
      <c r="U31" s="25">
        <f t="shared" si="12"/>
        <v>8</v>
      </c>
      <c r="V31" s="23">
        <f t="shared" si="13"/>
        <v>720</v>
      </c>
      <c r="W31" s="21">
        <f t="shared" si="14"/>
        <v>380</v>
      </c>
      <c r="X31" s="117">
        <f t="shared" si="15"/>
        <v>1013.3333333333334</v>
      </c>
      <c r="Y31" s="25">
        <f t="shared" si="16"/>
        <v>9</v>
      </c>
      <c r="Z31" s="23">
        <f t="shared" si="17"/>
        <v>900</v>
      </c>
      <c r="AA31" s="21">
        <f t="shared" si="18"/>
        <v>475</v>
      </c>
      <c r="AB31" s="117">
        <f t="shared" si="19"/>
        <v>1425</v>
      </c>
      <c r="AC31" s="25">
        <f t="shared" si="20"/>
        <v>10</v>
      </c>
      <c r="AD31" s="23">
        <f t="shared" si="21"/>
        <v>1080</v>
      </c>
      <c r="AE31" s="21">
        <f t="shared" si="22"/>
        <v>570</v>
      </c>
      <c r="AF31" s="133">
        <f t="shared" si="23"/>
        <v>1900</v>
      </c>
      <c r="AG31" s="3"/>
      <c r="AH31" s="3" t="s">
        <v>535</v>
      </c>
      <c r="AI31" s="3"/>
      <c r="AJ31" s="3"/>
      <c r="AK31" s="3"/>
      <c r="AL31" s="27"/>
      <c r="AM31" s="134" cm="1">
        <f t="array" ref="AM31">IF(AG31="Oui",($A31/$B31)/(SUMPRODUCT((AG$4:AG$35="Oui")*($A$4:$A$35/$B$4:$B$35))),0)</f>
        <v>0</v>
      </c>
      <c r="AN31" s="134" cm="1">
        <f t="array" ref="AN31">IF(AH31="Oui",($A31/$B31)/(SUMPRODUCT((AH$4:AH$35="Oui")*($A$4:$A$35/$B$4:$B$35))),0)</f>
        <v>2.3810614039104359E-2</v>
      </c>
      <c r="AO31" s="134" cm="1">
        <f t="array" ref="AO31">IF(AI31="Oui",($A31/$B31)/(SUMPRODUCT((AI$4:AI$35="Oui")*($A$4:$A$35/$B$4:$B$35))),0)</f>
        <v>0</v>
      </c>
      <c r="AP31" s="134" cm="1">
        <f t="array" ref="AP31">IF(AJ31="Oui",($A31/$B31)/(SUMPRODUCT((AJ$4:AJ$35="Oui")*($A$4:$A$35/$B$4:$B$35))),0)</f>
        <v>0</v>
      </c>
      <c r="AQ31" s="134" cm="1">
        <f t="array" ref="AQ31">IF(AK31="Oui",($A31/$B31)/(SUMPRODUCT((AK$4:AK$35="Oui")*($A$4:$A$35/$B$4:$B$35))),0)</f>
        <v>0</v>
      </c>
      <c r="AR31" s="134" cm="1">
        <f t="array" ref="AR31">IF(AL31="Oui",($A31/$B31)/(SUMPRODUCT((AL$4:AL$35="Oui")*($A$4:$A$35/$B$4:$B$35))),0)</f>
        <v>0</v>
      </c>
    </row>
    <row r="32" spans="1:44" ht="15.5">
      <c r="A32" s="15">
        <v>5</v>
      </c>
      <c r="B32" s="16">
        <v>60</v>
      </c>
      <c r="C32" s="3" t="s">
        <v>520</v>
      </c>
      <c r="D32" s="3" t="s">
        <v>249</v>
      </c>
      <c r="E32" s="3"/>
      <c r="F32" s="3"/>
      <c r="G32" s="3" t="s">
        <v>18</v>
      </c>
      <c r="H32" s="3"/>
      <c r="I32" s="25">
        <f t="shared" si="0"/>
        <v>6</v>
      </c>
      <c r="J32" s="23">
        <f t="shared" si="1"/>
        <v>200</v>
      </c>
      <c r="K32" s="21">
        <f t="shared" si="2"/>
        <v>600</v>
      </c>
      <c r="L32" s="49">
        <f t="shared" si="3"/>
        <v>1200</v>
      </c>
      <c r="M32" s="25">
        <f t="shared" si="24"/>
        <v>7</v>
      </c>
      <c r="N32" s="23">
        <f t="shared" si="5"/>
        <v>400</v>
      </c>
      <c r="O32" s="21">
        <f t="shared" si="6"/>
        <v>1200</v>
      </c>
      <c r="P32" s="49">
        <f t="shared" si="7"/>
        <v>2800</v>
      </c>
      <c r="Q32" s="25">
        <f t="shared" si="8"/>
        <v>8</v>
      </c>
      <c r="R32" s="23">
        <f t="shared" si="9"/>
        <v>600</v>
      </c>
      <c r="S32" s="21">
        <f t="shared" si="10"/>
        <v>1800</v>
      </c>
      <c r="T32" s="49">
        <f t="shared" si="11"/>
        <v>4800</v>
      </c>
      <c r="U32" s="25">
        <f t="shared" si="12"/>
        <v>9</v>
      </c>
      <c r="V32" s="23">
        <f t="shared" si="13"/>
        <v>800</v>
      </c>
      <c r="W32" s="21">
        <f t="shared" si="14"/>
        <v>2400</v>
      </c>
      <c r="X32" s="117">
        <f t="shared" si="15"/>
        <v>7200</v>
      </c>
      <c r="Y32" s="25">
        <f t="shared" si="16"/>
        <v>10</v>
      </c>
      <c r="Z32" s="23">
        <f t="shared" si="17"/>
        <v>1000</v>
      </c>
      <c r="AA32" s="21">
        <f t="shared" si="18"/>
        <v>3000</v>
      </c>
      <c r="AB32" s="117">
        <f t="shared" si="19"/>
        <v>10000</v>
      </c>
      <c r="AC32" s="25">
        <f t="shared" si="20"/>
        <v>11</v>
      </c>
      <c r="AD32" s="23">
        <f t="shared" si="21"/>
        <v>1200</v>
      </c>
      <c r="AE32" s="21">
        <f t="shared" si="22"/>
        <v>3600</v>
      </c>
      <c r="AF32" s="133">
        <f t="shared" si="23"/>
        <v>13200</v>
      </c>
      <c r="AG32" s="3"/>
      <c r="AH32" s="3"/>
      <c r="AI32" s="3"/>
      <c r="AJ32" s="3"/>
      <c r="AK32" s="3" t="s">
        <v>535</v>
      </c>
      <c r="AL32" s="27"/>
      <c r="AM32" s="134" cm="1">
        <f t="array" ref="AM32">IF(AG32="Oui",($A32/$B32)/(SUMPRODUCT((AG$4:AG$35="Oui")*($A$4:$A$35/$B$4:$B$35))),0)</f>
        <v>0</v>
      </c>
      <c r="AN32" s="134" cm="1">
        <f t="array" ref="AN32">IF(AH32="Oui",($A32/$B32)/(SUMPRODUCT((AH$4:AH$35="Oui")*($A$4:$A$35/$B$4:$B$35))),0)</f>
        <v>0</v>
      </c>
      <c r="AO32" s="134" cm="1">
        <f t="array" ref="AO32">IF(AI32="Oui",($A32/$B32)/(SUMPRODUCT((AI$4:AI$35="Oui")*($A$4:$A$35/$B$4:$B$35))),0)</f>
        <v>0</v>
      </c>
      <c r="AP32" s="134" cm="1">
        <f t="array" ref="AP32">IF(AJ32="Oui",($A32/$B32)/(SUMPRODUCT((AJ$4:AJ$35="Oui")*($A$4:$A$35/$B$4:$B$35))),0)</f>
        <v>0</v>
      </c>
      <c r="AQ32" s="134" cm="1">
        <f t="array" ref="AQ32">IF(AK32="Oui",($A32/$B32)/(SUMPRODUCT((AK$4:AK$35="Oui")*($A$4:$A$35/$B$4:$B$35))),0)</f>
        <v>2.2422555941402387E-2</v>
      </c>
      <c r="AR32" s="134" cm="1">
        <f t="array" ref="AR32">IF(AL32="Oui",($A32/$B32)/(SUMPRODUCT((AL$4:AL$35="Oui")*($A$4:$A$35/$B$4:$B$35))),0)</f>
        <v>0</v>
      </c>
    </row>
    <row r="33" spans="1:44" ht="15.5">
      <c r="A33" s="15">
        <v>5</v>
      </c>
      <c r="B33" s="16">
        <v>60</v>
      </c>
      <c r="C33" s="3" t="s">
        <v>521</v>
      </c>
      <c r="D33" s="3" t="s">
        <v>172</v>
      </c>
      <c r="E33" s="3"/>
      <c r="F33" s="3"/>
      <c r="G33" s="3" t="s">
        <v>258</v>
      </c>
      <c r="H33" s="3"/>
      <c r="I33" s="25">
        <f t="shared" si="0"/>
        <v>6</v>
      </c>
      <c r="J33" s="23">
        <f t="shared" si="1"/>
        <v>200</v>
      </c>
      <c r="K33" s="21">
        <f t="shared" si="2"/>
        <v>600</v>
      </c>
      <c r="L33" s="49">
        <f t="shared" si="3"/>
        <v>1200</v>
      </c>
      <c r="M33" s="25">
        <f t="shared" si="24"/>
        <v>7</v>
      </c>
      <c r="N33" s="23">
        <f t="shared" si="5"/>
        <v>400</v>
      </c>
      <c r="O33" s="21">
        <f t="shared" si="6"/>
        <v>1200</v>
      </c>
      <c r="P33" s="49">
        <f t="shared" si="7"/>
        <v>2800</v>
      </c>
      <c r="Q33" s="25">
        <f t="shared" si="8"/>
        <v>8</v>
      </c>
      <c r="R33" s="23">
        <f t="shared" si="9"/>
        <v>600</v>
      </c>
      <c r="S33" s="21">
        <f t="shared" si="10"/>
        <v>1800</v>
      </c>
      <c r="T33" s="49">
        <f t="shared" si="11"/>
        <v>4800</v>
      </c>
      <c r="U33" s="25">
        <f t="shared" si="12"/>
        <v>9</v>
      </c>
      <c r="V33" s="23">
        <f t="shared" si="13"/>
        <v>800</v>
      </c>
      <c r="W33" s="21">
        <f t="shared" si="14"/>
        <v>2400</v>
      </c>
      <c r="X33" s="117">
        <f t="shared" si="15"/>
        <v>7200</v>
      </c>
      <c r="Y33" s="25">
        <f t="shared" si="16"/>
        <v>10</v>
      </c>
      <c r="Z33" s="23">
        <f t="shared" si="17"/>
        <v>1000</v>
      </c>
      <c r="AA33" s="21">
        <f t="shared" si="18"/>
        <v>3000</v>
      </c>
      <c r="AB33" s="117">
        <f t="shared" si="19"/>
        <v>10000</v>
      </c>
      <c r="AC33" s="25">
        <f t="shared" si="20"/>
        <v>11</v>
      </c>
      <c r="AD33" s="23">
        <f t="shared" si="21"/>
        <v>1200</v>
      </c>
      <c r="AE33" s="21">
        <f t="shared" si="22"/>
        <v>3600</v>
      </c>
      <c r="AF33" s="133">
        <f t="shared" si="23"/>
        <v>13200</v>
      </c>
      <c r="AG33" s="3"/>
      <c r="AH33" s="3"/>
      <c r="AI33" s="3"/>
      <c r="AJ33" s="3"/>
      <c r="AK33" s="3"/>
      <c r="AL33" s="27" t="s">
        <v>535</v>
      </c>
      <c r="AM33" s="134" cm="1">
        <f t="array" ref="AM33">IF(AG33="Oui",($A33/$B33)/(SUMPRODUCT((AG$4:AG$35="Oui")*($A$4:$A$35/$B$4:$B$35))),0)</f>
        <v>0</v>
      </c>
      <c r="AN33" s="134" cm="1">
        <f t="array" ref="AN33">IF(AH33="Oui",($A33/$B33)/(SUMPRODUCT((AH$4:AH$35="Oui")*($A$4:$A$35/$B$4:$B$35))),0)</f>
        <v>0</v>
      </c>
      <c r="AO33" s="134" cm="1">
        <f t="array" ref="AO33">IF(AI33="Oui",($A33/$B33)/(SUMPRODUCT((AI$4:AI$35="Oui")*($A$4:$A$35/$B$4:$B$35))),0)</f>
        <v>0</v>
      </c>
      <c r="AP33" s="134" cm="1">
        <f t="array" ref="AP33">IF(AJ33="Oui",($A33/$B33)/(SUMPRODUCT((AJ$4:AJ$35="Oui")*($A$4:$A$35/$B$4:$B$35))),0)</f>
        <v>0</v>
      </c>
      <c r="AQ33" s="134" cm="1">
        <f t="array" ref="AQ33">IF(AK33="Oui",($A33/$B33)/(SUMPRODUCT((AK$4:AK$35="Oui")*($A$4:$A$35/$B$4:$B$35))),0)</f>
        <v>0</v>
      </c>
      <c r="AR33" s="134" cm="1">
        <f t="array" ref="AR33">IF(AL33="Oui",($A33/$B33)/(SUMPRODUCT((AL$4:AL$35="Oui")*($A$4:$A$35/$B$4:$B$35))),0)</f>
        <v>2.7029569160548706E-2</v>
      </c>
    </row>
    <row r="34" spans="1:44" ht="15.5">
      <c r="A34" s="15">
        <v>6</v>
      </c>
      <c r="B34" s="16">
        <v>70</v>
      </c>
      <c r="C34" s="3" t="s">
        <v>24</v>
      </c>
      <c r="D34" s="3" t="s">
        <v>245</v>
      </c>
      <c r="E34" s="3"/>
      <c r="F34" s="3"/>
      <c r="G34" s="3" t="s">
        <v>522</v>
      </c>
      <c r="H34" s="3"/>
      <c r="I34" s="25">
        <f t="shared" si="0"/>
        <v>7</v>
      </c>
      <c r="J34" s="23">
        <f t="shared" si="1"/>
        <v>200</v>
      </c>
      <c r="K34" s="21">
        <f t="shared" si="2"/>
        <v>600</v>
      </c>
      <c r="L34" s="49">
        <f t="shared" si="3"/>
        <v>1400</v>
      </c>
      <c r="M34" s="25">
        <f t="shared" si="24"/>
        <v>8</v>
      </c>
      <c r="N34" s="23">
        <f t="shared" si="5"/>
        <v>400</v>
      </c>
      <c r="O34" s="21">
        <f t="shared" si="6"/>
        <v>1200</v>
      </c>
      <c r="P34" s="49">
        <f t="shared" si="7"/>
        <v>3200</v>
      </c>
      <c r="Q34" s="25">
        <f t="shared" si="8"/>
        <v>9</v>
      </c>
      <c r="R34" s="23">
        <f t="shared" si="9"/>
        <v>600</v>
      </c>
      <c r="S34" s="21">
        <f t="shared" si="10"/>
        <v>1800</v>
      </c>
      <c r="T34" s="49">
        <f t="shared" si="11"/>
        <v>5400</v>
      </c>
      <c r="U34" s="25">
        <f t="shared" si="12"/>
        <v>10</v>
      </c>
      <c r="V34" s="23">
        <f t="shared" si="13"/>
        <v>800</v>
      </c>
      <c r="W34" s="21">
        <f t="shared" si="14"/>
        <v>2400</v>
      </c>
      <c r="X34" s="117">
        <f t="shared" si="15"/>
        <v>8000</v>
      </c>
      <c r="Y34" s="25">
        <f t="shared" si="16"/>
        <v>11</v>
      </c>
      <c r="Z34" s="23">
        <f t="shared" si="17"/>
        <v>1000</v>
      </c>
      <c r="AA34" s="21">
        <f t="shared" si="18"/>
        <v>3000</v>
      </c>
      <c r="AB34" s="117">
        <f t="shared" si="19"/>
        <v>11000</v>
      </c>
      <c r="AC34" s="25">
        <f t="shared" si="20"/>
        <v>12</v>
      </c>
      <c r="AD34" s="23">
        <f t="shared" si="21"/>
        <v>1200</v>
      </c>
      <c r="AE34" s="21">
        <f t="shared" si="22"/>
        <v>3600</v>
      </c>
      <c r="AF34" s="133">
        <f t="shared" si="23"/>
        <v>14400</v>
      </c>
      <c r="AG34" s="3"/>
      <c r="AH34" s="3"/>
      <c r="AI34" s="3"/>
      <c r="AJ34" s="3"/>
      <c r="AK34" s="3"/>
      <c r="AL34" s="27" t="s">
        <v>535</v>
      </c>
      <c r="AM34" s="134" cm="1">
        <f t="array" ref="AM34">IF(AG34="Oui",($A34/$B34)/(SUMPRODUCT((AG$4:AG$35="Oui")*($A$4:$A$35/$B$4:$B$35))),0)</f>
        <v>0</v>
      </c>
      <c r="AN34" s="134" cm="1">
        <f t="array" ref="AN34">IF(AH34="Oui",($A34/$B34)/(SUMPRODUCT((AH$4:AH$35="Oui")*($A$4:$A$35/$B$4:$B$35))),0)</f>
        <v>0</v>
      </c>
      <c r="AO34" s="134" cm="1">
        <f t="array" ref="AO34">IF(AI34="Oui",($A34/$B34)/(SUMPRODUCT((AI$4:AI$35="Oui")*($A$4:$A$35/$B$4:$B$35))),0)</f>
        <v>0</v>
      </c>
      <c r="AP34" s="134" cm="1">
        <f t="array" ref="AP34">IF(AJ34="Oui",($A34/$B34)/(SUMPRODUCT((AJ$4:AJ$35="Oui")*($A$4:$A$35/$B$4:$B$35))),0)</f>
        <v>0</v>
      </c>
      <c r="AQ34" s="134" cm="1">
        <f t="array" ref="AQ34">IF(AK34="Oui",($A34/$B34)/(SUMPRODUCT((AK$4:AK$35="Oui")*($A$4:$A$35/$B$4:$B$35))),0)</f>
        <v>0</v>
      </c>
      <c r="AR34" s="134" cm="1">
        <f t="array" ref="AR34">IF(AL34="Oui",($A34/$B34)/(SUMPRODUCT((AL$4:AL$35="Oui")*($A$4:$A$35/$B$4:$B$35))),0)</f>
        <v>2.7801842565135813E-2</v>
      </c>
    </row>
    <row r="35" spans="1:44" ht="15.5">
      <c r="A35" s="139">
        <v>6</v>
      </c>
      <c r="B35" s="132">
        <v>175</v>
      </c>
      <c r="C35" s="118" t="s">
        <v>40</v>
      </c>
      <c r="D35" s="94" t="s">
        <v>40</v>
      </c>
      <c r="E35" s="94" t="s">
        <v>40</v>
      </c>
      <c r="F35" s="94" t="s">
        <v>40</v>
      </c>
      <c r="G35" s="94" t="s">
        <v>40</v>
      </c>
      <c r="H35" s="94" t="s">
        <v>40</v>
      </c>
      <c r="I35" s="140">
        <f>IF($B35&gt;1,$A35+I$2,I$2)</f>
        <v>7</v>
      </c>
      <c r="J35" s="103">
        <f>$B35/($I35*I$2)*20</f>
        <v>500</v>
      </c>
      <c r="K35" s="141">
        <f t="shared" si="2"/>
        <v>750</v>
      </c>
      <c r="L35" s="142">
        <f t="shared" si="3"/>
        <v>1750</v>
      </c>
      <c r="M35" s="140">
        <f t="shared" si="24"/>
        <v>8</v>
      </c>
      <c r="N35" s="103">
        <f t="shared" si="5"/>
        <v>1000</v>
      </c>
      <c r="O35" s="141">
        <f t="shared" si="6"/>
        <v>1500</v>
      </c>
      <c r="P35" s="142">
        <f t="shared" si="7"/>
        <v>4000</v>
      </c>
      <c r="Q35" s="140">
        <f t="shared" si="8"/>
        <v>9</v>
      </c>
      <c r="R35" s="103">
        <f t="shared" si="9"/>
        <v>1500</v>
      </c>
      <c r="S35" s="141">
        <f t="shared" si="10"/>
        <v>2250</v>
      </c>
      <c r="T35" s="142">
        <f t="shared" si="11"/>
        <v>6750</v>
      </c>
      <c r="U35" s="140">
        <f t="shared" si="12"/>
        <v>10</v>
      </c>
      <c r="V35" s="103">
        <f t="shared" si="13"/>
        <v>2000</v>
      </c>
      <c r="W35" s="141">
        <f t="shared" si="14"/>
        <v>3000</v>
      </c>
      <c r="X35" s="143">
        <f t="shared" si="15"/>
        <v>10000</v>
      </c>
      <c r="Y35" s="140">
        <f t="shared" si="16"/>
        <v>11</v>
      </c>
      <c r="Z35" s="103">
        <f t="shared" si="17"/>
        <v>2500</v>
      </c>
      <c r="AA35" s="141">
        <f t="shared" si="18"/>
        <v>3750</v>
      </c>
      <c r="AB35" s="143">
        <f t="shared" si="19"/>
        <v>13750</v>
      </c>
      <c r="AC35" s="140">
        <f t="shared" si="20"/>
        <v>12</v>
      </c>
      <c r="AD35" s="103">
        <f t="shared" si="21"/>
        <v>3000</v>
      </c>
      <c r="AE35" s="141">
        <f>IF(INT($J35/100)=$J35/100,(($J35/100)+10)*50,IF(INT($J35/10)=$J35/10,(($J35/10)+1)*5,ROUNDUP($J35/10,0)*5))*AC$2</f>
        <v>4500</v>
      </c>
      <c r="AF35" s="144">
        <f t="shared" si="23"/>
        <v>18000</v>
      </c>
      <c r="AG35" s="94"/>
      <c r="AH35" s="94"/>
      <c r="AI35" s="94"/>
      <c r="AJ35" s="94" t="s">
        <v>535</v>
      </c>
      <c r="AK35" s="94"/>
      <c r="AL35" s="111"/>
      <c r="AM35" s="145" cm="1">
        <f t="array" ref="AM35">IF(AG35="Oui",($A35/$B35)/(SUMPRODUCT((AG$4:AG$35="Oui")*($A$4:$A$35/$B$4:$B$35))),0)</f>
        <v>0</v>
      </c>
      <c r="AN35" s="145" cm="1">
        <f t="array" ref="AN35">IF(AH35="Oui",($A35/$B35)/(SUMPRODUCT((AH$4:AH$35="Oui")*($A$4:$A$35/$B$4:$B$35))),0)</f>
        <v>0</v>
      </c>
      <c r="AO35" s="145" cm="1">
        <f t="array" ref="AO35">IF(AI35="Oui",($A35/$B35)/(SUMPRODUCT((AI$4:AI$35="Oui")*($A$4:$A$35/$B$4:$B$35))),0)</f>
        <v>0</v>
      </c>
      <c r="AP35" s="145" cm="1">
        <f t="array" ref="AP35">IF(AJ35="Oui",($A35/$B35)/(SUMPRODUCT((AJ$4:AJ$35="Oui")*($A$4:$A$35/$B$4:$B$35))),0)</f>
        <v>9.9749826157153956E-3</v>
      </c>
      <c r="AQ35" s="145" cm="1">
        <f t="array" ref="AQ35">IF(AK35="Oui",($A35/$B35)/(SUMPRODUCT((AK$4:AK$35="Oui")*($A$4:$A$35/$B$4:$B$35))),0)</f>
        <v>0</v>
      </c>
      <c r="AR35" s="145" cm="1">
        <f t="array" ref="AR35">IF(AL35="Oui",($A35/$B35)/(SUMPRODUCT((AL$4:AL$35="Oui")*($A$4:$A$35/$B$4:$B$35))),0)</f>
        <v>0</v>
      </c>
    </row>
    <row r="36" spans="1:44">
      <c r="A36" s="3" t="s">
        <v>554</v>
      </c>
      <c r="B36" s="3" t="s">
        <v>554</v>
      </c>
      <c r="C36" s="3" t="s">
        <v>555</v>
      </c>
      <c r="D36" s="3"/>
      <c r="E36" s="3"/>
      <c r="F36" s="3"/>
      <c r="G36" s="3"/>
      <c r="H36" s="3"/>
      <c r="I36" s="3">
        <v>0</v>
      </c>
      <c r="J36" s="3">
        <f>100000*I2</f>
        <v>100000</v>
      </c>
      <c r="K36" s="3">
        <f>500*I2</f>
        <v>500</v>
      </c>
      <c r="L36" s="3">
        <f>1500*I2</f>
        <v>1500</v>
      </c>
      <c r="M36" s="3">
        <v>0</v>
      </c>
      <c r="N36" s="3">
        <v>100000</v>
      </c>
      <c r="O36" s="3">
        <f>500*M2</f>
        <v>1000</v>
      </c>
      <c r="P36" s="3">
        <f>1500*M2</f>
        <v>3000</v>
      </c>
      <c r="Q36" s="3">
        <v>0</v>
      </c>
      <c r="R36" s="3">
        <v>100000</v>
      </c>
      <c r="S36" s="3">
        <f>500*Q2</f>
        <v>1500</v>
      </c>
      <c r="T36" s="3">
        <f>1500*Q2</f>
        <v>4500</v>
      </c>
      <c r="U36" s="3">
        <v>0</v>
      </c>
      <c r="V36" s="3">
        <v>100000</v>
      </c>
      <c r="W36" s="3">
        <f>500*U2</f>
        <v>2000</v>
      </c>
      <c r="X36" s="3">
        <f>1500*U2</f>
        <v>6000</v>
      </c>
      <c r="Y36" s="3">
        <v>0</v>
      </c>
      <c r="Z36" s="3">
        <v>100000</v>
      </c>
      <c r="AA36" s="3">
        <f>500*Y2</f>
        <v>2500</v>
      </c>
      <c r="AB36" s="3">
        <f>1500*Y2</f>
        <v>7500</v>
      </c>
      <c r="AC36" s="3">
        <v>0</v>
      </c>
      <c r="AD36" s="3">
        <v>100000</v>
      </c>
      <c r="AE36" s="3">
        <f>500*AC2</f>
        <v>3000</v>
      </c>
      <c r="AF36" s="3">
        <f>1500*AC2</f>
        <v>9000</v>
      </c>
      <c r="AG36" s="3"/>
      <c r="AH36" s="3"/>
      <c r="AI36" s="3"/>
      <c r="AJ36" s="3"/>
      <c r="AK36" s="3"/>
      <c r="AL36" s="3"/>
      <c r="AM36" s="3">
        <v>1E-4</v>
      </c>
      <c r="AN36" s="3">
        <v>1E-4</v>
      </c>
      <c r="AO36" s="3">
        <v>1E-4</v>
      </c>
      <c r="AP36" s="3">
        <v>1E-4</v>
      </c>
      <c r="AQ36" s="3">
        <v>1E-4</v>
      </c>
      <c r="AR36" s="3">
        <v>1E-4</v>
      </c>
    </row>
  </sheetData>
  <mergeCells count="9">
    <mergeCell ref="AG2:AL2"/>
    <mergeCell ref="AM2:AR2"/>
    <mergeCell ref="I1:AE1"/>
    <mergeCell ref="I2:L2"/>
    <mergeCell ref="M2:P2"/>
    <mergeCell ref="Q2:T2"/>
    <mergeCell ref="U2:X2"/>
    <mergeCell ref="Y2:AB2"/>
    <mergeCell ref="AC2:AF2"/>
  </mergeCells>
  <conditionalFormatting sqref="A4:A35">
    <cfRule type="cellIs" dxfId="13" priority="2" stopIfTrue="1" operator="equal">
      <formula>1</formula>
    </cfRule>
    <cfRule type="cellIs" dxfId="12" priority="3" stopIfTrue="1" operator="equal">
      <formula>2</formula>
    </cfRule>
    <cfRule type="cellIs" dxfId="11" priority="4" stopIfTrue="1" operator="equal">
      <formula>3</formula>
    </cfRule>
    <cfRule type="cellIs" dxfId="10" priority="5" stopIfTrue="1" operator="equal">
      <formula>4</formula>
    </cfRule>
    <cfRule type="cellIs" dxfId="9" priority="6" stopIfTrue="1" operator="equal">
      <formula>5</formula>
    </cfRule>
    <cfRule type="cellIs" dxfId="8" priority="7" stopIfTrue="1" operator="equal">
      <formula>6</formula>
    </cfRule>
  </conditionalFormatting>
  <conditionalFormatting sqref="AM4:AR35">
    <cfRule type="cellIs" dxfId="7" priority="1" operator="equal">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25DB-0DCC-4737-A7DF-4E33D8880636}">
  <dimension ref="A2:J38"/>
  <sheetViews>
    <sheetView topLeftCell="A2" workbookViewId="0">
      <selection activeCell="B16" sqref="B16"/>
    </sheetView>
  </sheetViews>
  <sheetFormatPr baseColWidth="10" defaultColWidth="8.7265625" defaultRowHeight="14.5"/>
  <cols>
    <col min="1" max="1" width="23.1796875" customWidth="1"/>
    <col min="2" max="2" width="82.453125" customWidth="1"/>
    <col min="3" max="3" width="26.453125" customWidth="1"/>
    <col min="6" max="6" width="12.7265625" customWidth="1"/>
    <col min="7" max="7" width="7.453125" bestFit="1" customWidth="1"/>
  </cols>
  <sheetData>
    <row r="2" spans="1:10">
      <c r="B2" s="1"/>
      <c r="C2" s="1"/>
    </row>
    <row r="3" spans="1:10">
      <c r="A3" s="2" t="s">
        <v>37</v>
      </c>
      <c r="B3" s="2" t="s">
        <v>342</v>
      </c>
      <c r="C3" s="26" t="s">
        <v>556</v>
      </c>
      <c r="D3" s="3" t="s">
        <v>22</v>
      </c>
      <c r="E3" s="3" t="s">
        <v>557</v>
      </c>
      <c r="F3" s="3" t="s">
        <v>558</v>
      </c>
      <c r="G3" s="3" t="s">
        <v>559</v>
      </c>
      <c r="H3" s="27" t="s">
        <v>560</v>
      </c>
      <c r="I3" s="27" t="s">
        <v>444</v>
      </c>
      <c r="J3" s="3" t="s">
        <v>561</v>
      </c>
    </row>
    <row r="4" spans="1:10">
      <c r="A4" s="3" t="s">
        <v>562</v>
      </c>
      <c r="B4" s="3" t="s">
        <v>563</v>
      </c>
      <c r="C4" s="27"/>
      <c r="D4" s="3" t="s">
        <v>564</v>
      </c>
      <c r="E4" s="3">
        <v>0</v>
      </c>
      <c r="F4" s="3">
        <v>1</v>
      </c>
      <c r="G4" s="3">
        <v>0</v>
      </c>
      <c r="H4" s="27">
        <v>0</v>
      </c>
      <c r="I4" s="27" t="s">
        <v>167</v>
      </c>
      <c r="J4" s="3">
        <v>30</v>
      </c>
    </row>
    <row r="5" spans="1:10">
      <c r="A5" s="3" t="s">
        <v>419</v>
      </c>
      <c r="B5" s="3"/>
      <c r="C5" s="27"/>
      <c r="D5" s="3" t="s">
        <v>564</v>
      </c>
      <c r="E5" s="3">
        <v>0</v>
      </c>
      <c r="F5" s="3">
        <v>5</v>
      </c>
      <c r="G5" s="3">
        <v>0</v>
      </c>
      <c r="H5" s="27">
        <v>0</v>
      </c>
      <c r="I5" s="27"/>
      <c r="J5" s="3"/>
    </row>
    <row r="6" spans="1:10">
      <c r="A6" s="94" t="s">
        <v>565</v>
      </c>
      <c r="B6" s="94" t="s">
        <v>566</v>
      </c>
      <c r="C6" s="27"/>
      <c r="D6" s="3" t="s">
        <v>564</v>
      </c>
      <c r="E6" s="3">
        <v>0</v>
      </c>
      <c r="F6" s="3">
        <v>1</v>
      </c>
      <c r="G6" s="3">
        <v>0</v>
      </c>
      <c r="H6" s="27">
        <v>0</v>
      </c>
      <c r="I6" s="27" t="s">
        <v>353</v>
      </c>
      <c r="J6" s="3">
        <v>30</v>
      </c>
    </row>
    <row r="7" spans="1:10">
      <c r="A7" s="3" t="s">
        <v>440</v>
      </c>
      <c r="B7" s="3" t="s">
        <v>567</v>
      </c>
      <c r="C7" s="151"/>
      <c r="D7" s="3" t="s">
        <v>564</v>
      </c>
      <c r="E7" s="3">
        <v>0</v>
      </c>
      <c r="F7" s="3">
        <v>1</v>
      </c>
      <c r="G7" s="3">
        <v>0</v>
      </c>
      <c r="H7" s="27">
        <v>0</v>
      </c>
      <c r="I7" s="27"/>
      <c r="J7" s="3"/>
    </row>
    <row r="8" spans="1:10">
      <c r="A8" s="61" t="s">
        <v>424</v>
      </c>
      <c r="B8" s="61"/>
      <c r="C8" s="27"/>
      <c r="D8" s="3" t="s">
        <v>568</v>
      </c>
      <c r="E8" s="3">
        <v>3</v>
      </c>
      <c r="F8" s="3">
        <v>1</v>
      </c>
      <c r="G8" s="3">
        <v>0</v>
      </c>
      <c r="H8" s="27">
        <v>0</v>
      </c>
      <c r="I8" s="27"/>
      <c r="J8" s="3"/>
    </row>
    <row r="9" spans="1:10">
      <c r="A9" s="148" t="s">
        <v>19</v>
      </c>
      <c r="B9" s="148"/>
      <c r="C9" s="28"/>
      <c r="D9" s="3" t="s">
        <v>568</v>
      </c>
      <c r="E9" s="3">
        <v>0</v>
      </c>
      <c r="F9" s="3"/>
      <c r="G9" s="3">
        <v>0</v>
      </c>
      <c r="H9" s="27">
        <v>0</v>
      </c>
      <c r="I9" s="27"/>
      <c r="J9" s="3"/>
    </row>
    <row r="10" spans="1:10">
      <c r="A10" s="149" t="s">
        <v>248</v>
      </c>
      <c r="B10" s="149"/>
      <c r="C10" s="28"/>
      <c r="D10" s="3" t="s">
        <v>568</v>
      </c>
      <c r="E10" s="3">
        <v>0</v>
      </c>
      <c r="F10" s="3"/>
      <c r="G10" s="3">
        <v>0</v>
      </c>
      <c r="H10" s="27">
        <v>0</v>
      </c>
      <c r="I10" s="27"/>
      <c r="J10" s="3"/>
    </row>
    <row r="11" spans="1:10">
      <c r="A11" s="148" t="s">
        <v>569</v>
      </c>
      <c r="B11" s="148"/>
      <c r="C11" s="28"/>
      <c r="D11" s="3" t="s">
        <v>568</v>
      </c>
      <c r="E11" s="3">
        <v>0</v>
      </c>
      <c r="F11" s="3"/>
      <c r="G11" s="3">
        <v>0</v>
      </c>
      <c r="H11" s="27">
        <v>0</v>
      </c>
      <c r="I11" s="27"/>
      <c r="J11" s="3"/>
    </row>
    <row r="12" spans="1:10">
      <c r="A12" s="148" t="s">
        <v>266</v>
      </c>
      <c r="B12" s="148"/>
      <c r="C12" s="28"/>
      <c r="D12" s="3" t="s">
        <v>568</v>
      </c>
      <c r="E12" s="3">
        <v>0</v>
      </c>
      <c r="F12" s="3"/>
      <c r="G12" s="3">
        <v>0</v>
      </c>
      <c r="H12" s="27">
        <v>0</v>
      </c>
      <c r="I12" s="27"/>
      <c r="J12" s="3"/>
    </row>
    <row r="13" spans="1:10">
      <c r="A13" s="148" t="s">
        <v>172</v>
      </c>
      <c r="B13" s="148"/>
      <c r="C13" s="28"/>
      <c r="D13" s="3" t="s">
        <v>568</v>
      </c>
      <c r="E13" s="3">
        <v>0</v>
      </c>
      <c r="F13" s="3"/>
      <c r="G13" s="3">
        <v>0</v>
      </c>
      <c r="H13" s="27">
        <v>0</v>
      </c>
      <c r="I13" s="27"/>
      <c r="J13" s="3"/>
    </row>
    <row r="14" spans="1:10">
      <c r="A14" s="148" t="s">
        <v>311</v>
      </c>
      <c r="B14" s="148"/>
      <c r="D14" s="3" t="s">
        <v>568</v>
      </c>
      <c r="E14" s="3">
        <v>0</v>
      </c>
      <c r="F14" s="3"/>
      <c r="G14" s="3">
        <v>0</v>
      </c>
      <c r="H14" s="27">
        <v>0</v>
      </c>
      <c r="I14" s="27"/>
      <c r="J14" s="3"/>
    </row>
    <row r="15" spans="1:10">
      <c r="A15" s="150" t="s">
        <v>486</v>
      </c>
      <c r="B15" s="150"/>
      <c r="C15" s="27"/>
      <c r="D15" s="3" t="s">
        <v>568</v>
      </c>
      <c r="E15" s="3">
        <v>0</v>
      </c>
      <c r="F15" s="3"/>
      <c r="G15" s="3">
        <v>0</v>
      </c>
      <c r="H15" s="27">
        <v>0</v>
      </c>
      <c r="I15" s="27"/>
      <c r="J15" s="3"/>
    </row>
    <row r="16" spans="1:10">
      <c r="A16" s="17" t="s">
        <v>570</v>
      </c>
      <c r="B16" s="17" t="s">
        <v>571</v>
      </c>
      <c r="C16" s="28" t="s">
        <v>572</v>
      </c>
      <c r="D16" s="3" t="s">
        <v>564</v>
      </c>
      <c r="E16" s="3">
        <v>0</v>
      </c>
      <c r="F16" s="3"/>
      <c r="G16" s="3">
        <v>0</v>
      </c>
      <c r="H16" s="27">
        <v>2</v>
      </c>
      <c r="I16" s="27"/>
      <c r="J16" s="3"/>
    </row>
    <row r="17" spans="1:10">
      <c r="A17" s="3" t="s">
        <v>283</v>
      </c>
      <c r="B17" s="3" t="s">
        <v>573</v>
      </c>
      <c r="C17" s="27"/>
      <c r="D17" s="3" t="s">
        <v>564</v>
      </c>
      <c r="E17" s="3">
        <v>0</v>
      </c>
      <c r="F17" s="3"/>
      <c r="G17" s="3">
        <v>0</v>
      </c>
      <c r="H17" s="27">
        <v>0</v>
      </c>
      <c r="I17" s="27" t="s">
        <v>283</v>
      </c>
      <c r="J17" s="3">
        <v>20</v>
      </c>
    </row>
    <row r="18" spans="1:10">
      <c r="A18" s="150" t="s">
        <v>17</v>
      </c>
      <c r="B18" s="150"/>
      <c r="C18" s="27"/>
      <c r="D18" s="3" t="s">
        <v>568</v>
      </c>
      <c r="E18" s="3">
        <v>0</v>
      </c>
      <c r="F18" s="3"/>
      <c r="G18" s="3">
        <v>0</v>
      </c>
      <c r="H18" s="27">
        <v>0</v>
      </c>
      <c r="I18" s="27"/>
      <c r="J18" s="3"/>
    </row>
    <row r="19" spans="1:10">
      <c r="A19" t="s">
        <v>442</v>
      </c>
      <c r="B19" t="s">
        <v>574</v>
      </c>
      <c r="C19" s="27" t="s">
        <v>575</v>
      </c>
      <c r="D19" s="3" t="s">
        <v>564</v>
      </c>
      <c r="E19" s="3">
        <v>0</v>
      </c>
      <c r="F19" s="3">
        <v>2</v>
      </c>
      <c r="G19" s="3">
        <v>0</v>
      </c>
      <c r="H19" s="27">
        <v>2</v>
      </c>
      <c r="I19" s="27"/>
      <c r="J19" s="3"/>
    </row>
    <row r="20" spans="1:10">
      <c r="A20" s="17" t="s">
        <v>425</v>
      </c>
      <c r="B20" s="17"/>
      <c r="C20" s="27" t="s">
        <v>576</v>
      </c>
      <c r="D20" s="3" t="s">
        <v>564</v>
      </c>
      <c r="E20" s="3">
        <v>0</v>
      </c>
      <c r="F20" s="3">
        <v>1</v>
      </c>
      <c r="G20" s="3">
        <v>0</v>
      </c>
      <c r="H20" s="27">
        <v>0</v>
      </c>
      <c r="I20" s="27"/>
      <c r="J20" s="3"/>
    </row>
    <row r="21" spans="1:10">
      <c r="A21" s="150" t="s">
        <v>255</v>
      </c>
      <c r="B21" s="150"/>
      <c r="C21" s="27"/>
      <c r="D21" s="3" t="s">
        <v>568</v>
      </c>
      <c r="E21" s="3">
        <v>0</v>
      </c>
      <c r="F21" s="3"/>
      <c r="G21" s="3">
        <v>0</v>
      </c>
      <c r="H21" s="27">
        <v>0</v>
      </c>
      <c r="I21" s="27"/>
      <c r="J21" s="3"/>
    </row>
    <row r="22" spans="1:10" ht="29">
      <c r="A22" s="3" t="s">
        <v>426</v>
      </c>
      <c r="B22" s="17" t="s">
        <v>577</v>
      </c>
      <c r="C22" s="27"/>
      <c r="D22" s="3" t="s">
        <v>568</v>
      </c>
      <c r="E22" s="3">
        <v>5</v>
      </c>
      <c r="F22" s="3"/>
      <c r="G22" s="3">
        <v>0</v>
      </c>
      <c r="H22" s="27">
        <v>1</v>
      </c>
      <c r="I22" s="27"/>
      <c r="J22" s="3"/>
    </row>
    <row r="23" spans="1:10" ht="29">
      <c r="A23" s="17" t="s">
        <v>428</v>
      </c>
      <c r="B23" s="17" t="s">
        <v>578</v>
      </c>
      <c r="C23" s="27" t="s">
        <v>579</v>
      </c>
      <c r="D23" s="3" t="s">
        <v>568</v>
      </c>
      <c r="E23" s="3">
        <v>0</v>
      </c>
      <c r="F23" s="3"/>
      <c r="G23" s="3">
        <v>1</v>
      </c>
      <c r="H23" s="27">
        <v>0</v>
      </c>
      <c r="I23" s="27"/>
      <c r="J23" s="3"/>
    </row>
    <row r="24" spans="1:10" ht="29">
      <c r="A24" s="17" t="s">
        <v>430</v>
      </c>
      <c r="B24" s="17" t="s">
        <v>580</v>
      </c>
      <c r="C24" s="27" t="s">
        <v>581</v>
      </c>
      <c r="D24" s="3" t="s">
        <v>568</v>
      </c>
      <c r="E24" s="3">
        <v>0</v>
      </c>
      <c r="F24" s="3"/>
      <c r="G24" s="3">
        <v>1</v>
      </c>
      <c r="H24" s="27">
        <v>0</v>
      </c>
      <c r="I24" s="27"/>
      <c r="J24" s="3"/>
    </row>
    <row r="25" spans="1:10">
      <c r="A25" s="148" t="s">
        <v>582</v>
      </c>
      <c r="B25" s="148"/>
      <c r="C25" s="3" t="s">
        <v>583</v>
      </c>
      <c r="D25" s="3" t="s">
        <v>568</v>
      </c>
      <c r="E25" s="3">
        <v>0</v>
      </c>
      <c r="F25" s="3"/>
      <c r="G25" s="3">
        <v>0</v>
      </c>
      <c r="H25" s="27">
        <v>0</v>
      </c>
      <c r="I25" s="27"/>
      <c r="J25" s="3"/>
    </row>
    <row r="26" spans="1:10">
      <c r="A26" s="150" t="s">
        <v>506</v>
      </c>
      <c r="B26" s="150"/>
      <c r="C26" s="27"/>
      <c r="D26" s="3" t="s">
        <v>568</v>
      </c>
      <c r="E26" s="3">
        <v>0</v>
      </c>
      <c r="F26" s="3"/>
      <c r="G26" s="3">
        <v>0</v>
      </c>
      <c r="H26" s="27">
        <v>0</v>
      </c>
      <c r="I26" s="27"/>
      <c r="J26" s="3"/>
    </row>
    <row r="27" spans="1:10">
      <c r="A27" s="17" t="s">
        <v>584</v>
      </c>
      <c r="B27" s="17"/>
      <c r="C27" s="27"/>
      <c r="D27" s="3" t="s">
        <v>564</v>
      </c>
      <c r="E27" s="3">
        <v>0</v>
      </c>
      <c r="F27" s="3">
        <v>3</v>
      </c>
      <c r="G27" s="3">
        <v>0</v>
      </c>
      <c r="H27" s="27">
        <v>0</v>
      </c>
      <c r="I27" s="27"/>
      <c r="J27" s="3"/>
    </row>
    <row r="28" spans="1:10">
      <c r="A28" s="3" t="s">
        <v>270</v>
      </c>
      <c r="B28" s="3"/>
      <c r="C28" s="27"/>
      <c r="D28" s="3" t="s">
        <v>564</v>
      </c>
      <c r="E28" s="3">
        <v>0</v>
      </c>
      <c r="F28" s="3"/>
      <c r="G28" s="3">
        <v>0</v>
      </c>
      <c r="H28" s="27">
        <v>0</v>
      </c>
      <c r="I28" s="27"/>
      <c r="J28" s="3"/>
    </row>
    <row r="29" spans="1:10">
      <c r="A29" s="150" t="s">
        <v>260</v>
      </c>
      <c r="B29" s="150"/>
      <c r="C29" s="27"/>
      <c r="D29" s="3" t="s">
        <v>568</v>
      </c>
      <c r="E29" s="3">
        <v>0</v>
      </c>
      <c r="F29" s="3"/>
      <c r="G29" s="3">
        <v>0</v>
      </c>
      <c r="H29" s="27">
        <v>0</v>
      </c>
      <c r="I29" s="27"/>
      <c r="J29" s="3"/>
    </row>
    <row r="30" spans="1:10">
      <c r="A30" s="148" t="s">
        <v>265</v>
      </c>
      <c r="B30" s="148"/>
      <c r="C30" s="27"/>
      <c r="D30" s="3" t="s">
        <v>568</v>
      </c>
      <c r="E30" s="3">
        <v>0</v>
      </c>
      <c r="F30" s="3"/>
      <c r="G30" s="3">
        <v>0</v>
      </c>
      <c r="H30" s="27">
        <v>0</v>
      </c>
      <c r="I30" s="27"/>
      <c r="J30" s="3"/>
    </row>
    <row r="31" spans="1:10">
      <c r="A31" s="3" t="s">
        <v>435</v>
      </c>
      <c r="B31" s="3"/>
      <c r="C31" s="27"/>
      <c r="D31" s="3" t="s">
        <v>564</v>
      </c>
      <c r="E31" s="3">
        <v>0</v>
      </c>
      <c r="F31" s="3">
        <v>1</v>
      </c>
      <c r="G31" s="3">
        <v>0</v>
      </c>
      <c r="H31" s="27">
        <v>0</v>
      </c>
      <c r="I31" s="27"/>
      <c r="J31" s="3"/>
    </row>
    <row r="32" spans="1:10">
      <c r="A32" s="17" t="s">
        <v>436</v>
      </c>
      <c r="B32" s="17" t="s">
        <v>437</v>
      </c>
      <c r="C32" s="27"/>
      <c r="D32" s="3" t="s">
        <v>564</v>
      </c>
      <c r="E32" s="3">
        <v>0</v>
      </c>
      <c r="F32" s="3">
        <v>1</v>
      </c>
      <c r="G32" s="3">
        <v>0</v>
      </c>
      <c r="H32" s="27">
        <v>0</v>
      </c>
      <c r="I32" s="27" t="s">
        <v>167</v>
      </c>
      <c r="J32" s="3">
        <v>30</v>
      </c>
    </row>
    <row r="33" spans="1:10">
      <c r="A33" s="150" t="s">
        <v>18</v>
      </c>
      <c r="B33" s="150"/>
      <c r="C33" s="27"/>
      <c r="D33" s="3" t="s">
        <v>568</v>
      </c>
      <c r="E33" s="3">
        <v>0</v>
      </c>
      <c r="F33" s="3"/>
      <c r="G33" s="3">
        <v>0</v>
      </c>
      <c r="H33" s="27">
        <v>0</v>
      </c>
      <c r="I33" s="27"/>
      <c r="J33" s="3"/>
    </row>
    <row r="34" spans="1:10">
      <c r="A34" s="150" t="s">
        <v>258</v>
      </c>
      <c r="B34" s="150"/>
      <c r="C34" s="27"/>
      <c r="D34" s="3" t="s">
        <v>568</v>
      </c>
      <c r="E34" s="3">
        <v>0</v>
      </c>
      <c r="F34" s="3"/>
      <c r="G34" s="3">
        <v>0</v>
      </c>
      <c r="H34" s="27">
        <v>0</v>
      </c>
      <c r="I34" s="27"/>
      <c r="J34" s="3"/>
    </row>
    <row r="35" spans="1:10">
      <c r="A35" s="3" t="s">
        <v>438</v>
      </c>
      <c r="B35" s="3" t="s">
        <v>585</v>
      </c>
      <c r="C35" s="27"/>
      <c r="D35" s="3" t="s">
        <v>564</v>
      </c>
      <c r="E35" s="3">
        <v>0</v>
      </c>
      <c r="F35" s="3">
        <v>2</v>
      </c>
      <c r="G35" s="3">
        <v>0</v>
      </c>
      <c r="H35" s="27">
        <v>0</v>
      </c>
      <c r="I35" s="27" t="s">
        <v>353</v>
      </c>
      <c r="J35" s="3">
        <v>50</v>
      </c>
    </row>
    <row r="36" spans="1:10">
      <c r="A36" t="s">
        <v>422</v>
      </c>
      <c r="B36" t="s">
        <v>586</v>
      </c>
      <c r="C36" s="111"/>
      <c r="D36" s="3" t="s">
        <v>564</v>
      </c>
      <c r="E36" s="3">
        <v>0</v>
      </c>
      <c r="F36" s="3"/>
      <c r="G36" s="3">
        <v>0</v>
      </c>
      <c r="H36" s="27">
        <v>0</v>
      </c>
      <c r="I36" s="27"/>
      <c r="J36" s="3"/>
    </row>
    <row r="37" spans="1:10">
      <c r="A37" s="3" t="s">
        <v>432</v>
      </c>
      <c r="B37" s="3" t="s">
        <v>587</v>
      </c>
      <c r="C37" s="3" t="s">
        <v>588</v>
      </c>
      <c r="D37" s="74" t="s">
        <v>568</v>
      </c>
      <c r="E37" s="3">
        <v>5</v>
      </c>
      <c r="F37" s="3"/>
      <c r="G37" s="3">
        <v>0</v>
      </c>
      <c r="H37" s="27">
        <v>0</v>
      </c>
      <c r="I37" s="27"/>
      <c r="J37" s="3"/>
    </row>
    <row r="38" spans="1:10" ht="29">
      <c r="A38" s="3" t="s">
        <v>589</v>
      </c>
      <c r="B38" s="3" t="s">
        <v>590</v>
      </c>
      <c r="C38" s="17" t="s">
        <v>591</v>
      </c>
      <c r="D38" s="74" t="s">
        <v>564</v>
      </c>
      <c r="E38" s="3">
        <v>0</v>
      </c>
      <c r="F38" s="3">
        <v>1</v>
      </c>
      <c r="G38" s="3">
        <v>0</v>
      </c>
      <c r="H38" s="27">
        <v>0</v>
      </c>
      <c r="I38" s="27"/>
      <c r="J38"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4827-6704-424E-A26F-E3189E46C6CF}">
  <dimension ref="A1:AS36"/>
  <sheetViews>
    <sheetView topLeftCell="G24" workbookViewId="0">
      <selection activeCell="O35" sqref="O35"/>
    </sheetView>
  </sheetViews>
  <sheetFormatPr baseColWidth="10" defaultColWidth="8.7265625" defaultRowHeight="14.5"/>
  <cols>
    <col min="3" max="3" width="20.1796875" bestFit="1" customWidth="1"/>
    <col min="4" max="4" width="20.1796875" customWidth="1"/>
    <col min="5" max="6" width="15.7265625" customWidth="1"/>
    <col min="7" max="7" width="13.81640625" customWidth="1"/>
    <col min="8" max="8" width="56" customWidth="1"/>
    <col min="9" max="9" width="25" customWidth="1"/>
    <col min="10" max="10" width="4.7265625" customWidth="1"/>
    <col min="11" max="12" width="4.453125" customWidth="1"/>
    <col min="13" max="15" width="4.54296875" customWidth="1"/>
    <col min="16" max="21" width="6.54296875" bestFit="1" customWidth="1"/>
    <col min="22" max="22" width="4.7265625" customWidth="1"/>
    <col min="23" max="25" width="6.54296875" bestFit="1" customWidth="1"/>
    <col min="26" max="27" width="7.7265625" bestFit="1" customWidth="1"/>
    <col min="28" max="28" width="4.7265625" customWidth="1"/>
    <col min="29" max="29" width="5.453125" customWidth="1"/>
    <col min="30" max="30" width="6.54296875" bestFit="1" customWidth="1"/>
    <col min="31" max="33" width="6.1796875" customWidth="1"/>
    <col min="34" max="38" width="0" hidden="1" customWidth="1"/>
    <col min="39" max="39" width="10.7265625" hidden="1" customWidth="1"/>
    <col min="40" max="40" width="9.54296875" customWidth="1"/>
    <col min="45" max="45" width="11" customWidth="1"/>
  </cols>
  <sheetData>
    <row r="1" spans="1:45">
      <c r="J1" s="164" t="s">
        <v>592</v>
      </c>
      <c r="K1" s="164"/>
      <c r="L1" s="164"/>
      <c r="M1" s="164"/>
      <c r="N1" s="164"/>
      <c r="O1" s="164"/>
      <c r="P1" s="164"/>
      <c r="Q1" s="164"/>
      <c r="R1" s="164"/>
      <c r="S1" s="164"/>
      <c r="T1" s="164"/>
      <c r="U1" s="164"/>
      <c r="V1" s="164"/>
      <c r="W1" s="164"/>
      <c r="X1" s="164"/>
      <c r="Y1" s="164"/>
      <c r="Z1" s="164"/>
      <c r="AA1" s="164"/>
      <c r="AB1" s="164"/>
      <c r="AC1" s="164"/>
      <c r="AD1" s="164"/>
      <c r="AE1" s="164"/>
      <c r="AF1" s="164"/>
      <c r="AG1" s="164"/>
    </row>
    <row r="2" spans="1:45">
      <c r="A2" s="1" t="s">
        <v>34</v>
      </c>
      <c r="E2" s="1"/>
      <c r="F2" s="1"/>
      <c r="G2" s="1"/>
      <c r="H2" s="1"/>
      <c r="I2" s="1"/>
      <c r="J2" s="172" t="s">
        <v>464</v>
      </c>
      <c r="K2" s="173"/>
      <c r="L2" s="173"/>
      <c r="M2" s="173"/>
      <c r="N2" s="173"/>
      <c r="O2" s="174"/>
      <c r="P2" s="175" t="s">
        <v>16</v>
      </c>
      <c r="Q2" s="176"/>
      <c r="R2" s="176"/>
      <c r="S2" s="176"/>
      <c r="T2" s="176"/>
      <c r="U2" s="177"/>
      <c r="V2" s="178" t="s">
        <v>36</v>
      </c>
      <c r="W2" s="179"/>
      <c r="X2" s="179"/>
      <c r="Y2" s="179"/>
      <c r="Z2" s="179"/>
      <c r="AA2" s="180"/>
      <c r="AB2" s="181" t="s">
        <v>38</v>
      </c>
      <c r="AC2" s="182"/>
      <c r="AD2" s="182"/>
      <c r="AE2" s="182"/>
      <c r="AF2" s="182"/>
      <c r="AG2" s="183"/>
      <c r="AH2" s="164" t="s">
        <v>524</v>
      </c>
      <c r="AI2" s="164"/>
      <c r="AJ2" s="164"/>
      <c r="AK2" s="164"/>
      <c r="AL2" s="164"/>
      <c r="AM2" s="164"/>
      <c r="AN2" s="166" t="s">
        <v>525</v>
      </c>
      <c r="AO2" s="166"/>
      <c r="AP2" s="166"/>
      <c r="AQ2" s="166"/>
      <c r="AR2" s="166"/>
      <c r="AS2" s="166"/>
    </row>
    <row r="3" spans="1:45">
      <c r="A3" s="2" t="s">
        <v>460</v>
      </c>
      <c r="B3" s="2" t="s">
        <v>461</v>
      </c>
      <c r="C3" s="2" t="s">
        <v>50</v>
      </c>
      <c r="D3" s="2" t="s">
        <v>593</v>
      </c>
      <c r="E3" s="2" t="s">
        <v>462</v>
      </c>
      <c r="F3" s="2" t="s">
        <v>526</v>
      </c>
      <c r="G3" s="2" t="s">
        <v>463</v>
      </c>
      <c r="H3" s="2" t="s">
        <v>37</v>
      </c>
      <c r="I3" s="2" t="s">
        <v>342</v>
      </c>
      <c r="J3" s="146">
        <v>1</v>
      </c>
      <c r="K3" s="146">
        <v>2</v>
      </c>
      <c r="L3" s="146">
        <v>3</v>
      </c>
      <c r="M3" s="146">
        <v>4</v>
      </c>
      <c r="N3" s="146">
        <v>5</v>
      </c>
      <c r="O3" s="146">
        <v>6</v>
      </c>
      <c r="P3" s="22">
        <v>1</v>
      </c>
      <c r="Q3" s="22">
        <v>2</v>
      </c>
      <c r="R3" s="22">
        <v>3</v>
      </c>
      <c r="S3" s="22">
        <v>4</v>
      </c>
      <c r="T3" s="22">
        <v>5</v>
      </c>
      <c r="U3" s="22">
        <v>6</v>
      </c>
      <c r="V3" s="20">
        <v>1</v>
      </c>
      <c r="W3" s="20">
        <v>2</v>
      </c>
      <c r="X3" s="20">
        <v>3</v>
      </c>
      <c r="Y3" s="20">
        <v>4</v>
      </c>
      <c r="Z3" s="20">
        <v>5</v>
      </c>
      <c r="AA3" s="20">
        <v>6</v>
      </c>
      <c r="AB3" s="113">
        <v>1</v>
      </c>
      <c r="AC3" s="113">
        <v>2</v>
      </c>
      <c r="AD3" s="113">
        <v>3</v>
      </c>
      <c r="AE3" s="113">
        <v>4</v>
      </c>
      <c r="AF3" s="113">
        <v>5</v>
      </c>
      <c r="AG3" s="113">
        <v>6</v>
      </c>
      <c r="AH3" s="135" t="s">
        <v>527</v>
      </c>
      <c r="AI3" s="135" t="s">
        <v>528</v>
      </c>
      <c r="AJ3" s="135" t="s">
        <v>529</v>
      </c>
      <c r="AK3" s="135" t="s">
        <v>530</v>
      </c>
      <c r="AL3" s="135" t="s">
        <v>531</v>
      </c>
      <c r="AM3" s="135" t="s">
        <v>532</v>
      </c>
      <c r="AN3" s="136" t="s">
        <v>527</v>
      </c>
      <c r="AO3" s="136" t="s">
        <v>528</v>
      </c>
      <c r="AP3" s="136" t="s">
        <v>529</v>
      </c>
      <c r="AQ3" s="136" t="s">
        <v>530</v>
      </c>
      <c r="AR3" s="136" t="s">
        <v>533</v>
      </c>
      <c r="AS3" s="137" t="s">
        <v>532</v>
      </c>
    </row>
    <row r="4" spans="1:45" ht="15.5">
      <c r="A4" s="15">
        <v>1</v>
      </c>
      <c r="B4" s="16">
        <v>1</v>
      </c>
      <c r="C4" s="3" t="s">
        <v>160</v>
      </c>
      <c r="D4" s="3" t="s">
        <v>594</v>
      </c>
      <c r="E4" s="3" t="s">
        <v>245</v>
      </c>
      <c r="F4" s="3"/>
      <c r="G4" s="3"/>
      <c r="H4" s="3" t="s">
        <v>534</v>
      </c>
      <c r="I4" s="3"/>
      <c r="J4" s="47">
        <f>IF($B4&gt;1,$A4+J$3,J$3)</f>
        <v>1</v>
      </c>
      <c r="K4" s="47">
        <f t="shared" ref="K4:O4" si="0">IF($B4&gt;1,$A4+K$3,K$3)</f>
        <v>2</v>
      </c>
      <c r="L4" s="47">
        <f t="shared" si="0"/>
        <v>3</v>
      </c>
      <c r="M4" s="47">
        <f t="shared" si="0"/>
        <v>4</v>
      </c>
      <c r="N4" s="47">
        <f t="shared" si="0"/>
        <v>5</v>
      </c>
      <c r="O4" s="47">
        <f t="shared" si="0"/>
        <v>6</v>
      </c>
      <c r="P4" s="147">
        <f>$B4*20/J4*P$3</f>
        <v>20</v>
      </c>
      <c r="Q4" s="147">
        <f t="shared" ref="Q4:U19" si="1">$B4*20/K4*Q$3</f>
        <v>20</v>
      </c>
      <c r="R4" s="147">
        <f t="shared" si="1"/>
        <v>20</v>
      </c>
      <c r="S4" s="147">
        <f t="shared" si="1"/>
        <v>20</v>
      </c>
      <c r="T4" s="147">
        <f t="shared" si="1"/>
        <v>20</v>
      </c>
      <c r="U4" s="147">
        <f t="shared" si="1"/>
        <v>20</v>
      </c>
      <c r="V4" s="21">
        <f>IF(INT(P4/100)=P4/100,((P4/100)+10)*50,IF(INT(P4/10)=P4/10,((P4/10)+1)*5,ROUNDUP(P4/10,0)*5))*V$3</f>
        <v>15</v>
      </c>
      <c r="W4" s="21">
        <f t="shared" ref="W4:AA4" si="2">IF(INT(Q4/100)=Q4/100,((Q4/100)+10)*50,IF(INT(Q4/10)=Q4/10,((Q4/10)+1)*5,ROUNDUP(Q4/10,0)*5))*W$3</f>
        <v>30</v>
      </c>
      <c r="X4" s="21">
        <f t="shared" si="2"/>
        <v>45</v>
      </c>
      <c r="Y4" s="21">
        <f t="shared" si="2"/>
        <v>60</v>
      </c>
      <c r="Z4" s="21">
        <f t="shared" si="2"/>
        <v>75</v>
      </c>
      <c r="AA4" s="21">
        <f t="shared" si="2"/>
        <v>90</v>
      </c>
      <c r="AB4" s="49">
        <f>V4*J4/3</f>
        <v>5</v>
      </c>
      <c r="AC4" s="49">
        <f t="shared" ref="AC4:AG4" si="3">W4*K4/3</f>
        <v>20</v>
      </c>
      <c r="AD4" s="49">
        <f t="shared" si="3"/>
        <v>45</v>
      </c>
      <c r="AE4" s="49">
        <f t="shared" si="3"/>
        <v>80</v>
      </c>
      <c r="AF4" s="49">
        <f t="shared" si="3"/>
        <v>125</v>
      </c>
      <c r="AG4" s="49">
        <f t="shared" si="3"/>
        <v>180</v>
      </c>
      <c r="AH4" s="3" t="s">
        <v>535</v>
      </c>
      <c r="AI4" s="3"/>
      <c r="AJ4" s="3"/>
      <c r="AK4" s="3"/>
      <c r="AL4" s="3"/>
      <c r="AM4" s="27"/>
      <c r="AN4" s="134" cm="1">
        <f t="array" ref="AN4">IF(AH4="Oui",($A4/$B4)/(SUMPRODUCT((AH$4:AH$35="Oui")*($A$4:$A$35/$B$4:$B$35))),0)</f>
        <v>0.20344287949921755</v>
      </c>
      <c r="AO4" s="134" cm="1">
        <f t="array" ref="AO4">IF(AI4="Oui",($A4/$B4)/(SUMPRODUCT((AI$4:AI$35="Oui")*($A$4:$A$35/$B$4:$B$35))),0)</f>
        <v>0</v>
      </c>
      <c r="AP4" s="134" cm="1">
        <f t="array" ref="AP4">IF(AJ4="Oui",($A4/$B4)/(SUMPRODUCT((AJ$4:AJ$35="Oui")*($A$4:$A$35/$B$4:$B$35))),0)</f>
        <v>0</v>
      </c>
      <c r="AQ4" s="134" cm="1">
        <f t="array" ref="AQ4">IF(AK4="Oui",($A4/$B4)/(SUMPRODUCT((AK$4:AK$35="Oui")*($A$4:$A$35/$B$4:$B$35))),0)</f>
        <v>0</v>
      </c>
      <c r="AR4" s="134" cm="1">
        <f t="array" ref="AR4">IF(AL4="Oui",($A4/$B4)/(SUMPRODUCT((AL$4:AL$35="Oui")*($A$4:$A$35/$B$4:$B$35))),0)</f>
        <v>0</v>
      </c>
      <c r="AS4" s="134" cm="1">
        <f t="array" ref="AS4">IF(AM4="Oui",($A4/$B4)/(SUMPRODUCT((AM$4:AM$35="Oui")*($A$4:$A$35/$B$4:$B$35))),0)</f>
        <v>0</v>
      </c>
    </row>
    <row r="5" spans="1:45" ht="15.5">
      <c r="A5" s="15">
        <v>1</v>
      </c>
      <c r="B5" s="16">
        <v>2</v>
      </c>
      <c r="C5" s="3" t="s">
        <v>465</v>
      </c>
      <c r="D5" s="3" t="s">
        <v>594</v>
      </c>
      <c r="E5" s="3"/>
      <c r="F5" s="3"/>
      <c r="G5" s="3"/>
      <c r="H5" s="3" t="s">
        <v>466</v>
      </c>
      <c r="I5" s="3"/>
      <c r="J5" s="47">
        <f t="shared" ref="J5:O35" si="4">IF($B5&gt;1,$A5+J$3,J$3)</f>
        <v>2</v>
      </c>
      <c r="K5" s="47">
        <f t="shared" si="4"/>
        <v>3</v>
      </c>
      <c r="L5" s="47">
        <f t="shared" si="4"/>
        <v>4</v>
      </c>
      <c r="M5" s="47">
        <f t="shared" si="4"/>
        <v>5</v>
      </c>
      <c r="N5" s="47">
        <f t="shared" si="4"/>
        <v>6</v>
      </c>
      <c r="O5" s="47">
        <f t="shared" si="4"/>
        <v>7</v>
      </c>
      <c r="P5" s="147">
        <f t="shared" ref="P5:P35" si="5">$B5*20/J5*P$3</f>
        <v>20</v>
      </c>
      <c r="Q5" s="147">
        <f t="shared" si="1"/>
        <v>26.666666666666668</v>
      </c>
      <c r="R5" s="147">
        <f t="shared" si="1"/>
        <v>30</v>
      </c>
      <c r="S5" s="147">
        <f t="shared" si="1"/>
        <v>32</v>
      </c>
      <c r="T5" s="147">
        <f t="shared" si="1"/>
        <v>33.333333333333336</v>
      </c>
      <c r="U5" s="147">
        <f t="shared" si="1"/>
        <v>34.285714285714285</v>
      </c>
      <c r="V5" s="21">
        <f t="shared" ref="V5:V36" si="6">IF(INT(P5/100)=P5/100,((P5/100)+10)*50,IF(INT(P5/10)=P5/10,((P5/10)+1)*5,ROUNDUP(P5/10,0)*5))*V$3</f>
        <v>15</v>
      </c>
      <c r="W5" s="21">
        <f t="shared" ref="W5:W36" si="7">IF(INT(Q5/100)=Q5/100,((Q5/100)+10)*50,IF(INT(Q5/10)=Q5/10,((Q5/10)+1)*5,ROUNDUP(Q5/10,0)*5))*W$3</f>
        <v>30</v>
      </c>
      <c r="X5" s="21">
        <f t="shared" ref="X5:X36" si="8">IF(INT(R5/100)=R5/100,((R5/100)+10)*50,IF(INT(R5/10)=R5/10,((R5/10)+1)*5,ROUNDUP(R5/10,0)*5))*X$3</f>
        <v>60</v>
      </c>
      <c r="Y5" s="21">
        <f t="shared" ref="Y5:Y36" si="9">IF(INT(S5/100)=S5/100,((S5/100)+10)*50,IF(INT(S5/10)=S5/10,((S5/10)+1)*5,ROUNDUP(S5/10,0)*5))*Y$3</f>
        <v>80</v>
      </c>
      <c r="Z5" s="21">
        <f t="shared" ref="Z5:Z36" si="10">IF(INT(T5/100)=T5/100,((T5/100)+10)*50,IF(INT(T5/10)=T5/10,((T5/10)+1)*5,ROUNDUP(T5/10,0)*5))*Z$3</f>
        <v>100</v>
      </c>
      <c r="AA5" s="21">
        <f t="shared" ref="AA5:AA36" si="11">IF(INT(U5/100)=U5/100,((U5/100)+10)*50,IF(INT(U5/10)=U5/10,((U5/10)+1)*5,ROUNDUP(U5/10,0)*5))*AA$3</f>
        <v>120</v>
      </c>
      <c r="AB5" s="49">
        <f t="shared" ref="AB5:AB35" si="12">V5*J5/3</f>
        <v>10</v>
      </c>
      <c r="AC5" s="49">
        <f t="shared" ref="AC5:AC35" si="13">W5*K5/3</f>
        <v>30</v>
      </c>
      <c r="AD5" s="49">
        <f t="shared" ref="AD5:AD35" si="14">X5*L5/3</f>
        <v>80</v>
      </c>
      <c r="AE5" s="49">
        <f t="shared" ref="AE5:AE35" si="15">Y5*M5/3</f>
        <v>133.33333333333334</v>
      </c>
      <c r="AF5" s="49">
        <f t="shared" ref="AF5:AF35" si="16">Z5*N5/3</f>
        <v>200</v>
      </c>
      <c r="AG5" s="49">
        <f t="shared" ref="AG5:AG35" si="17">AA5*O5/3</f>
        <v>280</v>
      </c>
      <c r="AH5" s="3" t="s">
        <v>535</v>
      </c>
      <c r="AI5" s="3"/>
      <c r="AJ5" s="3"/>
      <c r="AK5" s="3" t="s">
        <v>535</v>
      </c>
      <c r="AL5" s="3" t="s">
        <v>535</v>
      </c>
      <c r="AM5" s="27"/>
      <c r="AN5" s="134" cm="1">
        <f t="array" ref="AN5">IF(AH5="Oui",($A5/$B5)/(SUMPRODUCT((AH$4:AH$35="Oui")*($A$4:$A$35/$B$4:$B$35))),0)</f>
        <v>0.10172143974960877</v>
      </c>
      <c r="AO5" s="134" cm="1">
        <f t="array" ref="AO5">IF(AI5="Oui",($A5/$B5)/(SUMPRODUCT((AI$4:AI$35="Oui")*($A$4:$A$35/$B$4:$B$35))),0)</f>
        <v>0</v>
      </c>
      <c r="AP5" s="134" cm="1">
        <f t="array" ref="AP5">IF(AJ5="Oui",($A5/$B5)/(SUMPRODUCT((AJ$4:AJ$35="Oui")*($A$4:$A$35/$B$4:$B$35))),0)</f>
        <v>0</v>
      </c>
      <c r="AQ5" s="134" cm="1">
        <f t="array" ref="AQ5">IF(AK5="Oui",($A5/$B5)/(SUMPRODUCT((AK$4:AK$35="Oui")*($A$4:$A$35/$B$4:$B$35))),0)</f>
        <v>0.14546849647918286</v>
      </c>
      <c r="AR5" s="134" cm="1">
        <f t="array" ref="AR5">IF(AL5="Oui",($A5/$B5)/(SUMPRODUCT((AL$4:AL$35="Oui")*($A$4:$A$35/$B$4:$B$35))),0)</f>
        <v>0.13453533564841433</v>
      </c>
      <c r="AS5" s="134" cm="1">
        <f t="array" ref="AS5">IF(AM5="Oui",($A5/$B5)/(SUMPRODUCT((AM$4:AM$35="Oui")*($A$4:$A$35/$B$4:$B$35))),0)</f>
        <v>0</v>
      </c>
    </row>
    <row r="6" spans="1:45" ht="15.5">
      <c r="A6" s="15">
        <v>1</v>
      </c>
      <c r="B6" s="16">
        <v>2</v>
      </c>
      <c r="C6" s="3" t="s">
        <v>467</v>
      </c>
      <c r="D6" s="3" t="s">
        <v>594</v>
      </c>
      <c r="E6" s="3" t="s">
        <v>245</v>
      </c>
      <c r="F6" s="3"/>
      <c r="G6" s="3"/>
      <c r="H6" s="3" t="s">
        <v>536</v>
      </c>
      <c r="I6" s="3"/>
      <c r="J6" s="47">
        <f t="shared" si="4"/>
        <v>2</v>
      </c>
      <c r="K6" s="47">
        <f t="shared" si="4"/>
        <v>3</v>
      </c>
      <c r="L6" s="47">
        <f t="shared" si="4"/>
        <v>4</v>
      </c>
      <c r="M6" s="47">
        <f t="shared" si="4"/>
        <v>5</v>
      </c>
      <c r="N6" s="47">
        <f t="shared" si="4"/>
        <v>6</v>
      </c>
      <c r="O6" s="47">
        <f t="shared" si="4"/>
        <v>7</v>
      </c>
      <c r="P6" s="147">
        <f t="shared" si="5"/>
        <v>20</v>
      </c>
      <c r="Q6" s="147">
        <f t="shared" si="1"/>
        <v>26.666666666666668</v>
      </c>
      <c r="R6" s="147">
        <f t="shared" si="1"/>
        <v>30</v>
      </c>
      <c r="S6" s="147">
        <f t="shared" si="1"/>
        <v>32</v>
      </c>
      <c r="T6" s="147">
        <f t="shared" si="1"/>
        <v>33.333333333333336</v>
      </c>
      <c r="U6" s="147">
        <f t="shared" si="1"/>
        <v>34.285714285714285</v>
      </c>
      <c r="V6" s="21">
        <f t="shared" si="6"/>
        <v>15</v>
      </c>
      <c r="W6" s="21">
        <f t="shared" si="7"/>
        <v>30</v>
      </c>
      <c r="X6" s="21">
        <f t="shared" si="8"/>
        <v>60</v>
      </c>
      <c r="Y6" s="21">
        <f t="shared" si="9"/>
        <v>80</v>
      </c>
      <c r="Z6" s="21">
        <f t="shared" si="10"/>
        <v>100</v>
      </c>
      <c r="AA6" s="21">
        <f t="shared" si="11"/>
        <v>120</v>
      </c>
      <c r="AB6" s="49">
        <f t="shared" si="12"/>
        <v>10</v>
      </c>
      <c r="AC6" s="49">
        <f t="shared" si="13"/>
        <v>30</v>
      </c>
      <c r="AD6" s="49">
        <f t="shared" si="14"/>
        <v>80</v>
      </c>
      <c r="AE6" s="49">
        <f t="shared" si="15"/>
        <v>133.33333333333334</v>
      </c>
      <c r="AF6" s="49">
        <f t="shared" si="16"/>
        <v>200</v>
      </c>
      <c r="AG6" s="49">
        <f t="shared" si="17"/>
        <v>280</v>
      </c>
      <c r="AH6" s="3" t="s">
        <v>535</v>
      </c>
      <c r="AI6" s="3" t="s">
        <v>535</v>
      </c>
      <c r="AJ6" s="3"/>
      <c r="AK6" s="3"/>
      <c r="AL6" s="3"/>
      <c r="AM6" s="27"/>
      <c r="AN6" s="134" cm="1">
        <f t="array" ref="AN6">IF(AH6="Oui",($A6/$B6)/(SUMPRODUCT((AH$4:AH$35="Oui")*($A$4:$A$35/$B$4:$B$35))),0)</f>
        <v>0.10172143974960877</v>
      </c>
      <c r="AO6" s="134" cm="1">
        <f t="array" ref="AO6">IF(AI6="Oui",($A6/$B6)/(SUMPRODUCT((AI$4:AI$35="Oui")*($A$4:$A$35/$B$4:$B$35))),0)</f>
        <v>0.13393470396996202</v>
      </c>
      <c r="AP6" s="134" cm="1">
        <f t="array" ref="AP6">IF(AJ6="Oui",($A6/$B6)/(SUMPRODUCT((AJ$4:AJ$35="Oui")*($A$4:$A$35/$B$4:$B$35))),0)</f>
        <v>0</v>
      </c>
      <c r="AQ6" s="134" cm="1">
        <f t="array" ref="AQ6">IF(AK6="Oui",($A6/$B6)/(SUMPRODUCT((AK$4:AK$35="Oui")*($A$4:$A$35/$B$4:$B$35))),0)</f>
        <v>0</v>
      </c>
      <c r="AR6" s="134" cm="1">
        <f t="array" ref="AR6">IF(AL6="Oui",($A6/$B6)/(SUMPRODUCT((AL$4:AL$35="Oui")*($A$4:$A$35/$B$4:$B$35))),0)</f>
        <v>0</v>
      </c>
      <c r="AS6" s="134" cm="1">
        <f t="array" ref="AS6">IF(AM6="Oui",($A6/$B6)/(SUMPRODUCT((AM$4:AM$35="Oui")*($A$4:$A$35/$B$4:$B$35))),0)</f>
        <v>0</v>
      </c>
    </row>
    <row r="7" spans="1:45" ht="29">
      <c r="A7" s="15">
        <v>1</v>
      </c>
      <c r="B7" s="16">
        <v>2.5</v>
      </c>
      <c r="C7" s="3" t="s">
        <v>42</v>
      </c>
      <c r="D7" s="3" t="s">
        <v>594</v>
      </c>
      <c r="E7" s="3"/>
      <c r="F7" s="3"/>
      <c r="G7" s="3"/>
      <c r="H7" s="17" t="s">
        <v>537</v>
      </c>
      <c r="I7" s="3"/>
      <c r="J7" s="47">
        <f t="shared" si="4"/>
        <v>2</v>
      </c>
      <c r="K7" s="47">
        <f t="shared" si="4"/>
        <v>3</v>
      </c>
      <c r="L7" s="47">
        <f t="shared" si="4"/>
        <v>4</v>
      </c>
      <c r="M7" s="47">
        <f t="shared" si="4"/>
        <v>5</v>
      </c>
      <c r="N7" s="47">
        <f t="shared" si="4"/>
        <v>6</v>
      </c>
      <c r="O7" s="47">
        <f t="shared" si="4"/>
        <v>7</v>
      </c>
      <c r="P7" s="147">
        <f t="shared" si="5"/>
        <v>25</v>
      </c>
      <c r="Q7" s="147">
        <f t="shared" si="1"/>
        <v>33.333333333333336</v>
      </c>
      <c r="R7" s="147">
        <f t="shared" si="1"/>
        <v>37.5</v>
      </c>
      <c r="S7" s="147">
        <f t="shared" si="1"/>
        <v>40</v>
      </c>
      <c r="T7" s="147">
        <f t="shared" si="1"/>
        <v>41.666666666666671</v>
      </c>
      <c r="U7" s="147">
        <f t="shared" si="1"/>
        <v>42.857142857142861</v>
      </c>
      <c r="V7" s="21">
        <f t="shared" si="6"/>
        <v>15</v>
      </c>
      <c r="W7" s="21">
        <f t="shared" si="7"/>
        <v>40</v>
      </c>
      <c r="X7" s="21">
        <f t="shared" si="8"/>
        <v>60</v>
      </c>
      <c r="Y7" s="21">
        <f t="shared" si="9"/>
        <v>100</v>
      </c>
      <c r="Z7" s="21">
        <f t="shared" si="10"/>
        <v>125</v>
      </c>
      <c r="AA7" s="21">
        <f t="shared" si="11"/>
        <v>150</v>
      </c>
      <c r="AB7" s="49">
        <f t="shared" si="12"/>
        <v>10</v>
      </c>
      <c r="AC7" s="49">
        <f t="shared" si="13"/>
        <v>40</v>
      </c>
      <c r="AD7" s="49">
        <f t="shared" si="14"/>
        <v>80</v>
      </c>
      <c r="AE7" s="49">
        <f t="shared" si="15"/>
        <v>166.66666666666666</v>
      </c>
      <c r="AF7" s="49">
        <f t="shared" si="16"/>
        <v>250</v>
      </c>
      <c r="AG7" s="49">
        <f t="shared" si="17"/>
        <v>350</v>
      </c>
      <c r="AH7" s="3" t="s">
        <v>535</v>
      </c>
      <c r="AI7" s="3"/>
      <c r="AJ7" s="3"/>
      <c r="AK7" s="3"/>
      <c r="AL7" s="3"/>
      <c r="AM7" s="27" t="s">
        <v>535</v>
      </c>
      <c r="AN7" s="134" cm="1">
        <f t="array" ref="AN7">IF(AH7="Oui",($A7/$B7)/(SUMPRODUCT((AH$4:AH$35="Oui")*($A$4:$A$35/$B$4:$B$35))),0)</f>
        <v>8.137715179968702E-2</v>
      </c>
      <c r="AO7" s="134" cm="1">
        <f t="array" ref="AO7">IF(AI7="Oui",($A7/$B7)/(SUMPRODUCT((AI$4:AI$35="Oui")*($A$4:$A$35/$B$4:$B$35))),0)</f>
        <v>0</v>
      </c>
      <c r="AP7" s="134" cm="1">
        <f t="array" ref="AP7">IF(AJ7="Oui",($A7/$B7)/(SUMPRODUCT((AJ$4:AJ$35="Oui")*($A$4:$A$35/$B$4:$B$35))),0)</f>
        <v>0</v>
      </c>
      <c r="AQ7" s="134" cm="1">
        <f t="array" ref="AQ7">IF(AK7="Oui",($A7/$B7)/(SUMPRODUCT((AK$4:AK$35="Oui")*($A$4:$A$35/$B$4:$B$35))),0)</f>
        <v>0</v>
      </c>
      <c r="AR7" s="134" cm="1">
        <f t="array" ref="AR7">IF(AL7="Oui",($A7/$B7)/(SUMPRODUCT((AL$4:AL$35="Oui")*($A$4:$A$35/$B$4:$B$35))),0)</f>
        <v>0</v>
      </c>
      <c r="AS7" s="134" cm="1">
        <f t="array" ref="AS7">IF(AM7="Oui",($A7/$B7)/(SUMPRODUCT((AM$4:AM$35="Oui")*($A$4:$A$35/$B$4:$B$35))),0)</f>
        <v>0.1297419319706338</v>
      </c>
    </row>
    <row r="8" spans="1:45" ht="15.5">
      <c r="A8" s="15">
        <v>1</v>
      </c>
      <c r="B8" s="16">
        <v>2.5</v>
      </c>
      <c r="C8" s="3" t="s">
        <v>468</v>
      </c>
      <c r="D8" s="3" t="s">
        <v>594</v>
      </c>
      <c r="E8" s="3" t="s">
        <v>266</v>
      </c>
      <c r="F8" s="3"/>
      <c r="G8" s="3"/>
      <c r="H8" s="3" t="s">
        <v>424</v>
      </c>
      <c r="I8" s="3"/>
      <c r="J8" s="47">
        <f t="shared" si="4"/>
        <v>2</v>
      </c>
      <c r="K8" s="47">
        <f t="shared" si="4"/>
        <v>3</v>
      </c>
      <c r="L8" s="47">
        <f t="shared" si="4"/>
        <v>4</v>
      </c>
      <c r="M8" s="47">
        <f t="shared" si="4"/>
        <v>5</v>
      </c>
      <c r="N8" s="47">
        <f t="shared" si="4"/>
        <v>6</v>
      </c>
      <c r="O8" s="47">
        <f t="shared" si="4"/>
        <v>7</v>
      </c>
      <c r="P8" s="147">
        <f t="shared" si="5"/>
        <v>25</v>
      </c>
      <c r="Q8" s="147">
        <f t="shared" si="1"/>
        <v>33.333333333333336</v>
      </c>
      <c r="R8" s="147">
        <f t="shared" si="1"/>
        <v>37.5</v>
      </c>
      <c r="S8" s="147">
        <f t="shared" si="1"/>
        <v>40</v>
      </c>
      <c r="T8" s="147">
        <f t="shared" si="1"/>
        <v>41.666666666666671</v>
      </c>
      <c r="U8" s="147">
        <f t="shared" si="1"/>
        <v>42.857142857142861</v>
      </c>
      <c r="V8" s="21">
        <f t="shared" si="6"/>
        <v>15</v>
      </c>
      <c r="W8" s="21">
        <f t="shared" si="7"/>
        <v>40</v>
      </c>
      <c r="X8" s="21">
        <f t="shared" si="8"/>
        <v>60</v>
      </c>
      <c r="Y8" s="21">
        <f t="shared" si="9"/>
        <v>100</v>
      </c>
      <c r="Z8" s="21">
        <f t="shared" si="10"/>
        <v>125</v>
      </c>
      <c r="AA8" s="21">
        <f t="shared" si="11"/>
        <v>150</v>
      </c>
      <c r="AB8" s="49">
        <f t="shared" si="12"/>
        <v>10</v>
      </c>
      <c r="AC8" s="49">
        <f t="shared" si="13"/>
        <v>40</v>
      </c>
      <c r="AD8" s="49">
        <f t="shared" si="14"/>
        <v>80</v>
      </c>
      <c r="AE8" s="49">
        <f t="shared" si="15"/>
        <v>166.66666666666666</v>
      </c>
      <c r="AF8" s="49">
        <f t="shared" si="16"/>
        <v>250</v>
      </c>
      <c r="AG8" s="49">
        <f t="shared" si="17"/>
        <v>350</v>
      </c>
      <c r="AH8" s="3" t="s">
        <v>535</v>
      </c>
      <c r="AI8" s="3"/>
      <c r="AJ8" s="3"/>
      <c r="AK8" s="3"/>
      <c r="AL8" s="3" t="s">
        <v>535</v>
      </c>
      <c r="AM8" s="27"/>
      <c r="AN8" s="134" cm="1">
        <f t="array" ref="AN8">IF(AH8="Oui",($A8/$B8)/(SUMPRODUCT((AH$4:AH$35="Oui")*($A$4:$A$35/$B$4:$B$35))),0)</f>
        <v>8.137715179968702E-2</v>
      </c>
      <c r="AO8" s="134" cm="1">
        <f t="array" ref="AO8">IF(AI8="Oui",($A8/$B8)/(SUMPRODUCT((AI$4:AI$35="Oui")*($A$4:$A$35/$B$4:$B$35))),0)</f>
        <v>0</v>
      </c>
      <c r="AP8" s="134" cm="1">
        <f t="array" ref="AP8">IF(AJ8="Oui",($A8/$B8)/(SUMPRODUCT((AJ$4:AJ$35="Oui")*($A$4:$A$35/$B$4:$B$35))),0)</f>
        <v>0</v>
      </c>
      <c r="AQ8" s="134" cm="1">
        <f t="array" ref="AQ8">IF(AK8="Oui",($A8/$B8)/(SUMPRODUCT((AK$4:AK$35="Oui")*($A$4:$A$35/$B$4:$B$35))),0)</f>
        <v>0</v>
      </c>
      <c r="AR8" s="134" cm="1">
        <f t="array" ref="AR8">IF(AL8="Oui",($A8/$B8)/(SUMPRODUCT((AL$4:AL$35="Oui")*($A$4:$A$35/$B$4:$B$35))),0)</f>
        <v>0.10762826851873147</v>
      </c>
      <c r="AS8" s="134" cm="1">
        <f t="array" ref="AS8">IF(AM8="Oui",($A8/$B8)/(SUMPRODUCT((AM$4:AM$35="Oui")*($A$4:$A$35/$B$4:$B$35))),0)</f>
        <v>0</v>
      </c>
    </row>
    <row r="9" spans="1:45" ht="43.5">
      <c r="A9" s="15">
        <v>2</v>
      </c>
      <c r="B9" s="16">
        <v>3.75</v>
      </c>
      <c r="C9" s="3" t="s">
        <v>44</v>
      </c>
      <c r="D9" s="3" t="s">
        <v>595</v>
      </c>
      <c r="E9" s="3" t="s">
        <v>249</v>
      </c>
      <c r="F9" s="3" t="s">
        <v>245</v>
      </c>
      <c r="G9" s="3"/>
      <c r="H9" s="17" t="s">
        <v>538</v>
      </c>
      <c r="I9" s="17" t="s">
        <v>471</v>
      </c>
      <c r="J9" s="47">
        <f t="shared" si="4"/>
        <v>3</v>
      </c>
      <c r="K9" s="47">
        <f t="shared" si="4"/>
        <v>4</v>
      </c>
      <c r="L9" s="47">
        <f t="shared" si="4"/>
        <v>5</v>
      </c>
      <c r="M9" s="47">
        <f t="shared" si="4"/>
        <v>6</v>
      </c>
      <c r="N9" s="47">
        <f t="shared" si="4"/>
        <v>7</v>
      </c>
      <c r="O9" s="47">
        <f t="shared" si="4"/>
        <v>8</v>
      </c>
      <c r="P9" s="147">
        <f t="shared" si="5"/>
        <v>25</v>
      </c>
      <c r="Q9" s="147">
        <f t="shared" si="1"/>
        <v>37.5</v>
      </c>
      <c r="R9" s="147">
        <f t="shared" si="1"/>
        <v>45</v>
      </c>
      <c r="S9" s="147">
        <f t="shared" si="1"/>
        <v>50</v>
      </c>
      <c r="T9" s="147">
        <f t="shared" si="1"/>
        <v>53.571428571428569</v>
      </c>
      <c r="U9" s="147">
        <f t="shared" si="1"/>
        <v>56.25</v>
      </c>
      <c r="V9" s="21">
        <f t="shared" si="6"/>
        <v>15</v>
      </c>
      <c r="W9" s="21">
        <f t="shared" si="7"/>
        <v>40</v>
      </c>
      <c r="X9" s="21">
        <f t="shared" si="8"/>
        <v>75</v>
      </c>
      <c r="Y9" s="21">
        <f t="shared" si="9"/>
        <v>120</v>
      </c>
      <c r="Z9" s="21">
        <f t="shared" si="10"/>
        <v>150</v>
      </c>
      <c r="AA9" s="21">
        <f t="shared" si="11"/>
        <v>180</v>
      </c>
      <c r="AB9" s="49">
        <f t="shared" si="12"/>
        <v>15</v>
      </c>
      <c r="AC9" s="49">
        <f t="shared" si="13"/>
        <v>53.333333333333336</v>
      </c>
      <c r="AD9" s="49">
        <f t="shared" si="14"/>
        <v>125</v>
      </c>
      <c r="AE9" s="49">
        <f t="shared" si="15"/>
        <v>240</v>
      </c>
      <c r="AF9" s="49">
        <f t="shared" si="16"/>
        <v>350</v>
      </c>
      <c r="AG9" s="49">
        <f t="shared" si="17"/>
        <v>480</v>
      </c>
      <c r="AH9" s="3" t="s">
        <v>535</v>
      </c>
      <c r="AI9" s="3"/>
      <c r="AJ9" s="3" t="s">
        <v>535</v>
      </c>
      <c r="AK9" s="3"/>
      <c r="AL9" s="3" t="s">
        <v>535</v>
      </c>
      <c r="AM9" s="27"/>
      <c r="AN9" s="134" cm="1">
        <f t="array" ref="AN9">IF(AH9="Oui",($A9/$B9)/(SUMPRODUCT((AH$4:AH$35="Oui")*($A$4:$A$35/$B$4:$B$35))),0)</f>
        <v>0.10850286906624936</v>
      </c>
      <c r="AO9" s="134" cm="1">
        <f t="array" ref="AO9">IF(AI9="Oui",($A9/$B9)/(SUMPRODUCT((AI$4:AI$35="Oui")*($A$4:$A$35/$B$4:$B$35))),0)</f>
        <v>0</v>
      </c>
      <c r="AP9" s="134" cm="1">
        <f t="array" ref="AP9">IF(AJ9="Oui",($A9/$B9)/(SUMPRODUCT((AJ$4:AJ$35="Oui")*($A$4:$A$35/$B$4:$B$35))),0)</f>
        <v>0.12770725567545169</v>
      </c>
      <c r="AQ9" s="134" cm="1">
        <f t="array" ref="AQ9">IF(AK9="Oui",($A9/$B9)/(SUMPRODUCT((AK$4:AK$35="Oui")*($A$4:$A$35/$B$4:$B$35))),0)</f>
        <v>0</v>
      </c>
      <c r="AR9" s="134" cm="1">
        <f t="array" ref="AR9">IF(AL9="Oui",($A9/$B9)/(SUMPRODUCT((AL$4:AL$35="Oui")*($A$4:$A$35/$B$4:$B$35))),0)</f>
        <v>0.14350435802497527</v>
      </c>
      <c r="AS9" s="134" cm="1">
        <f t="array" ref="AS9">IF(AM9="Oui",($A9/$B9)/(SUMPRODUCT((AM$4:AM$35="Oui")*($A$4:$A$35/$B$4:$B$35))),0)</f>
        <v>0</v>
      </c>
    </row>
    <row r="10" spans="1:45" ht="43.5">
      <c r="A10" s="15">
        <v>2</v>
      </c>
      <c r="B10" s="16">
        <v>3.75</v>
      </c>
      <c r="C10" s="3" t="s">
        <v>472</v>
      </c>
      <c r="D10" s="3" t="s">
        <v>595</v>
      </c>
      <c r="E10" s="3" t="s">
        <v>245</v>
      </c>
      <c r="F10" s="3" t="s">
        <v>249</v>
      </c>
      <c r="G10" s="3"/>
      <c r="H10" s="18" t="s">
        <v>539</v>
      </c>
      <c r="I10" s="17" t="s">
        <v>471</v>
      </c>
      <c r="J10" s="47">
        <f t="shared" si="4"/>
        <v>3</v>
      </c>
      <c r="K10" s="47">
        <f t="shared" si="4"/>
        <v>4</v>
      </c>
      <c r="L10" s="47">
        <f t="shared" si="4"/>
        <v>5</v>
      </c>
      <c r="M10" s="47">
        <f t="shared" si="4"/>
        <v>6</v>
      </c>
      <c r="N10" s="47">
        <f t="shared" si="4"/>
        <v>7</v>
      </c>
      <c r="O10" s="47">
        <f t="shared" si="4"/>
        <v>8</v>
      </c>
      <c r="P10" s="147">
        <f t="shared" si="5"/>
        <v>25</v>
      </c>
      <c r="Q10" s="147">
        <f t="shared" si="1"/>
        <v>37.5</v>
      </c>
      <c r="R10" s="147">
        <f t="shared" si="1"/>
        <v>45</v>
      </c>
      <c r="S10" s="147">
        <f t="shared" si="1"/>
        <v>50</v>
      </c>
      <c r="T10" s="147">
        <f t="shared" si="1"/>
        <v>53.571428571428569</v>
      </c>
      <c r="U10" s="147">
        <f t="shared" si="1"/>
        <v>56.25</v>
      </c>
      <c r="V10" s="21">
        <f t="shared" si="6"/>
        <v>15</v>
      </c>
      <c r="W10" s="21">
        <f t="shared" si="7"/>
        <v>40</v>
      </c>
      <c r="X10" s="21">
        <f t="shared" si="8"/>
        <v>75</v>
      </c>
      <c r="Y10" s="21">
        <f t="shared" si="9"/>
        <v>120</v>
      </c>
      <c r="Z10" s="21">
        <f t="shared" si="10"/>
        <v>150</v>
      </c>
      <c r="AA10" s="21">
        <f t="shared" si="11"/>
        <v>180</v>
      </c>
      <c r="AB10" s="49">
        <f t="shared" si="12"/>
        <v>15</v>
      </c>
      <c r="AC10" s="49">
        <f t="shared" si="13"/>
        <v>53.333333333333336</v>
      </c>
      <c r="AD10" s="49">
        <f t="shared" si="14"/>
        <v>125</v>
      </c>
      <c r="AE10" s="49">
        <f t="shared" si="15"/>
        <v>240</v>
      </c>
      <c r="AF10" s="49">
        <f t="shared" si="16"/>
        <v>350</v>
      </c>
      <c r="AG10" s="49">
        <f t="shared" si="17"/>
        <v>480</v>
      </c>
      <c r="AH10" s="3"/>
      <c r="AI10" s="3"/>
      <c r="AJ10" s="3" t="s">
        <v>535</v>
      </c>
      <c r="AK10" s="3"/>
      <c r="AL10" s="3"/>
      <c r="AM10" s="27" t="s">
        <v>535</v>
      </c>
      <c r="AN10" s="134" cm="1">
        <f t="array" ref="AN10">IF(AH10="Oui",($A10/$B10)/(SUMPRODUCT((AH$4:AH$35="Oui")*($A$4:$A$35/$B$4:$B$35))),0)</f>
        <v>0</v>
      </c>
      <c r="AO10" s="134" cm="1">
        <f t="array" ref="AO10">IF(AI10="Oui",($A10/$B10)/(SUMPRODUCT((AI$4:AI$35="Oui")*($A$4:$A$35/$B$4:$B$35))),0)</f>
        <v>0</v>
      </c>
      <c r="AP10" s="134" cm="1">
        <f t="array" ref="AP10">IF(AJ10="Oui",($A10/$B10)/(SUMPRODUCT((AJ$4:AJ$35="Oui")*($A$4:$A$35/$B$4:$B$35))),0)</f>
        <v>0.12770725567545169</v>
      </c>
      <c r="AQ10" s="134" cm="1">
        <f t="array" ref="AQ10">IF(AK10="Oui",($A10/$B10)/(SUMPRODUCT((AK$4:AK$35="Oui")*($A$4:$A$35/$B$4:$B$35))),0)</f>
        <v>0</v>
      </c>
      <c r="AR10" s="134" cm="1">
        <f t="array" ref="AR10">IF(AL10="Oui",($A10/$B10)/(SUMPRODUCT((AL$4:AL$35="Oui")*($A$4:$A$35/$B$4:$B$35))),0)</f>
        <v>0</v>
      </c>
      <c r="AS10" s="134" cm="1">
        <f t="array" ref="AS10">IF(AM10="Oui",($A10/$B10)/(SUMPRODUCT((AM$4:AM$35="Oui")*($A$4:$A$35/$B$4:$B$35))),0)</f>
        <v>0.17298924262751172</v>
      </c>
    </row>
    <row r="11" spans="1:45" ht="43.5">
      <c r="A11" s="15">
        <v>2</v>
      </c>
      <c r="B11" s="16">
        <v>3.75</v>
      </c>
      <c r="C11" s="3" t="s">
        <v>475</v>
      </c>
      <c r="D11" s="3" t="s">
        <v>595</v>
      </c>
      <c r="E11" s="3" t="s">
        <v>266</v>
      </c>
      <c r="F11" s="3" t="s">
        <v>263</v>
      </c>
      <c r="G11" s="17" t="s">
        <v>172</v>
      </c>
      <c r="H11" s="17" t="s">
        <v>540</v>
      </c>
      <c r="I11" s="17" t="s">
        <v>471</v>
      </c>
      <c r="J11" s="47">
        <f t="shared" si="4"/>
        <v>3</v>
      </c>
      <c r="K11" s="47">
        <f t="shared" si="4"/>
        <v>4</v>
      </c>
      <c r="L11" s="47">
        <f t="shared" si="4"/>
        <v>5</v>
      </c>
      <c r="M11" s="47">
        <f t="shared" si="4"/>
        <v>6</v>
      </c>
      <c r="N11" s="47">
        <f t="shared" si="4"/>
        <v>7</v>
      </c>
      <c r="O11" s="47">
        <f t="shared" si="4"/>
        <v>8</v>
      </c>
      <c r="P11" s="147">
        <f t="shared" si="5"/>
        <v>25</v>
      </c>
      <c r="Q11" s="147">
        <f t="shared" si="1"/>
        <v>37.5</v>
      </c>
      <c r="R11" s="147">
        <f t="shared" si="1"/>
        <v>45</v>
      </c>
      <c r="S11" s="147">
        <f t="shared" si="1"/>
        <v>50</v>
      </c>
      <c r="T11" s="147">
        <f t="shared" si="1"/>
        <v>53.571428571428569</v>
      </c>
      <c r="U11" s="147">
        <f t="shared" si="1"/>
        <v>56.25</v>
      </c>
      <c r="V11" s="21">
        <f t="shared" si="6"/>
        <v>15</v>
      </c>
      <c r="W11" s="21">
        <f t="shared" si="7"/>
        <v>40</v>
      </c>
      <c r="X11" s="21">
        <f t="shared" si="8"/>
        <v>75</v>
      </c>
      <c r="Y11" s="21">
        <f t="shared" si="9"/>
        <v>120</v>
      </c>
      <c r="Z11" s="21">
        <f t="shared" si="10"/>
        <v>150</v>
      </c>
      <c r="AA11" s="21">
        <f t="shared" si="11"/>
        <v>180</v>
      </c>
      <c r="AB11" s="49">
        <f t="shared" si="12"/>
        <v>15</v>
      </c>
      <c r="AC11" s="49">
        <f t="shared" si="13"/>
        <v>53.333333333333336</v>
      </c>
      <c r="AD11" s="49">
        <f t="shared" si="14"/>
        <v>125</v>
      </c>
      <c r="AE11" s="49">
        <f t="shared" si="15"/>
        <v>240</v>
      </c>
      <c r="AF11" s="49">
        <f t="shared" si="16"/>
        <v>350</v>
      </c>
      <c r="AG11" s="49">
        <f t="shared" si="17"/>
        <v>480</v>
      </c>
      <c r="AH11" s="3"/>
      <c r="AI11" s="3" t="s">
        <v>535</v>
      </c>
      <c r="AJ11" s="3" t="s">
        <v>535</v>
      </c>
      <c r="AK11" s="3"/>
      <c r="AL11" s="3" t="s">
        <v>535</v>
      </c>
      <c r="AM11" s="27"/>
      <c r="AN11" s="134" cm="1">
        <f t="array" ref="AN11">IF(AH11="Oui",($A11/$B11)/(SUMPRODUCT((AH$4:AH$35="Oui")*($A$4:$A$35/$B$4:$B$35))),0)</f>
        <v>0</v>
      </c>
      <c r="AO11" s="134" cm="1">
        <f t="array" ref="AO11">IF(AI11="Oui",($A11/$B11)/(SUMPRODUCT((AI$4:AI$35="Oui")*($A$4:$A$35/$B$4:$B$35))),0)</f>
        <v>0.14286368423462614</v>
      </c>
      <c r="AP11" s="134" cm="1">
        <f t="array" ref="AP11">IF(AJ11="Oui",($A11/$B11)/(SUMPRODUCT((AJ$4:AJ$35="Oui")*($A$4:$A$35/$B$4:$B$35))),0)</f>
        <v>0.12770725567545169</v>
      </c>
      <c r="AQ11" s="134" cm="1">
        <f t="array" ref="AQ11">IF(AK11="Oui",($A11/$B11)/(SUMPRODUCT((AK$4:AK$35="Oui")*($A$4:$A$35/$B$4:$B$35))),0)</f>
        <v>0</v>
      </c>
      <c r="AR11" s="134" cm="1">
        <f t="array" ref="AR11">IF(AL11="Oui",($A11/$B11)/(SUMPRODUCT((AL$4:AL$35="Oui")*($A$4:$A$35/$B$4:$B$35))),0)</f>
        <v>0.14350435802497527</v>
      </c>
      <c r="AS11" s="134" cm="1">
        <f t="array" ref="AS11">IF(AM11="Oui",($A11/$B11)/(SUMPRODUCT((AM$4:AM$35="Oui")*($A$4:$A$35/$B$4:$B$35))),0)</f>
        <v>0</v>
      </c>
    </row>
    <row r="12" spans="1:45" ht="43.5">
      <c r="A12" s="15">
        <v>2</v>
      </c>
      <c r="B12" s="16">
        <v>3.75</v>
      </c>
      <c r="C12" s="3" t="s">
        <v>478</v>
      </c>
      <c r="D12" s="3" t="s">
        <v>595</v>
      </c>
      <c r="E12" s="3" t="s">
        <v>172</v>
      </c>
      <c r="F12" s="3" t="s">
        <v>266</v>
      </c>
      <c r="G12" s="17" t="s">
        <v>263</v>
      </c>
      <c r="H12" s="17" t="s">
        <v>541</v>
      </c>
      <c r="I12" s="17" t="s">
        <v>471</v>
      </c>
      <c r="J12" s="47">
        <f t="shared" si="4"/>
        <v>3</v>
      </c>
      <c r="K12" s="47">
        <f t="shared" si="4"/>
        <v>4</v>
      </c>
      <c r="L12" s="47">
        <f t="shared" si="4"/>
        <v>5</v>
      </c>
      <c r="M12" s="47">
        <f t="shared" si="4"/>
        <v>6</v>
      </c>
      <c r="N12" s="47">
        <f t="shared" si="4"/>
        <v>7</v>
      </c>
      <c r="O12" s="47">
        <f t="shared" si="4"/>
        <v>8</v>
      </c>
      <c r="P12" s="147">
        <f t="shared" si="5"/>
        <v>25</v>
      </c>
      <c r="Q12" s="147">
        <f t="shared" si="1"/>
        <v>37.5</v>
      </c>
      <c r="R12" s="147">
        <f t="shared" si="1"/>
        <v>45</v>
      </c>
      <c r="S12" s="147">
        <f t="shared" si="1"/>
        <v>50</v>
      </c>
      <c r="T12" s="147">
        <f t="shared" si="1"/>
        <v>53.571428571428569</v>
      </c>
      <c r="U12" s="147">
        <f t="shared" si="1"/>
        <v>56.25</v>
      </c>
      <c r="V12" s="21">
        <f t="shared" si="6"/>
        <v>15</v>
      </c>
      <c r="W12" s="21">
        <f t="shared" si="7"/>
        <v>40</v>
      </c>
      <c r="X12" s="21">
        <f t="shared" si="8"/>
        <v>75</v>
      </c>
      <c r="Y12" s="21">
        <f t="shared" si="9"/>
        <v>120</v>
      </c>
      <c r="Z12" s="21">
        <f t="shared" si="10"/>
        <v>150</v>
      </c>
      <c r="AA12" s="21">
        <f t="shared" si="11"/>
        <v>180</v>
      </c>
      <c r="AB12" s="49">
        <f t="shared" si="12"/>
        <v>15</v>
      </c>
      <c r="AC12" s="49">
        <f t="shared" si="13"/>
        <v>53.333333333333336</v>
      </c>
      <c r="AD12" s="49">
        <f t="shared" si="14"/>
        <v>125</v>
      </c>
      <c r="AE12" s="49">
        <f t="shared" si="15"/>
        <v>240</v>
      </c>
      <c r="AF12" s="49">
        <f t="shared" si="16"/>
        <v>350</v>
      </c>
      <c r="AG12" s="49">
        <f t="shared" si="17"/>
        <v>480</v>
      </c>
      <c r="AH12" s="3"/>
      <c r="AI12" s="3"/>
      <c r="AJ12" s="3" t="s">
        <v>535</v>
      </c>
      <c r="AK12" s="3" t="s">
        <v>535</v>
      </c>
      <c r="AL12" s="3"/>
      <c r="AM12" s="27"/>
      <c r="AN12" s="134" cm="1">
        <f t="array" ref="AN12">IF(AH12="Oui",($A12/$B12)/(SUMPRODUCT((AH$4:AH$35="Oui")*($A$4:$A$35/$B$4:$B$35))),0)</f>
        <v>0</v>
      </c>
      <c r="AO12" s="134" cm="1">
        <f t="array" ref="AO12">IF(AI12="Oui",($A12/$B12)/(SUMPRODUCT((AI$4:AI$35="Oui")*($A$4:$A$35/$B$4:$B$35))),0)</f>
        <v>0</v>
      </c>
      <c r="AP12" s="134" cm="1">
        <f t="array" ref="AP12">IF(AJ12="Oui",($A12/$B12)/(SUMPRODUCT((AJ$4:AJ$35="Oui")*($A$4:$A$35/$B$4:$B$35))),0)</f>
        <v>0.12770725567545169</v>
      </c>
      <c r="AQ12" s="134" cm="1">
        <f t="array" ref="AQ12">IF(AK12="Oui",($A12/$B12)/(SUMPRODUCT((AK$4:AK$35="Oui")*($A$4:$A$35/$B$4:$B$35))),0)</f>
        <v>0.15516639624446171</v>
      </c>
      <c r="AR12" s="134" cm="1">
        <f t="array" ref="AR12">IF(AL12="Oui",($A12/$B12)/(SUMPRODUCT((AL$4:AL$35="Oui")*($A$4:$A$35/$B$4:$B$35))),0)</f>
        <v>0</v>
      </c>
      <c r="AS12" s="134" cm="1">
        <f t="array" ref="AS12">IF(AM12="Oui",($A12/$B12)/(SUMPRODUCT((AM$4:AM$35="Oui")*($A$4:$A$35/$B$4:$B$35))),0)</f>
        <v>0</v>
      </c>
    </row>
    <row r="13" spans="1:45" ht="43.5">
      <c r="A13" s="15">
        <v>2</v>
      </c>
      <c r="B13" s="16">
        <v>3.75</v>
      </c>
      <c r="C13" s="3" t="s">
        <v>45</v>
      </c>
      <c r="D13" s="3" t="s">
        <v>595</v>
      </c>
      <c r="E13" s="3" t="s">
        <v>263</v>
      </c>
      <c r="F13" s="3" t="s">
        <v>172</v>
      </c>
      <c r="G13" s="17" t="s">
        <v>266</v>
      </c>
      <c r="H13" s="17" t="s">
        <v>542</v>
      </c>
      <c r="I13" s="17" t="s">
        <v>471</v>
      </c>
      <c r="J13" s="47">
        <f t="shared" si="4"/>
        <v>3</v>
      </c>
      <c r="K13" s="47">
        <f t="shared" si="4"/>
        <v>4</v>
      </c>
      <c r="L13" s="47">
        <f t="shared" si="4"/>
        <v>5</v>
      </c>
      <c r="M13" s="47">
        <f t="shared" si="4"/>
        <v>6</v>
      </c>
      <c r="N13" s="47">
        <f t="shared" si="4"/>
        <v>7</v>
      </c>
      <c r="O13" s="47">
        <f t="shared" si="4"/>
        <v>8</v>
      </c>
      <c r="P13" s="147">
        <f t="shared" si="5"/>
        <v>25</v>
      </c>
      <c r="Q13" s="147">
        <f t="shared" si="1"/>
        <v>37.5</v>
      </c>
      <c r="R13" s="147">
        <f t="shared" si="1"/>
        <v>45</v>
      </c>
      <c r="S13" s="147">
        <f t="shared" si="1"/>
        <v>50</v>
      </c>
      <c r="T13" s="147">
        <f t="shared" si="1"/>
        <v>53.571428571428569</v>
      </c>
      <c r="U13" s="147">
        <f t="shared" si="1"/>
        <v>56.25</v>
      </c>
      <c r="V13" s="21">
        <f t="shared" si="6"/>
        <v>15</v>
      </c>
      <c r="W13" s="21">
        <f t="shared" si="7"/>
        <v>40</v>
      </c>
      <c r="X13" s="21">
        <f t="shared" si="8"/>
        <v>75</v>
      </c>
      <c r="Y13" s="21">
        <f t="shared" si="9"/>
        <v>120</v>
      </c>
      <c r="Z13" s="21">
        <f t="shared" si="10"/>
        <v>150</v>
      </c>
      <c r="AA13" s="21">
        <f t="shared" si="11"/>
        <v>180</v>
      </c>
      <c r="AB13" s="49">
        <f t="shared" si="12"/>
        <v>15</v>
      </c>
      <c r="AC13" s="49">
        <f t="shared" si="13"/>
        <v>53.333333333333336</v>
      </c>
      <c r="AD13" s="49">
        <f t="shared" si="14"/>
        <v>125</v>
      </c>
      <c r="AE13" s="49">
        <f t="shared" si="15"/>
        <v>240</v>
      </c>
      <c r="AF13" s="49">
        <f t="shared" si="16"/>
        <v>350</v>
      </c>
      <c r="AG13" s="49">
        <f t="shared" si="17"/>
        <v>480</v>
      </c>
      <c r="AH13" s="3"/>
      <c r="AI13" s="3"/>
      <c r="AJ13" s="3" t="s">
        <v>535</v>
      </c>
      <c r="AK13" s="3" t="s">
        <v>535</v>
      </c>
      <c r="AL13" s="3"/>
      <c r="AM13" s="27" t="s">
        <v>535</v>
      </c>
      <c r="AN13" s="134" cm="1">
        <f t="array" ref="AN13">IF(AH13="Oui",($A13/$B13)/(SUMPRODUCT((AH$4:AH$35="Oui")*($A$4:$A$35/$B$4:$B$35))),0)</f>
        <v>0</v>
      </c>
      <c r="AO13" s="134" cm="1">
        <f t="array" ref="AO13">IF(AI13="Oui",($A13/$B13)/(SUMPRODUCT((AI$4:AI$35="Oui")*($A$4:$A$35/$B$4:$B$35))),0)</f>
        <v>0</v>
      </c>
      <c r="AP13" s="134" cm="1">
        <f t="array" ref="AP13">IF(AJ13="Oui",($A13/$B13)/(SUMPRODUCT((AJ$4:AJ$35="Oui")*($A$4:$A$35/$B$4:$B$35))),0)</f>
        <v>0.12770725567545169</v>
      </c>
      <c r="AQ13" s="134" cm="1">
        <f t="array" ref="AQ13">IF(AK13="Oui",($A13/$B13)/(SUMPRODUCT((AK$4:AK$35="Oui")*($A$4:$A$35/$B$4:$B$35))),0)</f>
        <v>0.15516639624446171</v>
      </c>
      <c r="AR13" s="134" cm="1">
        <f t="array" ref="AR13">IF(AL13="Oui",($A13/$B13)/(SUMPRODUCT((AL$4:AL$35="Oui")*($A$4:$A$35/$B$4:$B$35))),0)</f>
        <v>0</v>
      </c>
      <c r="AS13" s="134" cm="1">
        <f t="array" ref="AS13">IF(AM13="Oui",($A13/$B13)/(SUMPRODUCT((AM$4:AM$35="Oui")*($A$4:$A$35/$B$4:$B$35))),0)</f>
        <v>0.17298924262751172</v>
      </c>
    </row>
    <row r="14" spans="1:45" ht="43.5">
      <c r="A14" s="15">
        <v>2</v>
      </c>
      <c r="B14" s="16">
        <v>3.75</v>
      </c>
      <c r="C14" s="3" t="s">
        <v>483</v>
      </c>
      <c r="D14" s="3" t="s">
        <v>595</v>
      </c>
      <c r="E14" s="3" t="s">
        <v>270</v>
      </c>
      <c r="F14" s="3" t="s">
        <v>306</v>
      </c>
      <c r="H14" s="17" t="s">
        <v>543</v>
      </c>
      <c r="I14" s="17" t="s">
        <v>471</v>
      </c>
      <c r="J14" s="47">
        <f t="shared" si="4"/>
        <v>3</v>
      </c>
      <c r="K14" s="47">
        <f t="shared" si="4"/>
        <v>4</v>
      </c>
      <c r="L14" s="47">
        <f t="shared" si="4"/>
        <v>5</v>
      </c>
      <c r="M14" s="47">
        <f t="shared" si="4"/>
        <v>6</v>
      </c>
      <c r="N14" s="47">
        <f t="shared" si="4"/>
        <v>7</v>
      </c>
      <c r="O14" s="47">
        <f t="shared" si="4"/>
        <v>8</v>
      </c>
      <c r="P14" s="147">
        <f t="shared" si="5"/>
        <v>25</v>
      </c>
      <c r="Q14" s="147">
        <f t="shared" si="1"/>
        <v>37.5</v>
      </c>
      <c r="R14" s="147">
        <f t="shared" si="1"/>
        <v>45</v>
      </c>
      <c r="S14" s="147">
        <f t="shared" si="1"/>
        <v>50</v>
      </c>
      <c r="T14" s="147">
        <f t="shared" si="1"/>
        <v>53.571428571428569</v>
      </c>
      <c r="U14" s="147">
        <f t="shared" si="1"/>
        <v>56.25</v>
      </c>
      <c r="V14" s="21">
        <f t="shared" si="6"/>
        <v>15</v>
      </c>
      <c r="W14" s="21">
        <f t="shared" si="7"/>
        <v>40</v>
      </c>
      <c r="X14" s="21">
        <f t="shared" si="8"/>
        <v>75</v>
      </c>
      <c r="Y14" s="21">
        <f t="shared" si="9"/>
        <v>120</v>
      </c>
      <c r="Z14" s="21">
        <f t="shared" si="10"/>
        <v>150</v>
      </c>
      <c r="AA14" s="21">
        <f t="shared" si="11"/>
        <v>180</v>
      </c>
      <c r="AB14" s="49">
        <f t="shared" si="12"/>
        <v>15</v>
      </c>
      <c r="AC14" s="49">
        <f t="shared" si="13"/>
        <v>53.333333333333336</v>
      </c>
      <c r="AD14" s="49">
        <f t="shared" si="14"/>
        <v>125</v>
      </c>
      <c r="AE14" s="49">
        <f t="shared" si="15"/>
        <v>240</v>
      </c>
      <c r="AF14" s="49">
        <f t="shared" si="16"/>
        <v>350</v>
      </c>
      <c r="AG14" s="49">
        <f t="shared" si="17"/>
        <v>480</v>
      </c>
      <c r="AH14" s="3"/>
      <c r="AI14" s="3" t="s">
        <v>535</v>
      </c>
      <c r="AJ14" s="3"/>
      <c r="AK14" s="3"/>
      <c r="AL14" s="3"/>
      <c r="AM14" s="27"/>
      <c r="AN14" s="134" cm="1">
        <f t="array" ref="AN14">IF(AH14="Oui",($A14/$B14)/(SUMPRODUCT((AH$4:AH$35="Oui")*($A$4:$A$35/$B$4:$B$35))),0)</f>
        <v>0</v>
      </c>
      <c r="AO14" s="134" cm="1">
        <f t="array" ref="AO14">IF(AI14="Oui",($A14/$B14)/(SUMPRODUCT((AI$4:AI$35="Oui")*($A$4:$A$35/$B$4:$B$35))),0)</f>
        <v>0.14286368423462614</v>
      </c>
      <c r="AP14" s="134" cm="1">
        <f t="array" ref="AP14">IF(AJ14="Oui",($A14/$B14)/(SUMPRODUCT((AJ$4:AJ$35="Oui")*($A$4:$A$35/$B$4:$B$35))),0)</f>
        <v>0</v>
      </c>
      <c r="AQ14" s="134" cm="1">
        <f t="array" ref="AQ14">IF(AK14="Oui",($A14/$B14)/(SUMPRODUCT((AK$4:AK$35="Oui")*($A$4:$A$35/$B$4:$B$35))),0)</f>
        <v>0</v>
      </c>
      <c r="AR14" s="134" cm="1">
        <f t="array" ref="AR14">IF(AL14="Oui",($A14/$B14)/(SUMPRODUCT((AL$4:AL$35="Oui")*($A$4:$A$35/$B$4:$B$35))),0)</f>
        <v>0</v>
      </c>
      <c r="AS14" s="134" cm="1">
        <f t="array" ref="AS14">IF(AM14="Oui",($A14/$B14)/(SUMPRODUCT((AM$4:AM$35="Oui")*($A$4:$A$35/$B$4:$B$35))),0)</f>
        <v>0</v>
      </c>
    </row>
    <row r="15" spans="1:45" ht="15.5">
      <c r="A15" s="15">
        <v>2</v>
      </c>
      <c r="B15" s="16">
        <v>3.75</v>
      </c>
      <c r="C15" s="3" t="s">
        <v>485</v>
      </c>
      <c r="D15" s="3" t="s">
        <v>595</v>
      </c>
      <c r="E15" s="3"/>
      <c r="F15" s="3"/>
      <c r="G15" s="3" t="s">
        <v>245</v>
      </c>
      <c r="H15" s="3" t="s">
        <v>486</v>
      </c>
      <c r="I15" s="3" t="s">
        <v>487</v>
      </c>
      <c r="J15" s="47">
        <f t="shared" si="4"/>
        <v>3</v>
      </c>
      <c r="K15" s="47">
        <f t="shared" si="4"/>
        <v>4</v>
      </c>
      <c r="L15" s="47">
        <f t="shared" si="4"/>
        <v>5</v>
      </c>
      <c r="M15" s="47">
        <f t="shared" si="4"/>
        <v>6</v>
      </c>
      <c r="N15" s="47">
        <f t="shared" si="4"/>
        <v>7</v>
      </c>
      <c r="O15" s="47">
        <f t="shared" si="4"/>
        <v>8</v>
      </c>
      <c r="P15" s="147">
        <f t="shared" si="5"/>
        <v>25</v>
      </c>
      <c r="Q15" s="147">
        <f t="shared" si="1"/>
        <v>37.5</v>
      </c>
      <c r="R15" s="147">
        <f t="shared" si="1"/>
        <v>45</v>
      </c>
      <c r="S15" s="147">
        <f t="shared" si="1"/>
        <v>50</v>
      </c>
      <c r="T15" s="147">
        <f t="shared" si="1"/>
        <v>53.571428571428569</v>
      </c>
      <c r="U15" s="147">
        <f t="shared" si="1"/>
        <v>56.25</v>
      </c>
      <c r="V15" s="21">
        <f t="shared" si="6"/>
        <v>15</v>
      </c>
      <c r="W15" s="21">
        <f t="shared" si="7"/>
        <v>40</v>
      </c>
      <c r="X15" s="21">
        <f t="shared" si="8"/>
        <v>75</v>
      </c>
      <c r="Y15" s="21">
        <f t="shared" si="9"/>
        <v>120</v>
      </c>
      <c r="Z15" s="21">
        <f t="shared" si="10"/>
        <v>150</v>
      </c>
      <c r="AA15" s="21">
        <f t="shared" si="11"/>
        <v>180</v>
      </c>
      <c r="AB15" s="49">
        <f t="shared" si="12"/>
        <v>15</v>
      </c>
      <c r="AC15" s="49">
        <f t="shared" si="13"/>
        <v>53.333333333333336</v>
      </c>
      <c r="AD15" s="49">
        <f t="shared" si="14"/>
        <v>125</v>
      </c>
      <c r="AE15" s="49">
        <f t="shared" si="15"/>
        <v>240</v>
      </c>
      <c r="AF15" s="49">
        <f t="shared" si="16"/>
        <v>350</v>
      </c>
      <c r="AG15" s="49">
        <f t="shared" si="17"/>
        <v>480</v>
      </c>
      <c r="AH15" s="3" t="s">
        <v>535</v>
      </c>
      <c r="AI15" s="3" t="s">
        <v>535</v>
      </c>
      <c r="AJ15" s="3"/>
      <c r="AK15" s="3"/>
      <c r="AL15" s="3"/>
      <c r="AM15" s="27"/>
      <c r="AN15" s="134" cm="1">
        <f t="array" ref="AN15">IF(AH15="Oui",($A15/$B15)/(SUMPRODUCT((AH$4:AH$35="Oui")*($A$4:$A$35/$B$4:$B$35))),0)</f>
        <v>0.10850286906624936</v>
      </c>
      <c r="AO15" s="134" cm="1">
        <f t="array" ref="AO15">IF(AI15="Oui",($A15/$B15)/(SUMPRODUCT((AI$4:AI$35="Oui")*($A$4:$A$35/$B$4:$B$35))),0)</f>
        <v>0.14286368423462614</v>
      </c>
      <c r="AP15" s="134" cm="1">
        <f t="array" ref="AP15">IF(AJ15="Oui",($A15/$B15)/(SUMPRODUCT((AJ$4:AJ$35="Oui")*($A$4:$A$35/$B$4:$B$35))),0)</f>
        <v>0</v>
      </c>
      <c r="AQ15" s="134" cm="1">
        <f t="array" ref="AQ15">IF(AK15="Oui",($A15/$B15)/(SUMPRODUCT((AK$4:AK$35="Oui")*($A$4:$A$35/$B$4:$B$35))),0)</f>
        <v>0</v>
      </c>
      <c r="AR15" s="134" cm="1">
        <f t="array" ref="AR15">IF(AL15="Oui",($A15/$B15)/(SUMPRODUCT((AL$4:AL$35="Oui")*($A$4:$A$35/$B$4:$B$35))),0)</f>
        <v>0</v>
      </c>
      <c r="AS15" s="134" cm="1">
        <f t="array" ref="AS15">IF(AM15="Oui",($A15/$B15)/(SUMPRODUCT((AM$4:AM$35="Oui")*($A$4:$A$35/$B$4:$B$35))),0)</f>
        <v>0</v>
      </c>
    </row>
    <row r="16" spans="1:45" ht="15.5">
      <c r="A16" s="15">
        <v>2</v>
      </c>
      <c r="B16" s="16">
        <v>4.5</v>
      </c>
      <c r="C16" s="3" t="s">
        <v>488</v>
      </c>
      <c r="D16" s="3" t="s">
        <v>594</v>
      </c>
      <c r="E16" s="3" t="s">
        <v>544</v>
      </c>
      <c r="F16" s="3"/>
      <c r="G16" s="3" t="s">
        <v>490</v>
      </c>
      <c r="H16" s="3"/>
      <c r="I16" s="3"/>
      <c r="J16" s="47">
        <f t="shared" si="4"/>
        <v>3</v>
      </c>
      <c r="K16" s="47">
        <f t="shared" si="4"/>
        <v>4</v>
      </c>
      <c r="L16" s="47">
        <f t="shared" si="4"/>
        <v>5</v>
      </c>
      <c r="M16" s="47">
        <f t="shared" si="4"/>
        <v>6</v>
      </c>
      <c r="N16" s="47">
        <f t="shared" si="4"/>
        <v>7</v>
      </c>
      <c r="O16" s="47">
        <f t="shared" si="4"/>
        <v>8</v>
      </c>
      <c r="P16" s="147">
        <f t="shared" si="5"/>
        <v>30</v>
      </c>
      <c r="Q16" s="147">
        <f t="shared" si="1"/>
        <v>45</v>
      </c>
      <c r="R16" s="147">
        <f t="shared" si="1"/>
        <v>54</v>
      </c>
      <c r="S16" s="147">
        <f t="shared" si="1"/>
        <v>60</v>
      </c>
      <c r="T16" s="147">
        <f t="shared" si="1"/>
        <v>64.285714285714292</v>
      </c>
      <c r="U16" s="147">
        <f t="shared" si="1"/>
        <v>67.5</v>
      </c>
      <c r="V16" s="21">
        <f t="shared" si="6"/>
        <v>20</v>
      </c>
      <c r="W16" s="21">
        <f t="shared" si="7"/>
        <v>50</v>
      </c>
      <c r="X16" s="21">
        <f t="shared" si="8"/>
        <v>90</v>
      </c>
      <c r="Y16" s="21">
        <f t="shared" si="9"/>
        <v>140</v>
      </c>
      <c r="Z16" s="21">
        <f t="shared" si="10"/>
        <v>175</v>
      </c>
      <c r="AA16" s="21">
        <f t="shared" si="11"/>
        <v>210</v>
      </c>
      <c r="AB16" s="49">
        <f t="shared" si="12"/>
        <v>20</v>
      </c>
      <c r="AC16" s="49">
        <f t="shared" si="13"/>
        <v>66.666666666666671</v>
      </c>
      <c r="AD16" s="49">
        <f t="shared" si="14"/>
        <v>150</v>
      </c>
      <c r="AE16" s="49">
        <f t="shared" si="15"/>
        <v>280</v>
      </c>
      <c r="AF16" s="49">
        <f t="shared" si="16"/>
        <v>408.33333333333331</v>
      </c>
      <c r="AG16" s="49">
        <f t="shared" si="17"/>
        <v>560</v>
      </c>
      <c r="AH16" s="3"/>
      <c r="AI16" s="3"/>
      <c r="AJ16" s="3"/>
      <c r="AK16" s="3"/>
      <c r="AL16" s="3" t="s">
        <v>535</v>
      </c>
      <c r="AM16" s="27" t="s">
        <v>535</v>
      </c>
      <c r="AN16" s="134" cm="1">
        <f t="array" ref="AN16">IF(AH16="Oui",($A16/$B16)/(SUMPRODUCT((AH$4:AH$35="Oui")*($A$4:$A$35/$B$4:$B$35))),0)</f>
        <v>0</v>
      </c>
      <c r="AO16" s="134" cm="1">
        <f t="array" ref="AO16">IF(AI16="Oui",($A16/$B16)/(SUMPRODUCT((AI$4:AI$35="Oui")*($A$4:$A$35/$B$4:$B$35))),0)</f>
        <v>0</v>
      </c>
      <c r="AP16" s="134" cm="1">
        <f t="array" ref="AP16">IF(AJ16="Oui",($A16/$B16)/(SUMPRODUCT((AJ$4:AJ$35="Oui")*($A$4:$A$35/$B$4:$B$35))),0)</f>
        <v>0</v>
      </c>
      <c r="AQ16" s="134" cm="1">
        <f t="array" ref="AQ16">IF(AK16="Oui",($A16/$B16)/(SUMPRODUCT((AK$4:AK$35="Oui")*($A$4:$A$35/$B$4:$B$35))),0)</f>
        <v>0</v>
      </c>
      <c r="AR16" s="134" cm="1">
        <f t="array" ref="AR16">IF(AL16="Oui",($A16/$B16)/(SUMPRODUCT((AL$4:AL$35="Oui")*($A$4:$A$35/$B$4:$B$35))),0)</f>
        <v>0.11958696502081273</v>
      </c>
      <c r="AS16" s="134" cm="1">
        <f t="array" ref="AS16">IF(AM16="Oui",($A16/$B16)/(SUMPRODUCT((AM$4:AM$35="Oui")*($A$4:$A$35/$B$4:$B$35))),0)</f>
        <v>0.14415770218959309</v>
      </c>
    </row>
    <row r="17" spans="1:45" ht="15.5">
      <c r="A17" s="15">
        <v>1</v>
      </c>
      <c r="B17" s="16">
        <v>4.5</v>
      </c>
      <c r="C17" s="3" t="s">
        <v>491</v>
      </c>
      <c r="D17" s="3" t="s">
        <v>595</v>
      </c>
      <c r="E17" s="3"/>
      <c r="F17" s="3"/>
      <c r="G17" s="3"/>
      <c r="H17" s="3" t="s">
        <v>545</v>
      </c>
      <c r="I17" s="3"/>
      <c r="J17" s="47">
        <f t="shared" si="4"/>
        <v>2</v>
      </c>
      <c r="K17" s="47">
        <f t="shared" si="4"/>
        <v>3</v>
      </c>
      <c r="L17" s="47">
        <f t="shared" si="4"/>
        <v>4</v>
      </c>
      <c r="M17" s="47">
        <f t="shared" si="4"/>
        <v>5</v>
      </c>
      <c r="N17" s="47">
        <f t="shared" si="4"/>
        <v>6</v>
      </c>
      <c r="O17" s="47">
        <f t="shared" si="4"/>
        <v>7</v>
      </c>
      <c r="P17" s="147">
        <f t="shared" si="5"/>
        <v>45</v>
      </c>
      <c r="Q17" s="147">
        <f t="shared" si="1"/>
        <v>60</v>
      </c>
      <c r="R17" s="147">
        <f t="shared" si="1"/>
        <v>67.5</v>
      </c>
      <c r="S17" s="147">
        <f t="shared" si="1"/>
        <v>72</v>
      </c>
      <c r="T17" s="147">
        <f t="shared" si="1"/>
        <v>75</v>
      </c>
      <c r="U17" s="147">
        <f t="shared" si="1"/>
        <v>77.142857142857139</v>
      </c>
      <c r="V17" s="21">
        <f t="shared" si="6"/>
        <v>25</v>
      </c>
      <c r="W17" s="21">
        <f t="shared" si="7"/>
        <v>70</v>
      </c>
      <c r="X17" s="21">
        <f t="shared" si="8"/>
        <v>105</v>
      </c>
      <c r="Y17" s="21">
        <f t="shared" si="9"/>
        <v>160</v>
      </c>
      <c r="Z17" s="21">
        <f t="shared" si="10"/>
        <v>200</v>
      </c>
      <c r="AA17" s="21">
        <f t="shared" si="11"/>
        <v>240</v>
      </c>
      <c r="AB17" s="49">
        <f t="shared" si="12"/>
        <v>16.666666666666668</v>
      </c>
      <c r="AC17" s="49">
        <f t="shared" si="13"/>
        <v>70</v>
      </c>
      <c r="AD17" s="49">
        <f t="shared" si="14"/>
        <v>140</v>
      </c>
      <c r="AE17" s="49">
        <f t="shared" si="15"/>
        <v>266.66666666666669</v>
      </c>
      <c r="AF17" s="49">
        <f t="shared" si="16"/>
        <v>400</v>
      </c>
      <c r="AG17" s="49">
        <f t="shared" si="17"/>
        <v>560</v>
      </c>
      <c r="AH17" s="3"/>
      <c r="AI17" s="3" t="s">
        <v>535</v>
      </c>
      <c r="AJ17" s="3"/>
      <c r="AK17" s="3"/>
      <c r="AL17" s="3"/>
      <c r="AM17" s="27"/>
      <c r="AN17" s="134" cm="1">
        <f t="array" ref="AN17">IF(AH17="Oui",($A17/$B17)/(SUMPRODUCT((AH$4:AH$35="Oui")*($A$4:$A$35/$B$4:$B$35))),0)</f>
        <v>0</v>
      </c>
      <c r="AO17" s="134" cm="1">
        <f t="array" ref="AO17">IF(AI17="Oui",($A17/$B17)/(SUMPRODUCT((AI$4:AI$35="Oui")*($A$4:$A$35/$B$4:$B$35))),0)</f>
        <v>5.9526535097760895E-2</v>
      </c>
      <c r="AP17" s="134" cm="1">
        <f t="array" ref="AP17">IF(AJ17="Oui",($A17/$B17)/(SUMPRODUCT((AJ$4:AJ$35="Oui")*($A$4:$A$35/$B$4:$B$35))),0)</f>
        <v>0</v>
      </c>
      <c r="AQ17" s="134" cm="1">
        <f t="array" ref="AQ17">IF(AK17="Oui",($A17/$B17)/(SUMPRODUCT((AK$4:AK$35="Oui")*($A$4:$A$35/$B$4:$B$35))),0)</f>
        <v>0</v>
      </c>
      <c r="AR17" s="134" cm="1">
        <f t="array" ref="AR17">IF(AL17="Oui",($A17/$B17)/(SUMPRODUCT((AL$4:AL$35="Oui")*($A$4:$A$35/$B$4:$B$35))),0)</f>
        <v>0</v>
      </c>
      <c r="AS17" s="134" cm="1">
        <f t="array" ref="AS17">IF(AM17="Oui",($A17/$B17)/(SUMPRODUCT((AM$4:AM$35="Oui")*($A$4:$A$35/$B$4:$B$35))),0)</f>
        <v>0</v>
      </c>
    </row>
    <row r="18" spans="1:45" ht="15.5">
      <c r="A18" s="15">
        <v>2</v>
      </c>
      <c r="B18" s="16">
        <v>7.5</v>
      </c>
      <c r="C18" s="3" t="s">
        <v>492</v>
      </c>
      <c r="D18" s="3" t="s">
        <v>595</v>
      </c>
      <c r="E18" s="3"/>
      <c r="F18" s="3"/>
      <c r="G18" s="3"/>
      <c r="H18" s="3" t="s">
        <v>17</v>
      </c>
      <c r="I18" s="3"/>
      <c r="J18" s="47">
        <f t="shared" si="4"/>
        <v>3</v>
      </c>
      <c r="K18" s="47">
        <f t="shared" si="4"/>
        <v>4</v>
      </c>
      <c r="L18" s="47">
        <f t="shared" si="4"/>
        <v>5</v>
      </c>
      <c r="M18" s="47">
        <f t="shared" si="4"/>
        <v>6</v>
      </c>
      <c r="N18" s="47">
        <f t="shared" si="4"/>
        <v>7</v>
      </c>
      <c r="O18" s="47">
        <f t="shared" si="4"/>
        <v>8</v>
      </c>
      <c r="P18" s="147">
        <f t="shared" si="5"/>
        <v>50</v>
      </c>
      <c r="Q18" s="147">
        <f t="shared" si="1"/>
        <v>75</v>
      </c>
      <c r="R18" s="147">
        <f t="shared" si="1"/>
        <v>90</v>
      </c>
      <c r="S18" s="147">
        <f t="shared" si="1"/>
        <v>100</v>
      </c>
      <c r="T18" s="147">
        <f t="shared" si="1"/>
        <v>107.14285714285714</v>
      </c>
      <c r="U18" s="147">
        <f t="shared" si="1"/>
        <v>112.5</v>
      </c>
      <c r="V18" s="21">
        <f t="shared" si="6"/>
        <v>30</v>
      </c>
      <c r="W18" s="21">
        <f t="shared" si="7"/>
        <v>80</v>
      </c>
      <c r="X18" s="21">
        <f t="shared" si="8"/>
        <v>150</v>
      </c>
      <c r="Y18" s="21">
        <f t="shared" si="9"/>
        <v>2200</v>
      </c>
      <c r="Z18" s="21">
        <f t="shared" si="10"/>
        <v>275</v>
      </c>
      <c r="AA18" s="21">
        <f t="shared" si="11"/>
        <v>360</v>
      </c>
      <c r="AB18" s="49">
        <f t="shared" si="12"/>
        <v>30</v>
      </c>
      <c r="AC18" s="49">
        <f t="shared" si="13"/>
        <v>106.66666666666667</v>
      </c>
      <c r="AD18" s="49">
        <f t="shared" si="14"/>
        <v>250</v>
      </c>
      <c r="AE18" s="49">
        <f t="shared" si="15"/>
        <v>4400</v>
      </c>
      <c r="AF18" s="49">
        <f t="shared" si="16"/>
        <v>641.66666666666663</v>
      </c>
      <c r="AG18" s="49">
        <f t="shared" si="17"/>
        <v>960</v>
      </c>
      <c r="AH18" s="3"/>
      <c r="AI18" s="3"/>
      <c r="AJ18" s="3"/>
      <c r="AK18" s="3" t="s">
        <v>535</v>
      </c>
      <c r="AL18" s="3" t="s">
        <v>535</v>
      </c>
      <c r="AM18" s="27"/>
      <c r="AN18" s="134" cm="1">
        <f t="array" ref="AN18">IF(AH18="Oui",($A18/$B18)/(SUMPRODUCT((AH$4:AH$35="Oui")*($A$4:$A$35/$B$4:$B$35))),0)</f>
        <v>0</v>
      </c>
      <c r="AO18" s="134" cm="1">
        <f t="array" ref="AO18">IF(AI18="Oui",($A18/$B18)/(SUMPRODUCT((AI$4:AI$35="Oui")*($A$4:$A$35/$B$4:$B$35))),0)</f>
        <v>0</v>
      </c>
      <c r="AP18" s="134" cm="1">
        <f t="array" ref="AP18">IF(AJ18="Oui",($A18/$B18)/(SUMPRODUCT((AJ$4:AJ$35="Oui")*($A$4:$A$35/$B$4:$B$35))),0)</f>
        <v>0</v>
      </c>
      <c r="AQ18" s="134" cm="1">
        <f t="array" ref="AQ18">IF(AK18="Oui",($A18/$B18)/(SUMPRODUCT((AK$4:AK$35="Oui")*($A$4:$A$35/$B$4:$B$35))),0)</f>
        <v>7.7583198122230856E-2</v>
      </c>
      <c r="AR18" s="134" cm="1">
        <f t="array" ref="AR18">IF(AL18="Oui",($A18/$B18)/(SUMPRODUCT((AL$4:AL$35="Oui")*($A$4:$A$35/$B$4:$B$35))),0)</f>
        <v>7.1752179012487635E-2</v>
      </c>
      <c r="AS18" s="134" cm="1">
        <f t="array" ref="AS18">IF(AM18="Oui",($A18/$B18)/(SUMPRODUCT((AM$4:AM$35="Oui")*($A$4:$A$35/$B$4:$B$35))),0)</f>
        <v>0</v>
      </c>
    </row>
    <row r="19" spans="1:45" ht="15.5">
      <c r="A19" s="15">
        <v>2</v>
      </c>
      <c r="B19" s="16">
        <v>7.5</v>
      </c>
      <c r="C19" s="3" t="s">
        <v>493</v>
      </c>
      <c r="D19" s="3" t="s">
        <v>594</v>
      </c>
      <c r="E19" s="3" t="s">
        <v>245</v>
      </c>
      <c r="F19" s="3"/>
      <c r="G19" s="3"/>
      <c r="H19" s="3"/>
      <c r="I19" s="3"/>
      <c r="J19" s="47">
        <f t="shared" si="4"/>
        <v>3</v>
      </c>
      <c r="K19" s="47">
        <f t="shared" si="4"/>
        <v>4</v>
      </c>
      <c r="L19" s="47">
        <f t="shared" si="4"/>
        <v>5</v>
      </c>
      <c r="M19" s="47">
        <f t="shared" si="4"/>
        <v>6</v>
      </c>
      <c r="N19" s="47">
        <f t="shared" si="4"/>
        <v>7</v>
      </c>
      <c r="O19" s="47">
        <f t="shared" si="4"/>
        <v>8</v>
      </c>
      <c r="P19" s="147">
        <f t="shared" si="5"/>
        <v>50</v>
      </c>
      <c r="Q19" s="147">
        <f t="shared" si="1"/>
        <v>75</v>
      </c>
      <c r="R19" s="147">
        <f t="shared" si="1"/>
        <v>90</v>
      </c>
      <c r="S19" s="147">
        <f t="shared" si="1"/>
        <v>100</v>
      </c>
      <c r="T19" s="147">
        <f t="shared" si="1"/>
        <v>107.14285714285714</v>
      </c>
      <c r="U19" s="147">
        <f t="shared" si="1"/>
        <v>112.5</v>
      </c>
      <c r="V19" s="21">
        <f t="shared" si="6"/>
        <v>30</v>
      </c>
      <c r="W19" s="21">
        <f t="shared" si="7"/>
        <v>80</v>
      </c>
      <c r="X19" s="21">
        <f t="shared" si="8"/>
        <v>150</v>
      </c>
      <c r="Y19" s="21">
        <f t="shared" si="9"/>
        <v>2200</v>
      </c>
      <c r="Z19" s="21">
        <f t="shared" si="10"/>
        <v>275</v>
      </c>
      <c r="AA19" s="21">
        <f t="shared" si="11"/>
        <v>360</v>
      </c>
      <c r="AB19" s="49">
        <f t="shared" si="12"/>
        <v>30</v>
      </c>
      <c r="AC19" s="49">
        <f t="shared" si="13"/>
        <v>106.66666666666667</v>
      </c>
      <c r="AD19" s="49">
        <f t="shared" si="14"/>
        <v>250</v>
      </c>
      <c r="AE19" s="49">
        <f t="shared" si="15"/>
        <v>4400</v>
      </c>
      <c r="AF19" s="49">
        <f t="shared" si="16"/>
        <v>641.66666666666663</v>
      </c>
      <c r="AG19" s="49">
        <f t="shared" si="17"/>
        <v>960</v>
      </c>
      <c r="AH19" s="3" t="s">
        <v>535</v>
      </c>
      <c r="AI19" s="3"/>
      <c r="AJ19" s="3"/>
      <c r="AK19" s="3"/>
      <c r="AL19" s="3" t="s">
        <v>535</v>
      </c>
      <c r="AM19" s="27" t="s">
        <v>535</v>
      </c>
      <c r="AN19" s="134" cm="1">
        <f t="array" ref="AN19">IF(AH19="Oui",($A19/$B19)/(SUMPRODUCT((AH$4:AH$35="Oui")*($A$4:$A$35/$B$4:$B$35))),0)</f>
        <v>5.4251434533124678E-2</v>
      </c>
      <c r="AO19" s="134" cm="1">
        <f t="array" ref="AO19">IF(AI19="Oui",($A19/$B19)/(SUMPRODUCT((AI$4:AI$35="Oui")*($A$4:$A$35/$B$4:$B$35))),0)</f>
        <v>0</v>
      </c>
      <c r="AP19" s="134" cm="1">
        <f t="array" ref="AP19">IF(AJ19="Oui",($A19/$B19)/(SUMPRODUCT((AJ$4:AJ$35="Oui")*($A$4:$A$35/$B$4:$B$35))),0)</f>
        <v>0</v>
      </c>
      <c r="AQ19" s="134" cm="1">
        <f t="array" ref="AQ19">IF(AK19="Oui",($A19/$B19)/(SUMPRODUCT((AK$4:AK$35="Oui")*($A$4:$A$35/$B$4:$B$35))),0)</f>
        <v>0</v>
      </c>
      <c r="AR19" s="134" cm="1">
        <f t="array" ref="AR19">IF(AL19="Oui",($A19/$B19)/(SUMPRODUCT((AL$4:AL$35="Oui")*($A$4:$A$35/$B$4:$B$35))),0)</f>
        <v>7.1752179012487635E-2</v>
      </c>
      <c r="AS19" s="134" cm="1">
        <f t="array" ref="AS19">IF(AM19="Oui",($A19/$B19)/(SUMPRODUCT((AM$4:AM$35="Oui")*($A$4:$A$35/$B$4:$B$35))),0)</f>
        <v>8.6494621313755862E-2</v>
      </c>
    </row>
    <row r="20" spans="1:45" ht="43.5">
      <c r="A20" s="15">
        <v>4</v>
      </c>
      <c r="B20" s="16">
        <v>10</v>
      </c>
      <c r="C20" s="3" t="s">
        <v>494</v>
      </c>
      <c r="D20" s="3" t="s">
        <v>594</v>
      </c>
      <c r="E20" s="3" t="s">
        <v>263</v>
      </c>
      <c r="F20" s="3"/>
      <c r="G20" s="3"/>
      <c r="H20" s="17" t="s">
        <v>546</v>
      </c>
      <c r="I20" s="3"/>
      <c r="J20" s="47">
        <f t="shared" si="4"/>
        <v>5</v>
      </c>
      <c r="K20" s="47">
        <f t="shared" si="4"/>
        <v>6</v>
      </c>
      <c r="L20" s="47">
        <f t="shared" si="4"/>
        <v>7</v>
      </c>
      <c r="M20" s="47">
        <f t="shared" si="4"/>
        <v>8</v>
      </c>
      <c r="N20" s="47">
        <f t="shared" si="4"/>
        <v>9</v>
      </c>
      <c r="O20" s="47">
        <f t="shared" si="4"/>
        <v>10</v>
      </c>
      <c r="P20" s="147">
        <f t="shared" si="5"/>
        <v>40</v>
      </c>
      <c r="Q20" s="147">
        <f t="shared" ref="Q20:Q35" si="18">$B20*20/K20*Q$3</f>
        <v>66.666666666666671</v>
      </c>
      <c r="R20" s="147">
        <f t="shared" ref="R20:R35" si="19">$B20*20/L20*R$3</f>
        <v>85.714285714285722</v>
      </c>
      <c r="S20" s="147">
        <f t="shared" ref="S20:S35" si="20">$B20*20/M20*S$3</f>
        <v>100</v>
      </c>
      <c r="T20" s="147">
        <f t="shared" ref="T20:T35" si="21">$B20*20/N20*T$3</f>
        <v>111.11111111111111</v>
      </c>
      <c r="U20" s="147">
        <f t="shared" ref="U20:U35" si="22">$B20*20/O20*U$3</f>
        <v>120</v>
      </c>
      <c r="V20" s="21">
        <f t="shared" si="6"/>
        <v>25</v>
      </c>
      <c r="W20" s="21">
        <f t="shared" si="7"/>
        <v>70</v>
      </c>
      <c r="X20" s="21">
        <f t="shared" si="8"/>
        <v>135</v>
      </c>
      <c r="Y20" s="21">
        <f t="shared" si="9"/>
        <v>2200</v>
      </c>
      <c r="Z20" s="21">
        <f t="shared" si="10"/>
        <v>300</v>
      </c>
      <c r="AA20" s="21">
        <f t="shared" si="11"/>
        <v>390</v>
      </c>
      <c r="AB20" s="49">
        <f t="shared" si="12"/>
        <v>41.666666666666664</v>
      </c>
      <c r="AC20" s="49">
        <f t="shared" si="13"/>
        <v>140</v>
      </c>
      <c r="AD20" s="49">
        <f t="shared" si="14"/>
        <v>315</v>
      </c>
      <c r="AE20" s="49">
        <f t="shared" si="15"/>
        <v>5866.666666666667</v>
      </c>
      <c r="AF20" s="49">
        <f t="shared" si="16"/>
        <v>900</v>
      </c>
      <c r="AG20" s="49">
        <f t="shared" si="17"/>
        <v>1300</v>
      </c>
      <c r="AH20" s="3"/>
      <c r="AI20" s="3" t="s">
        <v>535</v>
      </c>
      <c r="AJ20" s="3" t="s">
        <v>535</v>
      </c>
      <c r="AK20" s="3" t="s">
        <v>535</v>
      </c>
      <c r="AL20" s="3"/>
      <c r="AM20" s="27"/>
      <c r="AN20" s="134" cm="1">
        <f t="array" ref="AN20">IF(AH20="Oui",($A20/$B20)/(SUMPRODUCT((AH$4:AH$35="Oui")*($A$4:$A$35/$B$4:$B$35))),0)</f>
        <v>0</v>
      </c>
      <c r="AO20" s="134" cm="1">
        <f t="array" ref="AO20">IF(AI20="Oui",($A20/$B20)/(SUMPRODUCT((AI$4:AI$35="Oui")*($A$4:$A$35/$B$4:$B$35))),0)</f>
        <v>0.10714776317596962</v>
      </c>
      <c r="AP20" s="134" cm="1">
        <f t="array" ref="AP20">IF(AJ20="Oui",($A20/$B20)/(SUMPRODUCT((AJ$4:AJ$35="Oui")*($A$4:$A$35/$B$4:$B$35))),0)</f>
        <v>9.5780441756588758E-2</v>
      </c>
      <c r="AQ20" s="134" cm="1">
        <f t="array" ref="AQ20">IF(AK20="Oui",($A20/$B20)/(SUMPRODUCT((AK$4:AK$35="Oui")*($A$4:$A$35/$B$4:$B$35))),0)</f>
        <v>0.11637479718334628</v>
      </c>
      <c r="AR20" s="134" cm="1">
        <f t="array" ref="AR20">IF(AL20="Oui",($A20/$B20)/(SUMPRODUCT((AL$4:AL$35="Oui")*($A$4:$A$35/$B$4:$B$35))),0)</f>
        <v>0</v>
      </c>
      <c r="AS20" s="134" cm="1">
        <f t="array" ref="AS20">IF(AM20="Oui",($A20/$B20)/(SUMPRODUCT((AM$4:AM$35="Oui")*($A$4:$A$35/$B$4:$B$35))),0)</f>
        <v>0</v>
      </c>
    </row>
    <row r="21" spans="1:45" ht="15.5">
      <c r="A21" s="15">
        <v>3</v>
      </c>
      <c r="B21" s="16">
        <v>10</v>
      </c>
      <c r="C21" s="3" t="s">
        <v>496</v>
      </c>
      <c r="D21" s="3" t="s">
        <v>595</v>
      </c>
      <c r="E21" s="3" t="s">
        <v>249</v>
      </c>
      <c r="F21" s="3"/>
      <c r="G21" s="3"/>
      <c r="H21" s="3" t="s">
        <v>255</v>
      </c>
      <c r="I21" s="3"/>
      <c r="J21" s="47">
        <f t="shared" si="4"/>
        <v>4</v>
      </c>
      <c r="K21" s="47">
        <f t="shared" si="4"/>
        <v>5</v>
      </c>
      <c r="L21" s="47">
        <f t="shared" si="4"/>
        <v>6</v>
      </c>
      <c r="M21" s="47">
        <f t="shared" si="4"/>
        <v>7</v>
      </c>
      <c r="N21" s="47">
        <f t="shared" si="4"/>
        <v>8</v>
      </c>
      <c r="O21" s="47">
        <f t="shared" si="4"/>
        <v>9</v>
      </c>
      <c r="P21" s="147">
        <f t="shared" si="5"/>
        <v>50</v>
      </c>
      <c r="Q21" s="147">
        <f t="shared" si="18"/>
        <v>80</v>
      </c>
      <c r="R21" s="147">
        <f t="shared" si="19"/>
        <v>100</v>
      </c>
      <c r="S21" s="147">
        <f t="shared" si="20"/>
        <v>114.28571428571429</v>
      </c>
      <c r="T21" s="147">
        <f t="shared" si="21"/>
        <v>125</v>
      </c>
      <c r="U21" s="147">
        <f t="shared" si="22"/>
        <v>133.33333333333331</v>
      </c>
      <c r="V21" s="21">
        <f t="shared" si="6"/>
        <v>30</v>
      </c>
      <c r="W21" s="21">
        <f t="shared" si="7"/>
        <v>90</v>
      </c>
      <c r="X21" s="21">
        <f t="shared" si="8"/>
        <v>1650</v>
      </c>
      <c r="Y21" s="21">
        <f t="shared" si="9"/>
        <v>240</v>
      </c>
      <c r="Z21" s="21">
        <f t="shared" si="10"/>
        <v>325</v>
      </c>
      <c r="AA21" s="21">
        <f t="shared" si="11"/>
        <v>420</v>
      </c>
      <c r="AB21" s="49">
        <f t="shared" si="12"/>
        <v>40</v>
      </c>
      <c r="AC21" s="49">
        <f t="shared" si="13"/>
        <v>150</v>
      </c>
      <c r="AD21" s="49">
        <f t="shared" si="14"/>
        <v>3300</v>
      </c>
      <c r="AE21" s="49">
        <f t="shared" si="15"/>
        <v>560</v>
      </c>
      <c r="AF21" s="49">
        <f t="shared" si="16"/>
        <v>866.66666666666663</v>
      </c>
      <c r="AG21" s="49">
        <f t="shared" si="17"/>
        <v>1260</v>
      </c>
      <c r="AH21" s="3" t="s">
        <v>535</v>
      </c>
      <c r="AI21" s="3" t="s">
        <v>535</v>
      </c>
      <c r="AJ21" s="3" t="s">
        <v>535</v>
      </c>
      <c r="AK21" s="3" t="s">
        <v>535</v>
      </c>
      <c r="AL21" s="3" t="s">
        <v>535</v>
      </c>
      <c r="AM21" s="27" t="s">
        <v>535</v>
      </c>
      <c r="AN21" s="134" cm="1">
        <f t="array" ref="AN21">IF(AH21="Oui",($A21/$B21)/(SUMPRODUCT((AH$4:AH$35="Oui")*($A$4:$A$35/$B$4:$B$35))),0)</f>
        <v>6.1032863849765265E-2</v>
      </c>
      <c r="AO21" s="134" cm="1">
        <f t="array" ref="AO21">IF(AI21="Oui",($A21/$B21)/(SUMPRODUCT((AI$4:AI$35="Oui")*($A$4:$A$35/$B$4:$B$35))),0)</f>
        <v>8.0360822381977212E-2</v>
      </c>
      <c r="AP21" s="134" cm="1">
        <f t="array" ref="AP21">IF(AJ21="Oui",($A21/$B21)/(SUMPRODUCT((AJ$4:AJ$35="Oui")*($A$4:$A$35/$B$4:$B$35))),0)</f>
        <v>7.1835331317441561E-2</v>
      </c>
      <c r="AQ21" s="134" cm="1">
        <f t="array" ref="AQ21">IF(AK21="Oui",($A21/$B21)/(SUMPRODUCT((AK$4:AK$35="Oui")*($A$4:$A$35/$B$4:$B$35))),0)</f>
        <v>8.7281097887509707E-2</v>
      </c>
      <c r="AR21" s="134" cm="1">
        <f t="array" ref="AR21">IF(AL21="Oui",($A21/$B21)/(SUMPRODUCT((AL$4:AL$35="Oui")*($A$4:$A$35/$B$4:$B$35))),0)</f>
        <v>8.0721201389048591E-2</v>
      </c>
      <c r="AS21" s="134" cm="1">
        <f t="array" ref="AS21">IF(AM21="Oui",($A21/$B21)/(SUMPRODUCT((AM$4:AM$35="Oui")*($A$4:$A$35/$B$4:$B$35))),0)</f>
        <v>9.7306448977975343E-2</v>
      </c>
    </row>
    <row r="22" spans="1:45" ht="15.5">
      <c r="A22" s="15">
        <v>3</v>
      </c>
      <c r="B22" s="16">
        <v>12</v>
      </c>
      <c r="C22" s="3" t="s">
        <v>497</v>
      </c>
      <c r="D22" s="3" t="s">
        <v>594</v>
      </c>
      <c r="E22" s="3" t="s">
        <v>547</v>
      </c>
      <c r="F22" s="3"/>
      <c r="G22" s="3" t="s">
        <v>270</v>
      </c>
      <c r="H22" s="3" t="s">
        <v>548</v>
      </c>
      <c r="I22" s="3"/>
      <c r="J22" s="47">
        <f t="shared" si="4"/>
        <v>4</v>
      </c>
      <c r="K22" s="47">
        <f t="shared" si="4"/>
        <v>5</v>
      </c>
      <c r="L22" s="47">
        <f t="shared" si="4"/>
        <v>6</v>
      </c>
      <c r="M22" s="47">
        <f t="shared" si="4"/>
        <v>7</v>
      </c>
      <c r="N22" s="47">
        <f t="shared" si="4"/>
        <v>8</v>
      </c>
      <c r="O22" s="47">
        <f t="shared" si="4"/>
        <v>9</v>
      </c>
      <c r="P22" s="147">
        <f t="shared" si="5"/>
        <v>60</v>
      </c>
      <c r="Q22" s="147">
        <f t="shared" si="18"/>
        <v>96</v>
      </c>
      <c r="R22" s="147">
        <f t="shared" si="19"/>
        <v>120</v>
      </c>
      <c r="S22" s="147">
        <f t="shared" si="20"/>
        <v>137.14285714285714</v>
      </c>
      <c r="T22" s="147">
        <f t="shared" si="21"/>
        <v>150</v>
      </c>
      <c r="U22" s="147">
        <f t="shared" si="22"/>
        <v>160</v>
      </c>
      <c r="V22" s="21">
        <f t="shared" si="6"/>
        <v>35</v>
      </c>
      <c r="W22" s="21">
        <f t="shared" si="7"/>
        <v>100</v>
      </c>
      <c r="X22" s="21">
        <f t="shared" si="8"/>
        <v>195</v>
      </c>
      <c r="Y22" s="21">
        <f t="shared" si="9"/>
        <v>280</v>
      </c>
      <c r="Z22" s="21">
        <f t="shared" si="10"/>
        <v>400</v>
      </c>
      <c r="AA22" s="21">
        <f t="shared" si="11"/>
        <v>510</v>
      </c>
      <c r="AB22" s="49">
        <f t="shared" si="12"/>
        <v>46.666666666666664</v>
      </c>
      <c r="AC22" s="49">
        <f t="shared" si="13"/>
        <v>166.66666666666666</v>
      </c>
      <c r="AD22" s="49">
        <f t="shared" si="14"/>
        <v>390</v>
      </c>
      <c r="AE22" s="49">
        <f t="shared" si="15"/>
        <v>653.33333333333337</v>
      </c>
      <c r="AF22" s="49">
        <f t="shared" si="16"/>
        <v>1066.6666666666667</v>
      </c>
      <c r="AG22" s="49">
        <f t="shared" si="17"/>
        <v>1530</v>
      </c>
      <c r="AH22" s="3"/>
      <c r="AI22" s="3" t="s">
        <v>535</v>
      </c>
      <c r="AJ22" s="3" t="s">
        <v>535</v>
      </c>
      <c r="AK22" s="3" t="s">
        <v>535</v>
      </c>
      <c r="AL22" s="3"/>
      <c r="AM22" s="27"/>
      <c r="AN22" s="134" cm="1">
        <f t="array" ref="AN22">IF(AH22="Oui",($A22/$B22)/(SUMPRODUCT((AH$4:AH$35="Oui")*($A$4:$A$35/$B$4:$B$35))),0)</f>
        <v>0</v>
      </c>
      <c r="AO22" s="134" cm="1">
        <f t="array" ref="AO22">IF(AI22="Oui",($A22/$B22)/(SUMPRODUCT((AI$4:AI$35="Oui")*($A$4:$A$35/$B$4:$B$35))),0)</f>
        <v>6.6967351984981008E-2</v>
      </c>
      <c r="AP22" s="134" cm="1">
        <f t="array" ref="AP22">IF(AJ22="Oui",($A22/$B22)/(SUMPRODUCT((AJ$4:AJ$35="Oui")*($A$4:$A$35/$B$4:$B$35))),0)</f>
        <v>5.9862776097867977E-2</v>
      </c>
      <c r="AQ22" s="134" cm="1">
        <f t="array" ref="AQ22">IF(AK22="Oui",($A22/$B22)/(SUMPRODUCT((AK$4:AK$35="Oui")*($A$4:$A$35/$B$4:$B$35))),0)</f>
        <v>7.2734248239591431E-2</v>
      </c>
      <c r="AR22" s="134" cm="1">
        <f t="array" ref="AR22">IF(AL22="Oui",($A22/$B22)/(SUMPRODUCT((AL$4:AL$35="Oui")*($A$4:$A$35/$B$4:$B$35))),0)</f>
        <v>0</v>
      </c>
      <c r="AS22" s="134" cm="1">
        <f t="array" ref="AS22">IF(AM22="Oui",($A22/$B22)/(SUMPRODUCT((AM$4:AM$35="Oui")*($A$4:$A$35/$B$4:$B$35))),0)</f>
        <v>0</v>
      </c>
    </row>
    <row r="23" spans="1:45" ht="101.5">
      <c r="A23" s="15">
        <v>3</v>
      </c>
      <c r="B23" s="16">
        <v>16</v>
      </c>
      <c r="C23" s="3" t="s">
        <v>499</v>
      </c>
      <c r="D23" s="3" t="s">
        <v>594</v>
      </c>
      <c r="E23" s="3" t="s">
        <v>549</v>
      </c>
      <c r="F23" s="3"/>
      <c r="G23" s="3" t="s">
        <v>501</v>
      </c>
      <c r="H23" s="17" t="s">
        <v>550</v>
      </c>
      <c r="I23" s="3"/>
      <c r="J23" s="47">
        <f t="shared" si="4"/>
        <v>4</v>
      </c>
      <c r="K23" s="47">
        <f t="shared" si="4"/>
        <v>5</v>
      </c>
      <c r="L23" s="47">
        <f t="shared" si="4"/>
        <v>6</v>
      </c>
      <c r="M23" s="47">
        <f t="shared" si="4"/>
        <v>7</v>
      </c>
      <c r="N23" s="47">
        <f t="shared" si="4"/>
        <v>8</v>
      </c>
      <c r="O23" s="47">
        <f t="shared" si="4"/>
        <v>9</v>
      </c>
      <c r="P23" s="147">
        <f t="shared" si="5"/>
        <v>80</v>
      </c>
      <c r="Q23" s="147">
        <f t="shared" si="18"/>
        <v>128</v>
      </c>
      <c r="R23" s="147">
        <f t="shared" si="19"/>
        <v>160</v>
      </c>
      <c r="S23" s="147">
        <f t="shared" si="20"/>
        <v>182.85714285714286</v>
      </c>
      <c r="T23" s="147">
        <f t="shared" si="21"/>
        <v>200</v>
      </c>
      <c r="U23" s="147">
        <f t="shared" si="22"/>
        <v>213.33333333333334</v>
      </c>
      <c r="V23" s="21">
        <f t="shared" si="6"/>
        <v>45</v>
      </c>
      <c r="W23" s="21">
        <f t="shared" si="7"/>
        <v>130</v>
      </c>
      <c r="X23" s="21">
        <f t="shared" si="8"/>
        <v>255</v>
      </c>
      <c r="Y23" s="21">
        <f t="shared" si="9"/>
        <v>380</v>
      </c>
      <c r="Z23" s="21">
        <f t="shared" si="10"/>
        <v>3000</v>
      </c>
      <c r="AA23" s="21">
        <f t="shared" si="11"/>
        <v>660</v>
      </c>
      <c r="AB23" s="49">
        <f t="shared" si="12"/>
        <v>60</v>
      </c>
      <c r="AC23" s="49">
        <f t="shared" si="13"/>
        <v>216.66666666666666</v>
      </c>
      <c r="AD23" s="49">
        <f t="shared" si="14"/>
        <v>510</v>
      </c>
      <c r="AE23" s="49">
        <f t="shared" si="15"/>
        <v>886.66666666666663</v>
      </c>
      <c r="AF23" s="49">
        <f t="shared" si="16"/>
        <v>8000</v>
      </c>
      <c r="AG23" s="49">
        <f t="shared" si="17"/>
        <v>1980</v>
      </c>
      <c r="AH23" s="3"/>
      <c r="AI23" s="3"/>
      <c r="AJ23" s="3" t="s">
        <v>535</v>
      </c>
      <c r="AK23" s="3" t="s">
        <v>535</v>
      </c>
      <c r="AL23" s="3"/>
      <c r="AM23" s="27"/>
      <c r="AN23" s="134" cm="1">
        <f t="array" ref="AN23">IF(AH23="Oui",($A23/$B23)/(SUMPRODUCT((AH$4:AH$35="Oui")*($A$4:$A$35/$B$4:$B$35))),0)</f>
        <v>0</v>
      </c>
      <c r="AO23" s="134" cm="1">
        <f t="array" ref="AO23">IF(AI23="Oui",($A23/$B23)/(SUMPRODUCT((AI$4:AI$35="Oui")*($A$4:$A$35/$B$4:$B$35))),0)</f>
        <v>0</v>
      </c>
      <c r="AP23" s="134" cm="1">
        <f t="array" ref="AP23">IF(AJ23="Oui",($A23/$B23)/(SUMPRODUCT((AJ$4:AJ$35="Oui")*($A$4:$A$35/$B$4:$B$35))),0)</f>
        <v>4.4897082073400978E-2</v>
      </c>
      <c r="AQ23" s="134" cm="1">
        <f t="array" ref="AQ23">IF(AK23="Oui",($A23/$B23)/(SUMPRODUCT((AK$4:AK$35="Oui")*($A$4:$A$35/$B$4:$B$35))),0)</f>
        <v>5.4550686179693567E-2</v>
      </c>
      <c r="AR23" s="134" cm="1">
        <f t="array" ref="AR23">IF(AL23="Oui",($A23/$B23)/(SUMPRODUCT((AL$4:AL$35="Oui")*($A$4:$A$35/$B$4:$B$35))),0)</f>
        <v>0</v>
      </c>
      <c r="AS23" s="134" cm="1">
        <f t="array" ref="AS23">IF(AM23="Oui",($A23/$B23)/(SUMPRODUCT((AM$4:AM$35="Oui")*($A$4:$A$35/$B$4:$B$35))),0)</f>
        <v>0</v>
      </c>
    </row>
    <row r="24" spans="1:45" ht="43.5">
      <c r="A24" s="15">
        <v>3</v>
      </c>
      <c r="B24" s="16">
        <v>16</v>
      </c>
      <c r="C24" s="3" t="s">
        <v>25</v>
      </c>
      <c r="D24" s="3"/>
      <c r="E24" s="3" t="s">
        <v>245</v>
      </c>
      <c r="G24" s="3" t="s">
        <v>249</v>
      </c>
      <c r="H24" s="17" t="s">
        <v>551</v>
      </c>
      <c r="I24" s="3"/>
      <c r="J24" s="47">
        <f t="shared" si="4"/>
        <v>4</v>
      </c>
      <c r="K24" s="47">
        <f t="shared" si="4"/>
        <v>5</v>
      </c>
      <c r="L24" s="47">
        <f t="shared" si="4"/>
        <v>6</v>
      </c>
      <c r="M24" s="47">
        <f t="shared" si="4"/>
        <v>7</v>
      </c>
      <c r="N24" s="47">
        <f t="shared" si="4"/>
        <v>8</v>
      </c>
      <c r="O24" s="47">
        <f t="shared" si="4"/>
        <v>9</v>
      </c>
      <c r="P24" s="147">
        <f t="shared" si="5"/>
        <v>80</v>
      </c>
      <c r="Q24" s="147">
        <f t="shared" si="18"/>
        <v>128</v>
      </c>
      <c r="R24" s="147">
        <f t="shared" si="19"/>
        <v>160</v>
      </c>
      <c r="S24" s="147">
        <f t="shared" si="20"/>
        <v>182.85714285714286</v>
      </c>
      <c r="T24" s="147">
        <f t="shared" si="21"/>
        <v>200</v>
      </c>
      <c r="U24" s="147">
        <f t="shared" si="22"/>
        <v>213.33333333333334</v>
      </c>
      <c r="V24" s="21">
        <f t="shared" si="6"/>
        <v>45</v>
      </c>
      <c r="W24" s="21">
        <f t="shared" si="7"/>
        <v>130</v>
      </c>
      <c r="X24" s="21">
        <f t="shared" si="8"/>
        <v>255</v>
      </c>
      <c r="Y24" s="21">
        <f t="shared" si="9"/>
        <v>380</v>
      </c>
      <c r="Z24" s="21">
        <f t="shared" si="10"/>
        <v>3000</v>
      </c>
      <c r="AA24" s="21">
        <f t="shared" si="11"/>
        <v>660</v>
      </c>
      <c r="AB24" s="49">
        <f t="shared" si="12"/>
        <v>60</v>
      </c>
      <c r="AC24" s="49">
        <f t="shared" si="13"/>
        <v>216.66666666666666</v>
      </c>
      <c r="AD24" s="49">
        <f t="shared" si="14"/>
        <v>510</v>
      </c>
      <c r="AE24" s="49">
        <f t="shared" si="15"/>
        <v>886.66666666666663</v>
      </c>
      <c r="AF24" s="49">
        <f t="shared" si="16"/>
        <v>8000</v>
      </c>
      <c r="AG24" s="49">
        <f t="shared" si="17"/>
        <v>1980</v>
      </c>
      <c r="AH24" s="3"/>
      <c r="AI24" s="3"/>
      <c r="AJ24" s="3"/>
      <c r="AK24" s="3"/>
      <c r="AL24" s="3"/>
      <c r="AM24" s="27" t="s">
        <v>535</v>
      </c>
      <c r="AN24" s="134" cm="1">
        <f t="array" ref="AN24">IF(AH24="Oui",($A24/$B24)/(SUMPRODUCT((AH$4:AH$35="Oui")*($A$4:$A$35/$B$4:$B$35))),0)</f>
        <v>0</v>
      </c>
      <c r="AO24" s="134" cm="1">
        <f t="array" ref="AO24">IF(AI24="Oui",($A24/$B24)/(SUMPRODUCT((AI$4:AI$35="Oui")*($A$4:$A$35/$B$4:$B$35))),0)</f>
        <v>0</v>
      </c>
      <c r="AP24" s="134" cm="1">
        <f t="array" ref="AP24">IF(AJ24="Oui",($A24/$B24)/(SUMPRODUCT((AJ$4:AJ$35="Oui")*($A$4:$A$35/$B$4:$B$35))),0)</f>
        <v>0</v>
      </c>
      <c r="AQ24" s="134" cm="1">
        <f t="array" ref="AQ24">IF(AK24="Oui",($A24/$B24)/(SUMPRODUCT((AK$4:AK$35="Oui")*($A$4:$A$35/$B$4:$B$35))),0)</f>
        <v>0</v>
      </c>
      <c r="AR24" s="134" cm="1">
        <f t="array" ref="AR24">IF(AL24="Oui",($A24/$B24)/(SUMPRODUCT((AL$4:AL$35="Oui")*($A$4:$A$35/$B$4:$B$35))),0)</f>
        <v>0</v>
      </c>
      <c r="AS24" s="134" cm="1">
        <f t="array" ref="AS24">IF(AM24="Oui",($A24/$B24)/(SUMPRODUCT((AM$4:AM$35="Oui")*($A$4:$A$35/$B$4:$B$35))),0)</f>
        <v>6.0816530611234591E-2</v>
      </c>
    </row>
    <row r="25" spans="1:45" ht="15.5">
      <c r="A25" s="15">
        <v>3</v>
      </c>
      <c r="B25" s="16">
        <v>18</v>
      </c>
      <c r="C25" s="3" t="s">
        <v>504</v>
      </c>
      <c r="D25" s="3" t="s">
        <v>595</v>
      </c>
      <c r="E25" s="3" t="s">
        <v>172</v>
      </c>
      <c r="F25" s="3"/>
      <c r="G25" s="3" t="s">
        <v>505</v>
      </c>
      <c r="H25" s="3" t="s">
        <v>506</v>
      </c>
      <c r="I25" s="3"/>
      <c r="J25" s="47">
        <f t="shared" si="4"/>
        <v>4</v>
      </c>
      <c r="K25" s="47">
        <f t="shared" si="4"/>
        <v>5</v>
      </c>
      <c r="L25" s="47">
        <f t="shared" si="4"/>
        <v>6</v>
      </c>
      <c r="M25" s="47">
        <f t="shared" si="4"/>
        <v>7</v>
      </c>
      <c r="N25" s="47">
        <f t="shared" si="4"/>
        <v>8</v>
      </c>
      <c r="O25" s="47">
        <f t="shared" si="4"/>
        <v>9</v>
      </c>
      <c r="P25" s="147">
        <f t="shared" si="5"/>
        <v>90</v>
      </c>
      <c r="Q25" s="147">
        <f t="shared" si="18"/>
        <v>144</v>
      </c>
      <c r="R25" s="147">
        <f t="shared" si="19"/>
        <v>180</v>
      </c>
      <c r="S25" s="147">
        <f t="shared" si="20"/>
        <v>205.71428571428572</v>
      </c>
      <c r="T25" s="147">
        <f t="shared" si="21"/>
        <v>225</v>
      </c>
      <c r="U25" s="147">
        <f t="shared" si="22"/>
        <v>240</v>
      </c>
      <c r="V25" s="21">
        <f t="shared" si="6"/>
        <v>50</v>
      </c>
      <c r="W25" s="21">
        <f t="shared" si="7"/>
        <v>150</v>
      </c>
      <c r="X25" s="21">
        <f t="shared" si="8"/>
        <v>285</v>
      </c>
      <c r="Y25" s="21">
        <f t="shared" si="9"/>
        <v>420</v>
      </c>
      <c r="Z25" s="21">
        <f t="shared" si="10"/>
        <v>575</v>
      </c>
      <c r="AA25" s="21">
        <f t="shared" si="11"/>
        <v>750</v>
      </c>
      <c r="AB25" s="49">
        <f t="shared" si="12"/>
        <v>66.666666666666671</v>
      </c>
      <c r="AC25" s="49">
        <f t="shared" si="13"/>
        <v>250</v>
      </c>
      <c r="AD25" s="49">
        <f t="shared" si="14"/>
        <v>570</v>
      </c>
      <c r="AE25" s="49">
        <f t="shared" si="15"/>
        <v>980</v>
      </c>
      <c r="AF25" s="49">
        <f t="shared" si="16"/>
        <v>1533.3333333333333</v>
      </c>
      <c r="AG25" s="49">
        <f t="shared" si="17"/>
        <v>2250</v>
      </c>
      <c r="AH25" s="3" t="s">
        <v>535</v>
      </c>
      <c r="AI25" s="3"/>
      <c r="AJ25" s="3"/>
      <c r="AK25" s="3" t="s">
        <v>535</v>
      </c>
      <c r="AL25" s="3" t="s">
        <v>535</v>
      </c>
      <c r="AM25" s="27"/>
      <c r="AN25" s="134" cm="1">
        <f t="array" ref="AN25">IF(AH25="Oui",($A25/$B25)/(SUMPRODUCT((AH$4:AH$35="Oui")*($A$4:$A$35/$B$4:$B$35))),0)</f>
        <v>3.3907146583202923E-2</v>
      </c>
      <c r="AO25" s="134" cm="1">
        <f t="array" ref="AO25">IF(AI25="Oui",($A25/$B25)/(SUMPRODUCT((AI$4:AI$35="Oui")*($A$4:$A$35/$B$4:$B$35))),0)</f>
        <v>0</v>
      </c>
      <c r="AP25" s="134" cm="1">
        <f t="array" ref="AP25">IF(AJ25="Oui",($A25/$B25)/(SUMPRODUCT((AJ$4:AJ$35="Oui")*($A$4:$A$35/$B$4:$B$35))),0)</f>
        <v>0</v>
      </c>
      <c r="AQ25" s="134" cm="1">
        <f t="array" ref="AQ25">IF(AK25="Oui",($A25/$B25)/(SUMPRODUCT((AK$4:AK$35="Oui")*($A$4:$A$35/$B$4:$B$35))),0)</f>
        <v>4.8489498826394278E-2</v>
      </c>
      <c r="AR25" s="134" cm="1">
        <f t="array" ref="AR25">IF(AL25="Oui",($A25/$B25)/(SUMPRODUCT((AL$4:AL$35="Oui")*($A$4:$A$35/$B$4:$B$35))),0)</f>
        <v>4.4845111882804774E-2</v>
      </c>
      <c r="AS25" s="134" cm="1">
        <f t="array" ref="AS25">IF(AM25="Oui",($A25/$B25)/(SUMPRODUCT((AM$4:AM$35="Oui")*($A$4:$A$35/$B$4:$B$35))),0)</f>
        <v>0</v>
      </c>
    </row>
    <row r="26" spans="1:45" ht="29">
      <c r="A26" s="15">
        <v>4</v>
      </c>
      <c r="B26" s="16">
        <v>20</v>
      </c>
      <c r="C26" s="3" t="s">
        <v>507</v>
      </c>
      <c r="D26" s="3" t="s">
        <v>594</v>
      </c>
      <c r="E26" s="3" t="s">
        <v>245</v>
      </c>
      <c r="F26" s="3"/>
      <c r="G26" s="3"/>
      <c r="H26" s="17" t="s">
        <v>508</v>
      </c>
      <c r="I26" s="3"/>
      <c r="J26" s="47">
        <f t="shared" si="4"/>
        <v>5</v>
      </c>
      <c r="K26" s="47">
        <f t="shared" si="4"/>
        <v>6</v>
      </c>
      <c r="L26" s="47">
        <f t="shared" si="4"/>
        <v>7</v>
      </c>
      <c r="M26" s="47">
        <f t="shared" si="4"/>
        <v>8</v>
      </c>
      <c r="N26" s="47">
        <f t="shared" si="4"/>
        <v>9</v>
      </c>
      <c r="O26" s="47">
        <f t="shared" si="4"/>
        <v>10</v>
      </c>
      <c r="P26" s="147">
        <f t="shared" si="5"/>
        <v>80</v>
      </c>
      <c r="Q26" s="147">
        <f t="shared" si="18"/>
        <v>133.33333333333334</v>
      </c>
      <c r="R26" s="147">
        <f t="shared" si="19"/>
        <v>171.42857142857144</v>
      </c>
      <c r="S26" s="147">
        <f t="shared" si="20"/>
        <v>200</v>
      </c>
      <c r="T26" s="147">
        <f t="shared" si="21"/>
        <v>222.22222222222223</v>
      </c>
      <c r="U26" s="147">
        <f t="shared" si="22"/>
        <v>240</v>
      </c>
      <c r="V26" s="21">
        <f t="shared" si="6"/>
        <v>45</v>
      </c>
      <c r="W26" s="21">
        <f t="shared" si="7"/>
        <v>140</v>
      </c>
      <c r="X26" s="21">
        <f t="shared" si="8"/>
        <v>270</v>
      </c>
      <c r="Y26" s="21">
        <f t="shared" si="9"/>
        <v>2400</v>
      </c>
      <c r="Z26" s="21">
        <f t="shared" si="10"/>
        <v>575</v>
      </c>
      <c r="AA26" s="21">
        <f t="shared" si="11"/>
        <v>750</v>
      </c>
      <c r="AB26" s="49">
        <f t="shared" si="12"/>
        <v>75</v>
      </c>
      <c r="AC26" s="49">
        <f t="shared" si="13"/>
        <v>280</v>
      </c>
      <c r="AD26" s="49">
        <f t="shared" si="14"/>
        <v>630</v>
      </c>
      <c r="AE26" s="49">
        <f t="shared" si="15"/>
        <v>6400</v>
      </c>
      <c r="AF26" s="49">
        <f t="shared" si="16"/>
        <v>1725</v>
      </c>
      <c r="AG26" s="49">
        <f t="shared" si="17"/>
        <v>2500</v>
      </c>
      <c r="AH26" s="3" t="s">
        <v>535</v>
      </c>
      <c r="AI26" s="3"/>
      <c r="AJ26" s="3"/>
      <c r="AK26" s="3"/>
      <c r="AL26" s="3"/>
      <c r="AM26" s="27"/>
      <c r="AN26" s="134" cm="1">
        <f t="array" ref="AN26">IF(AH26="Oui",($A26/$B26)/(SUMPRODUCT((AH$4:AH$35="Oui")*($A$4:$A$35/$B$4:$B$35))),0)</f>
        <v>4.068857589984351E-2</v>
      </c>
      <c r="AO26" s="134" cm="1">
        <f t="array" ref="AO26">IF(AI26="Oui",($A26/$B26)/(SUMPRODUCT((AI$4:AI$35="Oui")*($A$4:$A$35/$B$4:$B$35))),0)</f>
        <v>0</v>
      </c>
      <c r="AP26" s="134" cm="1">
        <f t="array" ref="AP26">IF(AJ26="Oui",($A26/$B26)/(SUMPRODUCT((AJ$4:AJ$35="Oui")*($A$4:$A$35/$B$4:$B$35))),0)</f>
        <v>0</v>
      </c>
      <c r="AQ26" s="134" cm="1">
        <f t="array" ref="AQ26">IF(AK26="Oui",($A26/$B26)/(SUMPRODUCT((AK$4:AK$35="Oui")*($A$4:$A$35/$B$4:$B$35))),0)</f>
        <v>0</v>
      </c>
      <c r="AR26" s="134" cm="1">
        <f t="array" ref="AR26">IF(AL26="Oui",($A26/$B26)/(SUMPRODUCT((AL$4:AL$35="Oui")*($A$4:$A$35/$B$4:$B$35))),0)</f>
        <v>0</v>
      </c>
      <c r="AS26" s="134" cm="1">
        <f t="array" ref="AS26">IF(AM26="Oui",($A26/$B26)/(SUMPRODUCT((AM$4:AM$35="Oui")*($A$4:$A$35/$B$4:$B$35))),0)</f>
        <v>0</v>
      </c>
    </row>
    <row r="27" spans="1:45" ht="15.5">
      <c r="A27" s="15">
        <v>3</v>
      </c>
      <c r="B27" s="16">
        <v>20</v>
      </c>
      <c r="C27" s="3" t="s">
        <v>509</v>
      </c>
      <c r="D27" s="3" t="s">
        <v>594</v>
      </c>
      <c r="E27" s="3" t="s">
        <v>498</v>
      </c>
      <c r="F27" s="3"/>
      <c r="G27" s="3" t="s">
        <v>270</v>
      </c>
      <c r="H27" s="3" t="s">
        <v>270</v>
      </c>
      <c r="I27" s="3"/>
      <c r="J27" s="47">
        <f t="shared" si="4"/>
        <v>4</v>
      </c>
      <c r="K27" s="47">
        <f t="shared" si="4"/>
        <v>5</v>
      </c>
      <c r="L27" s="47">
        <f t="shared" si="4"/>
        <v>6</v>
      </c>
      <c r="M27" s="47">
        <f t="shared" si="4"/>
        <v>7</v>
      </c>
      <c r="N27" s="47">
        <f t="shared" si="4"/>
        <v>8</v>
      </c>
      <c r="O27" s="47">
        <f t="shared" si="4"/>
        <v>9</v>
      </c>
      <c r="P27" s="147">
        <f t="shared" si="5"/>
        <v>100</v>
      </c>
      <c r="Q27" s="147">
        <f t="shared" si="18"/>
        <v>160</v>
      </c>
      <c r="R27" s="147">
        <f t="shared" si="19"/>
        <v>200</v>
      </c>
      <c r="S27" s="147">
        <f t="shared" si="20"/>
        <v>228.57142857142858</v>
      </c>
      <c r="T27" s="147">
        <f t="shared" si="21"/>
        <v>250</v>
      </c>
      <c r="U27" s="147">
        <f t="shared" si="22"/>
        <v>266.66666666666663</v>
      </c>
      <c r="V27" s="21">
        <f t="shared" si="6"/>
        <v>550</v>
      </c>
      <c r="W27" s="21">
        <f t="shared" si="7"/>
        <v>170</v>
      </c>
      <c r="X27" s="21">
        <f t="shared" si="8"/>
        <v>1800</v>
      </c>
      <c r="Y27" s="21">
        <f t="shared" si="9"/>
        <v>460</v>
      </c>
      <c r="Z27" s="21">
        <f t="shared" si="10"/>
        <v>650</v>
      </c>
      <c r="AA27" s="21">
        <f t="shared" si="11"/>
        <v>810</v>
      </c>
      <c r="AB27" s="49">
        <f t="shared" si="12"/>
        <v>733.33333333333337</v>
      </c>
      <c r="AC27" s="49">
        <f t="shared" si="13"/>
        <v>283.33333333333331</v>
      </c>
      <c r="AD27" s="49">
        <f t="shared" si="14"/>
        <v>3600</v>
      </c>
      <c r="AE27" s="49">
        <f t="shared" si="15"/>
        <v>1073.3333333333333</v>
      </c>
      <c r="AF27" s="49">
        <f t="shared" si="16"/>
        <v>1733.3333333333333</v>
      </c>
      <c r="AG27" s="49">
        <f t="shared" si="17"/>
        <v>2430</v>
      </c>
      <c r="AH27" s="3"/>
      <c r="AI27" s="3" t="s">
        <v>535</v>
      </c>
      <c r="AJ27" s="3" t="s">
        <v>535</v>
      </c>
      <c r="AK27" s="3" t="s">
        <v>535</v>
      </c>
      <c r="AL27" s="3"/>
      <c r="AM27" s="27"/>
      <c r="AN27" s="134" cm="1">
        <f t="array" ref="AN27">IF(AH27="Oui",($A27/$B27)/(SUMPRODUCT((AH$4:AH$35="Oui")*($A$4:$A$35/$B$4:$B$35))),0)</f>
        <v>0</v>
      </c>
      <c r="AO27" s="134" cm="1">
        <f t="array" ref="AO27">IF(AI27="Oui",($A27/$B27)/(SUMPRODUCT((AI$4:AI$35="Oui")*($A$4:$A$35/$B$4:$B$35))),0)</f>
        <v>4.0180411190988606E-2</v>
      </c>
      <c r="AP27" s="134" cm="1">
        <f t="array" ref="AP27">IF(AJ27="Oui",($A27/$B27)/(SUMPRODUCT((AJ$4:AJ$35="Oui")*($A$4:$A$35/$B$4:$B$35))),0)</f>
        <v>3.5917665658720781E-2</v>
      </c>
      <c r="AQ27" s="134" cm="1">
        <f t="array" ref="AQ27">IF(AK27="Oui",($A27/$B27)/(SUMPRODUCT((AK$4:AK$35="Oui")*($A$4:$A$35/$B$4:$B$35))),0)</f>
        <v>4.3640548943754853E-2</v>
      </c>
      <c r="AR27" s="134" cm="1">
        <f t="array" ref="AR27">IF(AL27="Oui",($A27/$B27)/(SUMPRODUCT((AL$4:AL$35="Oui")*($A$4:$A$35/$B$4:$B$35))),0)</f>
        <v>0</v>
      </c>
      <c r="AS27" s="134" cm="1">
        <f t="array" ref="AS27">IF(AM27="Oui",($A27/$B27)/(SUMPRODUCT((AM$4:AM$35="Oui")*($A$4:$A$35/$B$4:$B$35))),0)</f>
        <v>0</v>
      </c>
    </row>
    <row r="28" spans="1:45" ht="15.5">
      <c r="A28" s="15">
        <v>3</v>
      </c>
      <c r="B28" s="16">
        <v>26</v>
      </c>
      <c r="C28" s="3" t="s">
        <v>510</v>
      </c>
      <c r="D28" s="3" t="s">
        <v>595</v>
      </c>
      <c r="E28" s="3" t="s">
        <v>249</v>
      </c>
      <c r="F28" s="3"/>
      <c r="G28" s="3" t="s">
        <v>511</v>
      </c>
      <c r="H28" s="3" t="s">
        <v>260</v>
      </c>
      <c r="I28" s="3"/>
      <c r="J28" s="47">
        <f t="shared" si="4"/>
        <v>4</v>
      </c>
      <c r="K28" s="47">
        <f t="shared" si="4"/>
        <v>5</v>
      </c>
      <c r="L28" s="47">
        <f t="shared" si="4"/>
        <v>6</v>
      </c>
      <c r="M28" s="47">
        <f t="shared" si="4"/>
        <v>7</v>
      </c>
      <c r="N28" s="47">
        <f t="shared" si="4"/>
        <v>8</v>
      </c>
      <c r="O28" s="47">
        <f t="shared" si="4"/>
        <v>9</v>
      </c>
      <c r="P28" s="147">
        <f t="shared" si="5"/>
        <v>130</v>
      </c>
      <c r="Q28" s="147">
        <f t="shared" si="18"/>
        <v>208</v>
      </c>
      <c r="R28" s="147">
        <f t="shared" si="19"/>
        <v>260</v>
      </c>
      <c r="S28" s="147">
        <f t="shared" si="20"/>
        <v>297.14285714285717</v>
      </c>
      <c r="T28" s="147">
        <f t="shared" si="21"/>
        <v>325</v>
      </c>
      <c r="U28" s="147">
        <f t="shared" si="22"/>
        <v>346.66666666666669</v>
      </c>
      <c r="V28" s="21">
        <f t="shared" si="6"/>
        <v>70</v>
      </c>
      <c r="W28" s="21">
        <f t="shared" si="7"/>
        <v>210</v>
      </c>
      <c r="X28" s="21">
        <f t="shared" si="8"/>
        <v>405</v>
      </c>
      <c r="Y28" s="21">
        <f t="shared" si="9"/>
        <v>600</v>
      </c>
      <c r="Z28" s="21">
        <f t="shared" si="10"/>
        <v>825</v>
      </c>
      <c r="AA28" s="21">
        <f t="shared" si="11"/>
        <v>1050</v>
      </c>
      <c r="AB28" s="49">
        <f t="shared" si="12"/>
        <v>93.333333333333329</v>
      </c>
      <c r="AC28" s="49">
        <f t="shared" si="13"/>
        <v>350</v>
      </c>
      <c r="AD28" s="49">
        <f t="shared" si="14"/>
        <v>810</v>
      </c>
      <c r="AE28" s="49">
        <f t="shared" si="15"/>
        <v>1400</v>
      </c>
      <c r="AF28" s="49">
        <f t="shared" si="16"/>
        <v>2200</v>
      </c>
      <c r="AG28" s="49">
        <f t="shared" si="17"/>
        <v>3150</v>
      </c>
      <c r="AH28" s="3" t="s">
        <v>535</v>
      </c>
      <c r="AI28" s="3" t="s">
        <v>535</v>
      </c>
      <c r="AJ28" s="3" t="s">
        <v>535</v>
      </c>
      <c r="AK28" s="3" t="s">
        <v>535</v>
      </c>
      <c r="AL28" s="3" t="s">
        <v>535</v>
      </c>
      <c r="AM28" s="27" t="s">
        <v>535</v>
      </c>
      <c r="AN28" s="134" cm="1">
        <f t="array" ref="AN28">IF(AH28="Oui",($A28/$B28)/(SUMPRODUCT((AH$4:AH$35="Oui")*($A$4:$A$35/$B$4:$B$35))),0)</f>
        <v>2.3474178403755874E-2</v>
      </c>
      <c r="AO28" s="134" cm="1">
        <f t="array" ref="AO28">IF(AI28="Oui",($A28/$B28)/(SUMPRODUCT((AI$4:AI$35="Oui")*($A$4:$A$35/$B$4:$B$35))),0)</f>
        <v>3.0908008608452775E-2</v>
      </c>
      <c r="AP28" s="134" cm="1">
        <f t="array" ref="AP28">IF(AJ28="Oui",($A28/$B28)/(SUMPRODUCT((AJ$4:AJ$35="Oui")*($A$4:$A$35/$B$4:$B$35))),0)</f>
        <v>2.7628973583631374E-2</v>
      </c>
      <c r="AQ28" s="134" cm="1">
        <f t="array" ref="AQ28">IF(AK28="Oui",($A28/$B28)/(SUMPRODUCT((AK$4:AK$35="Oui")*($A$4:$A$35/$B$4:$B$35))),0)</f>
        <v>3.3569653033657582E-2</v>
      </c>
      <c r="AR28" s="134" cm="1">
        <f t="array" ref="AR28">IF(AL28="Oui",($A28/$B28)/(SUMPRODUCT((AL$4:AL$35="Oui")*($A$4:$A$35/$B$4:$B$35))),0)</f>
        <v>3.1046615918864845E-2</v>
      </c>
      <c r="AS28" s="134" cm="1">
        <f t="array" ref="AS28">IF(AM28="Oui",($A28/$B28)/(SUMPRODUCT((AM$4:AM$35="Oui")*($A$4:$A$35/$B$4:$B$35))),0)</f>
        <v>3.7425557299221292E-2</v>
      </c>
    </row>
    <row r="29" spans="1:45" ht="43.5">
      <c r="A29" s="15">
        <v>4</v>
      </c>
      <c r="B29" s="16">
        <v>30</v>
      </c>
      <c r="C29" s="3" t="s">
        <v>512</v>
      </c>
      <c r="D29" s="3" t="s">
        <v>595</v>
      </c>
      <c r="E29" s="3" t="s">
        <v>263</v>
      </c>
      <c r="F29" s="3"/>
      <c r="G29" s="3" t="s">
        <v>513</v>
      </c>
      <c r="H29" s="17" t="s">
        <v>552</v>
      </c>
      <c r="I29" s="3"/>
      <c r="J29" s="47">
        <f t="shared" si="4"/>
        <v>5</v>
      </c>
      <c r="K29" s="47">
        <f t="shared" si="4"/>
        <v>6</v>
      </c>
      <c r="L29" s="47">
        <f t="shared" si="4"/>
        <v>7</v>
      </c>
      <c r="M29" s="47">
        <f t="shared" si="4"/>
        <v>8</v>
      </c>
      <c r="N29" s="47">
        <f t="shared" si="4"/>
        <v>9</v>
      </c>
      <c r="O29" s="47">
        <f t="shared" si="4"/>
        <v>10</v>
      </c>
      <c r="P29" s="147">
        <f t="shared" si="5"/>
        <v>120</v>
      </c>
      <c r="Q29" s="147">
        <f t="shared" si="18"/>
        <v>200</v>
      </c>
      <c r="R29" s="147">
        <f t="shared" si="19"/>
        <v>257.14285714285711</v>
      </c>
      <c r="S29" s="147">
        <f t="shared" si="20"/>
        <v>300</v>
      </c>
      <c r="T29" s="147">
        <f t="shared" si="21"/>
        <v>333.33333333333337</v>
      </c>
      <c r="U29" s="147">
        <f t="shared" si="22"/>
        <v>360</v>
      </c>
      <c r="V29" s="21">
        <f t="shared" si="6"/>
        <v>65</v>
      </c>
      <c r="W29" s="21">
        <f t="shared" si="7"/>
        <v>1200</v>
      </c>
      <c r="X29" s="21">
        <f t="shared" si="8"/>
        <v>390</v>
      </c>
      <c r="Y29" s="21">
        <f t="shared" si="9"/>
        <v>2600</v>
      </c>
      <c r="Z29" s="21">
        <f t="shared" si="10"/>
        <v>850</v>
      </c>
      <c r="AA29" s="21">
        <f t="shared" si="11"/>
        <v>1110</v>
      </c>
      <c r="AB29" s="49">
        <f t="shared" si="12"/>
        <v>108.33333333333333</v>
      </c>
      <c r="AC29" s="49">
        <f t="shared" si="13"/>
        <v>2400</v>
      </c>
      <c r="AD29" s="49">
        <f t="shared" si="14"/>
        <v>910</v>
      </c>
      <c r="AE29" s="49">
        <f t="shared" si="15"/>
        <v>6933.333333333333</v>
      </c>
      <c r="AF29" s="49">
        <f t="shared" si="16"/>
        <v>2550</v>
      </c>
      <c r="AG29" s="49">
        <f t="shared" si="17"/>
        <v>3700</v>
      </c>
      <c r="AH29" s="3"/>
      <c r="AI29" s="3"/>
      <c r="AJ29" s="3"/>
      <c r="AK29" s="3"/>
      <c r="AL29" s="3"/>
      <c r="AM29" s="27" t="s">
        <v>535</v>
      </c>
      <c r="AN29" s="134" cm="1">
        <f t="array" ref="AN29">IF(AH29="Oui",($A29/$B29)/(SUMPRODUCT((AH$4:AH$35="Oui")*($A$4:$A$35/$B$4:$B$35))),0)</f>
        <v>0</v>
      </c>
      <c r="AO29" s="134" cm="1">
        <f t="array" ref="AO29">IF(AI29="Oui",($A29/$B29)/(SUMPRODUCT((AI$4:AI$35="Oui")*($A$4:$A$35/$B$4:$B$35))),0)</f>
        <v>0</v>
      </c>
      <c r="AP29" s="134" cm="1">
        <f t="array" ref="AP29">IF(AJ29="Oui",($A29/$B29)/(SUMPRODUCT((AJ$4:AJ$35="Oui")*($A$4:$A$35/$B$4:$B$35))),0)</f>
        <v>0</v>
      </c>
      <c r="AQ29" s="134" cm="1">
        <f t="array" ref="AQ29">IF(AK29="Oui",($A29/$B29)/(SUMPRODUCT((AK$4:AK$35="Oui")*($A$4:$A$35/$B$4:$B$35))),0)</f>
        <v>0</v>
      </c>
      <c r="AR29" s="134" cm="1">
        <f t="array" ref="AR29">IF(AL29="Oui",($A29/$B29)/(SUMPRODUCT((AL$4:AL$35="Oui")*($A$4:$A$35/$B$4:$B$35))),0)</f>
        <v>0</v>
      </c>
      <c r="AS29" s="134" cm="1">
        <f t="array" ref="AS29">IF(AM29="Oui",($A29/$B29)/(SUMPRODUCT((AM$4:AM$35="Oui")*($A$4:$A$35/$B$4:$B$35))),0)</f>
        <v>4.3247310656877931E-2</v>
      </c>
    </row>
    <row r="30" spans="1:45" ht="15.5">
      <c r="A30" s="15">
        <v>4</v>
      </c>
      <c r="B30" s="16">
        <v>37.5</v>
      </c>
      <c r="C30" s="3" t="s">
        <v>515</v>
      </c>
      <c r="D30" s="3" t="s">
        <v>594</v>
      </c>
      <c r="E30" s="3" t="s">
        <v>553</v>
      </c>
      <c r="F30" s="3"/>
      <c r="G30" s="3" t="s">
        <v>517</v>
      </c>
      <c r="H30" s="3" t="s">
        <v>435</v>
      </c>
      <c r="I30" s="3"/>
      <c r="J30" s="47">
        <f t="shared" si="4"/>
        <v>5</v>
      </c>
      <c r="K30" s="47">
        <f t="shared" si="4"/>
        <v>6</v>
      </c>
      <c r="L30" s="47">
        <f t="shared" si="4"/>
        <v>7</v>
      </c>
      <c r="M30" s="47">
        <f t="shared" si="4"/>
        <v>8</v>
      </c>
      <c r="N30" s="47">
        <f t="shared" si="4"/>
        <v>9</v>
      </c>
      <c r="O30" s="47">
        <f t="shared" si="4"/>
        <v>10</v>
      </c>
      <c r="P30" s="147">
        <f t="shared" si="5"/>
        <v>150</v>
      </c>
      <c r="Q30" s="147">
        <f t="shared" si="18"/>
        <v>250</v>
      </c>
      <c r="R30" s="147">
        <f t="shared" si="19"/>
        <v>321.42857142857144</v>
      </c>
      <c r="S30" s="147">
        <f t="shared" si="20"/>
        <v>375</v>
      </c>
      <c r="T30" s="147">
        <f t="shared" si="21"/>
        <v>416.66666666666663</v>
      </c>
      <c r="U30" s="147">
        <f t="shared" si="22"/>
        <v>450</v>
      </c>
      <c r="V30" s="21">
        <f t="shared" si="6"/>
        <v>80</v>
      </c>
      <c r="W30" s="21">
        <f t="shared" si="7"/>
        <v>260</v>
      </c>
      <c r="X30" s="21">
        <f t="shared" si="8"/>
        <v>495</v>
      </c>
      <c r="Y30" s="21">
        <f t="shared" si="9"/>
        <v>760</v>
      </c>
      <c r="Z30" s="21">
        <f t="shared" si="10"/>
        <v>1050</v>
      </c>
      <c r="AA30" s="21">
        <f t="shared" si="11"/>
        <v>1380</v>
      </c>
      <c r="AB30" s="49">
        <f t="shared" si="12"/>
        <v>133.33333333333334</v>
      </c>
      <c r="AC30" s="49">
        <f t="shared" si="13"/>
        <v>520</v>
      </c>
      <c r="AD30" s="49">
        <f t="shared" si="14"/>
        <v>1155</v>
      </c>
      <c r="AE30" s="49">
        <f t="shared" si="15"/>
        <v>2026.6666666666667</v>
      </c>
      <c r="AF30" s="49">
        <f t="shared" si="16"/>
        <v>3150</v>
      </c>
      <c r="AG30" s="49">
        <f t="shared" si="17"/>
        <v>4600</v>
      </c>
      <c r="AH30" s="3"/>
      <c r="AI30" s="3" t="s">
        <v>535</v>
      </c>
      <c r="AJ30" s="3" t="s">
        <v>535</v>
      </c>
      <c r="AK30" s="3"/>
      <c r="AL30" s="3" t="s">
        <v>535</v>
      </c>
      <c r="AM30" s="27"/>
      <c r="AN30" s="134" cm="1">
        <f t="array" ref="AN30">IF(AH30="Oui",($A30/$B30)/(SUMPRODUCT((AH$4:AH$35="Oui")*($A$4:$A$35/$B$4:$B$35))),0)</f>
        <v>0</v>
      </c>
      <c r="AO30" s="134" cm="1">
        <f t="array" ref="AO30">IF(AI30="Oui",($A30/$B30)/(SUMPRODUCT((AI$4:AI$35="Oui")*($A$4:$A$35/$B$4:$B$35))),0)</f>
        <v>2.8572736846925233E-2</v>
      </c>
      <c r="AP30" s="134" cm="1">
        <f t="array" ref="AP30">IF(AJ30="Oui",($A30/$B30)/(SUMPRODUCT((AJ$4:AJ$35="Oui")*($A$4:$A$35/$B$4:$B$35))),0)</f>
        <v>2.5541451135090338E-2</v>
      </c>
      <c r="AQ30" s="134" cm="1">
        <f t="array" ref="AQ30">IF(AK30="Oui",($A30/$B30)/(SUMPRODUCT((AK$4:AK$35="Oui")*($A$4:$A$35/$B$4:$B$35))),0)</f>
        <v>0</v>
      </c>
      <c r="AR30" s="134" cm="1">
        <f t="array" ref="AR30">IF(AL30="Oui",($A30/$B30)/(SUMPRODUCT((AL$4:AL$35="Oui")*($A$4:$A$35/$B$4:$B$35))),0)</f>
        <v>2.8700871604995057E-2</v>
      </c>
      <c r="AS30" s="134" cm="1">
        <f t="array" ref="AS30">IF(AM30="Oui",($A30/$B30)/(SUMPRODUCT((AM$4:AM$35="Oui")*($A$4:$A$35/$B$4:$B$35))),0)</f>
        <v>0</v>
      </c>
    </row>
    <row r="31" spans="1:45" ht="15.5">
      <c r="A31" s="15">
        <v>4</v>
      </c>
      <c r="B31" s="16">
        <v>45</v>
      </c>
      <c r="C31" s="3" t="s">
        <v>518</v>
      </c>
      <c r="D31" s="3" t="s">
        <v>594</v>
      </c>
      <c r="E31" s="3" t="s">
        <v>547</v>
      </c>
      <c r="F31" s="3"/>
      <c r="G31" s="3"/>
      <c r="H31" s="3" t="s">
        <v>519</v>
      </c>
      <c r="I31" s="3"/>
      <c r="J31" s="47">
        <f t="shared" si="4"/>
        <v>5</v>
      </c>
      <c r="K31" s="47">
        <f t="shared" si="4"/>
        <v>6</v>
      </c>
      <c r="L31" s="47">
        <f t="shared" si="4"/>
        <v>7</v>
      </c>
      <c r="M31" s="47">
        <f t="shared" si="4"/>
        <v>8</v>
      </c>
      <c r="N31" s="47">
        <f t="shared" si="4"/>
        <v>9</v>
      </c>
      <c r="O31" s="47">
        <f t="shared" si="4"/>
        <v>10</v>
      </c>
      <c r="P31" s="147">
        <f t="shared" si="5"/>
        <v>180</v>
      </c>
      <c r="Q31" s="147">
        <f t="shared" si="18"/>
        <v>300</v>
      </c>
      <c r="R31" s="147">
        <f t="shared" si="19"/>
        <v>385.71428571428578</v>
      </c>
      <c r="S31" s="147">
        <f t="shared" si="20"/>
        <v>450</v>
      </c>
      <c r="T31" s="147">
        <f t="shared" si="21"/>
        <v>500</v>
      </c>
      <c r="U31" s="147">
        <f t="shared" si="22"/>
        <v>540</v>
      </c>
      <c r="V31" s="21">
        <f t="shared" si="6"/>
        <v>95</v>
      </c>
      <c r="W31" s="21">
        <f t="shared" si="7"/>
        <v>1300</v>
      </c>
      <c r="X31" s="21">
        <f t="shared" si="8"/>
        <v>585</v>
      </c>
      <c r="Y31" s="21">
        <f t="shared" si="9"/>
        <v>920</v>
      </c>
      <c r="Z31" s="21">
        <f t="shared" si="10"/>
        <v>3750</v>
      </c>
      <c r="AA31" s="21">
        <f t="shared" si="11"/>
        <v>1650</v>
      </c>
      <c r="AB31" s="49">
        <f t="shared" si="12"/>
        <v>158.33333333333334</v>
      </c>
      <c r="AC31" s="49">
        <f t="shared" si="13"/>
        <v>2600</v>
      </c>
      <c r="AD31" s="49">
        <f t="shared" si="14"/>
        <v>1365</v>
      </c>
      <c r="AE31" s="49">
        <f t="shared" si="15"/>
        <v>2453.3333333333335</v>
      </c>
      <c r="AF31" s="49">
        <f t="shared" si="16"/>
        <v>11250</v>
      </c>
      <c r="AG31" s="49">
        <f t="shared" si="17"/>
        <v>5500</v>
      </c>
      <c r="AH31" s="3"/>
      <c r="AI31" s="3" t="s">
        <v>535</v>
      </c>
      <c r="AJ31" s="3"/>
      <c r="AK31" s="3"/>
      <c r="AL31" s="3"/>
      <c r="AM31" s="27"/>
      <c r="AN31" s="134" cm="1">
        <f t="array" ref="AN31">IF(AH31="Oui",($A31/$B31)/(SUMPRODUCT((AH$4:AH$35="Oui")*($A$4:$A$35/$B$4:$B$35))),0)</f>
        <v>0</v>
      </c>
      <c r="AO31" s="134" cm="1">
        <f t="array" ref="AO31">IF(AI31="Oui",($A31/$B31)/(SUMPRODUCT((AI$4:AI$35="Oui")*($A$4:$A$35/$B$4:$B$35))),0)</f>
        <v>2.3810614039104359E-2</v>
      </c>
      <c r="AP31" s="134" cm="1">
        <f t="array" ref="AP31">IF(AJ31="Oui",($A31/$B31)/(SUMPRODUCT((AJ$4:AJ$35="Oui")*($A$4:$A$35/$B$4:$B$35))),0)</f>
        <v>0</v>
      </c>
      <c r="AQ31" s="134" cm="1">
        <f t="array" ref="AQ31">IF(AK31="Oui",($A31/$B31)/(SUMPRODUCT((AK$4:AK$35="Oui")*($A$4:$A$35/$B$4:$B$35))),0)</f>
        <v>0</v>
      </c>
      <c r="AR31" s="134" cm="1">
        <f t="array" ref="AR31">IF(AL31="Oui",($A31/$B31)/(SUMPRODUCT((AL$4:AL$35="Oui")*($A$4:$A$35/$B$4:$B$35))),0)</f>
        <v>0</v>
      </c>
      <c r="AS31" s="134" cm="1">
        <f t="array" ref="AS31">IF(AM31="Oui",($A31/$B31)/(SUMPRODUCT((AM$4:AM$35="Oui")*($A$4:$A$35/$B$4:$B$35))),0)</f>
        <v>0</v>
      </c>
    </row>
    <row r="32" spans="1:45" ht="15.5">
      <c r="A32" s="15">
        <v>5</v>
      </c>
      <c r="B32" s="16">
        <v>60</v>
      </c>
      <c r="C32" s="3" t="s">
        <v>520</v>
      </c>
      <c r="D32" s="3" t="s">
        <v>595</v>
      </c>
      <c r="E32" s="3" t="s">
        <v>249</v>
      </c>
      <c r="F32" s="3"/>
      <c r="G32" s="3"/>
      <c r="H32" s="3" t="s">
        <v>18</v>
      </c>
      <c r="I32" s="3"/>
      <c r="J32" s="47">
        <f t="shared" si="4"/>
        <v>6</v>
      </c>
      <c r="K32" s="47">
        <f t="shared" si="4"/>
        <v>7</v>
      </c>
      <c r="L32" s="47">
        <f t="shared" si="4"/>
        <v>8</v>
      </c>
      <c r="M32" s="47">
        <f t="shared" si="4"/>
        <v>9</v>
      </c>
      <c r="N32" s="47">
        <f t="shared" si="4"/>
        <v>10</v>
      </c>
      <c r="O32" s="47">
        <f t="shared" si="4"/>
        <v>11</v>
      </c>
      <c r="P32" s="147">
        <f t="shared" si="5"/>
        <v>200</v>
      </c>
      <c r="Q32" s="147">
        <f t="shared" si="18"/>
        <v>342.85714285714283</v>
      </c>
      <c r="R32" s="147">
        <f t="shared" si="19"/>
        <v>450</v>
      </c>
      <c r="S32" s="147">
        <f t="shared" si="20"/>
        <v>533.33333333333337</v>
      </c>
      <c r="T32" s="147">
        <f t="shared" si="21"/>
        <v>600</v>
      </c>
      <c r="U32" s="147">
        <f t="shared" si="22"/>
        <v>654.5454545454545</v>
      </c>
      <c r="V32" s="21">
        <f t="shared" si="6"/>
        <v>600</v>
      </c>
      <c r="W32" s="21">
        <f t="shared" si="7"/>
        <v>350</v>
      </c>
      <c r="X32" s="21">
        <f t="shared" si="8"/>
        <v>690</v>
      </c>
      <c r="Y32" s="21">
        <f t="shared" si="9"/>
        <v>1080</v>
      </c>
      <c r="Z32" s="21">
        <f t="shared" si="10"/>
        <v>4000</v>
      </c>
      <c r="AA32" s="21">
        <f t="shared" si="11"/>
        <v>1980</v>
      </c>
      <c r="AB32" s="49">
        <f t="shared" si="12"/>
        <v>1200</v>
      </c>
      <c r="AC32" s="49">
        <f t="shared" si="13"/>
        <v>816.66666666666663</v>
      </c>
      <c r="AD32" s="49">
        <f t="shared" si="14"/>
        <v>1840</v>
      </c>
      <c r="AE32" s="49">
        <f t="shared" si="15"/>
        <v>3240</v>
      </c>
      <c r="AF32" s="49">
        <f t="shared" si="16"/>
        <v>13333.333333333334</v>
      </c>
      <c r="AG32" s="49">
        <f t="shared" si="17"/>
        <v>7260</v>
      </c>
      <c r="AH32" s="3"/>
      <c r="AI32" s="3"/>
      <c r="AJ32" s="3"/>
      <c r="AK32" s="3"/>
      <c r="AL32" s="3" t="s">
        <v>535</v>
      </c>
      <c r="AM32" s="27"/>
      <c r="AN32" s="134" cm="1">
        <f t="array" ref="AN32">IF(AH32="Oui",($A32/$B32)/(SUMPRODUCT((AH$4:AH$35="Oui")*($A$4:$A$35/$B$4:$B$35))),0)</f>
        <v>0</v>
      </c>
      <c r="AO32" s="134" cm="1">
        <f t="array" ref="AO32">IF(AI32="Oui",($A32/$B32)/(SUMPRODUCT((AI$4:AI$35="Oui")*($A$4:$A$35/$B$4:$B$35))),0)</f>
        <v>0</v>
      </c>
      <c r="AP32" s="134" cm="1">
        <f t="array" ref="AP32">IF(AJ32="Oui",($A32/$B32)/(SUMPRODUCT((AJ$4:AJ$35="Oui")*($A$4:$A$35/$B$4:$B$35))),0)</f>
        <v>0</v>
      </c>
      <c r="AQ32" s="134" cm="1">
        <f t="array" ref="AQ32">IF(AK32="Oui",($A32/$B32)/(SUMPRODUCT((AK$4:AK$35="Oui")*($A$4:$A$35/$B$4:$B$35))),0)</f>
        <v>0</v>
      </c>
      <c r="AR32" s="134" cm="1">
        <f t="array" ref="AR32">IF(AL32="Oui",($A32/$B32)/(SUMPRODUCT((AL$4:AL$35="Oui")*($A$4:$A$35/$B$4:$B$35))),0)</f>
        <v>2.2422555941402387E-2</v>
      </c>
      <c r="AS32" s="134" cm="1">
        <f t="array" ref="AS32">IF(AM32="Oui",($A32/$B32)/(SUMPRODUCT((AM$4:AM$35="Oui")*($A$4:$A$35/$B$4:$B$35))),0)</f>
        <v>0</v>
      </c>
    </row>
    <row r="33" spans="1:45" ht="15.5">
      <c r="A33" s="15">
        <v>5</v>
      </c>
      <c r="B33" s="16">
        <v>60</v>
      </c>
      <c r="C33" s="3" t="s">
        <v>521</v>
      </c>
      <c r="D33" s="3" t="s">
        <v>595</v>
      </c>
      <c r="E33" s="3" t="s">
        <v>172</v>
      </c>
      <c r="F33" s="3"/>
      <c r="G33" s="3"/>
      <c r="H33" s="3" t="s">
        <v>258</v>
      </c>
      <c r="I33" s="3"/>
      <c r="J33" s="47">
        <f t="shared" si="4"/>
        <v>6</v>
      </c>
      <c r="K33" s="47">
        <f t="shared" si="4"/>
        <v>7</v>
      </c>
      <c r="L33" s="47">
        <f t="shared" si="4"/>
        <v>8</v>
      </c>
      <c r="M33" s="47">
        <f t="shared" si="4"/>
        <v>9</v>
      </c>
      <c r="N33" s="47">
        <f t="shared" si="4"/>
        <v>10</v>
      </c>
      <c r="O33" s="47">
        <f t="shared" si="4"/>
        <v>11</v>
      </c>
      <c r="P33" s="147">
        <f t="shared" si="5"/>
        <v>200</v>
      </c>
      <c r="Q33" s="147">
        <f t="shared" si="18"/>
        <v>342.85714285714283</v>
      </c>
      <c r="R33" s="147">
        <f t="shared" si="19"/>
        <v>450</v>
      </c>
      <c r="S33" s="147">
        <f t="shared" si="20"/>
        <v>533.33333333333337</v>
      </c>
      <c r="T33" s="147">
        <f t="shared" si="21"/>
        <v>600</v>
      </c>
      <c r="U33" s="147">
        <f t="shared" si="22"/>
        <v>654.5454545454545</v>
      </c>
      <c r="V33" s="21">
        <f t="shared" si="6"/>
        <v>600</v>
      </c>
      <c r="W33" s="21">
        <f t="shared" si="7"/>
        <v>350</v>
      </c>
      <c r="X33" s="21">
        <f t="shared" si="8"/>
        <v>690</v>
      </c>
      <c r="Y33" s="21">
        <f t="shared" si="9"/>
        <v>1080</v>
      </c>
      <c r="Z33" s="21">
        <f t="shared" si="10"/>
        <v>4000</v>
      </c>
      <c r="AA33" s="21">
        <f t="shared" si="11"/>
        <v>1980</v>
      </c>
      <c r="AB33" s="49">
        <f t="shared" si="12"/>
        <v>1200</v>
      </c>
      <c r="AC33" s="49">
        <f t="shared" si="13"/>
        <v>816.66666666666663</v>
      </c>
      <c r="AD33" s="49">
        <f t="shared" si="14"/>
        <v>1840</v>
      </c>
      <c r="AE33" s="49">
        <f t="shared" si="15"/>
        <v>3240</v>
      </c>
      <c r="AF33" s="49">
        <f t="shared" si="16"/>
        <v>13333.333333333334</v>
      </c>
      <c r="AG33" s="49">
        <f t="shared" si="17"/>
        <v>7260</v>
      </c>
      <c r="AH33" s="3"/>
      <c r="AI33" s="3"/>
      <c r="AJ33" s="3"/>
      <c r="AK33" s="3"/>
      <c r="AL33" s="3"/>
      <c r="AM33" s="27" t="s">
        <v>535</v>
      </c>
      <c r="AN33" s="134" cm="1">
        <f t="array" ref="AN33">IF(AH33="Oui",($A33/$B33)/(SUMPRODUCT((AH$4:AH$35="Oui")*($A$4:$A$35/$B$4:$B$35))),0)</f>
        <v>0</v>
      </c>
      <c r="AO33" s="134" cm="1">
        <f t="array" ref="AO33">IF(AI33="Oui",($A33/$B33)/(SUMPRODUCT((AI$4:AI$35="Oui")*($A$4:$A$35/$B$4:$B$35))),0)</f>
        <v>0</v>
      </c>
      <c r="AP33" s="134" cm="1">
        <f t="array" ref="AP33">IF(AJ33="Oui",($A33/$B33)/(SUMPRODUCT((AJ$4:AJ$35="Oui")*($A$4:$A$35/$B$4:$B$35))),0)</f>
        <v>0</v>
      </c>
      <c r="AQ33" s="134" cm="1">
        <f t="array" ref="AQ33">IF(AK33="Oui",($A33/$B33)/(SUMPRODUCT((AK$4:AK$35="Oui")*($A$4:$A$35/$B$4:$B$35))),0)</f>
        <v>0</v>
      </c>
      <c r="AR33" s="134" cm="1">
        <f t="array" ref="AR33">IF(AL33="Oui",($A33/$B33)/(SUMPRODUCT((AL$4:AL$35="Oui")*($A$4:$A$35/$B$4:$B$35))),0)</f>
        <v>0</v>
      </c>
      <c r="AS33" s="134" cm="1">
        <f t="array" ref="AS33">IF(AM33="Oui",($A33/$B33)/(SUMPRODUCT((AM$4:AM$35="Oui")*($A$4:$A$35/$B$4:$B$35))),0)</f>
        <v>2.7029569160548706E-2</v>
      </c>
    </row>
    <row r="34" spans="1:45" ht="15.5">
      <c r="A34" s="15">
        <v>6</v>
      </c>
      <c r="B34" s="16">
        <v>70</v>
      </c>
      <c r="C34" s="3" t="s">
        <v>24</v>
      </c>
      <c r="D34" s="3" t="s">
        <v>594</v>
      </c>
      <c r="E34" s="3" t="s">
        <v>245</v>
      </c>
      <c r="F34" s="3"/>
      <c r="G34" s="3"/>
      <c r="H34" s="3" t="s">
        <v>522</v>
      </c>
      <c r="I34" s="3"/>
      <c r="J34" s="47">
        <f t="shared" si="4"/>
        <v>7</v>
      </c>
      <c r="K34" s="47">
        <f t="shared" si="4"/>
        <v>8</v>
      </c>
      <c r="L34" s="47">
        <f t="shared" si="4"/>
        <v>9</v>
      </c>
      <c r="M34" s="47">
        <f t="shared" si="4"/>
        <v>10</v>
      </c>
      <c r="N34" s="47">
        <f t="shared" si="4"/>
        <v>11</v>
      </c>
      <c r="O34" s="47">
        <f t="shared" si="4"/>
        <v>12</v>
      </c>
      <c r="P34" s="147">
        <f t="shared" si="5"/>
        <v>200</v>
      </c>
      <c r="Q34" s="147">
        <f t="shared" si="18"/>
        <v>350</v>
      </c>
      <c r="R34" s="147">
        <f t="shared" si="19"/>
        <v>466.66666666666663</v>
      </c>
      <c r="S34" s="147">
        <f t="shared" si="20"/>
        <v>560</v>
      </c>
      <c r="T34" s="147">
        <f t="shared" si="21"/>
        <v>636.36363636363637</v>
      </c>
      <c r="U34" s="147">
        <f t="shared" si="22"/>
        <v>700</v>
      </c>
      <c r="V34" s="21">
        <f t="shared" si="6"/>
        <v>600</v>
      </c>
      <c r="W34" s="21">
        <f t="shared" si="7"/>
        <v>360</v>
      </c>
      <c r="X34" s="21">
        <f t="shared" si="8"/>
        <v>705</v>
      </c>
      <c r="Y34" s="21">
        <f t="shared" si="9"/>
        <v>1140</v>
      </c>
      <c r="Z34" s="21">
        <f t="shared" si="10"/>
        <v>1600</v>
      </c>
      <c r="AA34" s="21">
        <f t="shared" si="11"/>
        <v>5100</v>
      </c>
      <c r="AB34" s="49">
        <f t="shared" si="12"/>
        <v>1400</v>
      </c>
      <c r="AC34" s="49">
        <f t="shared" si="13"/>
        <v>960</v>
      </c>
      <c r="AD34" s="49">
        <f t="shared" si="14"/>
        <v>2115</v>
      </c>
      <c r="AE34" s="49">
        <f t="shared" si="15"/>
        <v>3800</v>
      </c>
      <c r="AF34" s="49">
        <f t="shared" si="16"/>
        <v>5866.666666666667</v>
      </c>
      <c r="AG34" s="49">
        <f t="shared" si="17"/>
        <v>20400</v>
      </c>
      <c r="AH34" s="3"/>
      <c r="AI34" s="3"/>
      <c r="AJ34" s="3"/>
      <c r="AK34" s="3"/>
      <c r="AL34" s="3"/>
      <c r="AM34" s="27" t="s">
        <v>535</v>
      </c>
      <c r="AN34" s="134" cm="1">
        <f t="array" ref="AN34">IF(AH34="Oui",($A34/$B34)/(SUMPRODUCT((AH$4:AH$35="Oui")*($A$4:$A$35/$B$4:$B$35))),0)</f>
        <v>0</v>
      </c>
      <c r="AO34" s="134" cm="1">
        <f t="array" ref="AO34">IF(AI34="Oui",($A34/$B34)/(SUMPRODUCT((AI$4:AI$35="Oui")*($A$4:$A$35/$B$4:$B$35))),0)</f>
        <v>0</v>
      </c>
      <c r="AP34" s="134" cm="1">
        <f t="array" ref="AP34">IF(AJ34="Oui",($A34/$B34)/(SUMPRODUCT((AJ$4:AJ$35="Oui")*($A$4:$A$35/$B$4:$B$35))),0)</f>
        <v>0</v>
      </c>
      <c r="AQ34" s="134" cm="1">
        <f t="array" ref="AQ34">IF(AK34="Oui",($A34/$B34)/(SUMPRODUCT((AK$4:AK$35="Oui")*($A$4:$A$35/$B$4:$B$35))),0)</f>
        <v>0</v>
      </c>
      <c r="AR34" s="134" cm="1">
        <f t="array" ref="AR34">IF(AL34="Oui",($A34/$B34)/(SUMPRODUCT((AL$4:AL$35="Oui")*($A$4:$A$35/$B$4:$B$35))),0)</f>
        <v>0</v>
      </c>
      <c r="AS34" s="134" cm="1">
        <f t="array" ref="AS34">IF(AM34="Oui",($A34/$B34)/(SUMPRODUCT((AM$4:AM$35="Oui")*($A$4:$A$35/$B$4:$B$35))),0)</f>
        <v>2.7801842565135813E-2</v>
      </c>
    </row>
    <row r="35" spans="1:45" ht="15.5">
      <c r="A35" s="139">
        <v>6</v>
      </c>
      <c r="B35" s="132">
        <v>175</v>
      </c>
      <c r="C35" s="118" t="s">
        <v>40</v>
      </c>
      <c r="D35" s="3" t="s">
        <v>594</v>
      </c>
      <c r="E35" s="94" t="s">
        <v>40</v>
      </c>
      <c r="F35" s="94" t="s">
        <v>40</v>
      </c>
      <c r="G35" s="94" t="s">
        <v>40</v>
      </c>
      <c r="H35" s="94" t="s">
        <v>40</v>
      </c>
      <c r="I35" s="94" t="s">
        <v>40</v>
      </c>
      <c r="J35" s="47">
        <f t="shared" si="4"/>
        <v>7</v>
      </c>
      <c r="K35" s="47">
        <f t="shared" si="4"/>
        <v>8</v>
      </c>
      <c r="L35" s="47">
        <f t="shared" si="4"/>
        <v>9</v>
      </c>
      <c r="M35" s="47">
        <f t="shared" si="4"/>
        <v>10</v>
      </c>
      <c r="N35" s="47">
        <f t="shared" si="4"/>
        <v>11</v>
      </c>
      <c r="O35" s="47">
        <f t="shared" si="4"/>
        <v>12</v>
      </c>
      <c r="P35" s="147">
        <f t="shared" si="5"/>
        <v>500</v>
      </c>
      <c r="Q35" s="147">
        <f t="shared" si="18"/>
        <v>875</v>
      </c>
      <c r="R35" s="147">
        <f t="shared" si="19"/>
        <v>1166.6666666666667</v>
      </c>
      <c r="S35" s="147">
        <f t="shared" si="20"/>
        <v>1400</v>
      </c>
      <c r="T35" s="147">
        <f t="shared" si="21"/>
        <v>1590.909090909091</v>
      </c>
      <c r="U35" s="147">
        <f t="shared" si="22"/>
        <v>1750</v>
      </c>
      <c r="V35" s="21">
        <f t="shared" si="6"/>
        <v>750</v>
      </c>
      <c r="W35" s="21">
        <f t="shared" si="7"/>
        <v>880</v>
      </c>
      <c r="X35" s="21">
        <f t="shared" si="8"/>
        <v>1755</v>
      </c>
      <c r="Y35" s="21">
        <f t="shared" si="9"/>
        <v>4800</v>
      </c>
      <c r="Z35" s="21">
        <f t="shared" si="10"/>
        <v>4000</v>
      </c>
      <c r="AA35" s="21">
        <f t="shared" si="11"/>
        <v>5280</v>
      </c>
      <c r="AB35" s="49">
        <f t="shared" si="12"/>
        <v>1750</v>
      </c>
      <c r="AC35" s="49">
        <f t="shared" si="13"/>
        <v>2346.6666666666665</v>
      </c>
      <c r="AD35" s="49">
        <f t="shared" si="14"/>
        <v>5265</v>
      </c>
      <c r="AE35" s="49">
        <f t="shared" si="15"/>
        <v>16000</v>
      </c>
      <c r="AF35" s="49">
        <f t="shared" si="16"/>
        <v>14666.666666666666</v>
      </c>
      <c r="AG35" s="49">
        <f t="shared" si="17"/>
        <v>21120</v>
      </c>
      <c r="AH35" s="94"/>
      <c r="AI35" s="94"/>
      <c r="AJ35" s="94"/>
      <c r="AK35" s="94" t="s">
        <v>535</v>
      </c>
      <c r="AL35" s="94"/>
      <c r="AM35" s="111"/>
      <c r="AN35" s="145" cm="1">
        <f t="array" ref="AN35">IF(AH35="Oui",($A35/$B35)/(SUMPRODUCT((AH$4:AH$35="Oui")*($A$4:$A$35/$B$4:$B$35))),0)</f>
        <v>0</v>
      </c>
      <c r="AO35" s="145" cm="1">
        <f t="array" ref="AO35">IF(AI35="Oui",($A35/$B35)/(SUMPRODUCT((AI$4:AI$35="Oui")*($A$4:$A$35/$B$4:$B$35))),0)</f>
        <v>0</v>
      </c>
      <c r="AP35" s="145" cm="1">
        <f t="array" ref="AP35">IF(AJ35="Oui",($A35/$B35)/(SUMPRODUCT((AJ$4:AJ$35="Oui")*($A$4:$A$35/$B$4:$B$35))),0)</f>
        <v>0</v>
      </c>
      <c r="AQ35" s="145" cm="1">
        <f t="array" ref="AQ35">IF(AK35="Oui",($A35/$B35)/(SUMPRODUCT((AK$4:AK$35="Oui")*($A$4:$A$35/$B$4:$B$35))),0)</f>
        <v>9.9749826157153956E-3</v>
      </c>
      <c r="AR35" s="145" cm="1">
        <f t="array" ref="AR35">IF(AL35="Oui",($A35/$B35)/(SUMPRODUCT((AL$4:AL$35="Oui")*($A$4:$A$35/$B$4:$B$35))),0)</f>
        <v>0</v>
      </c>
      <c r="AS35" s="145" cm="1">
        <f t="array" ref="AS35">IF(AM35="Oui",($A35/$B35)/(SUMPRODUCT((AM$4:AM$35="Oui")*($A$4:$A$35/$B$4:$B$35))),0)</f>
        <v>0</v>
      </c>
    </row>
    <row r="36" spans="1:45">
      <c r="A36" s="3" t="s">
        <v>554</v>
      </c>
      <c r="B36" s="3" t="s">
        <v>554</v>
      </c>
      <c r="C36" s="3" t="s">
        <v>555</v>
      </c>
      <c r="D36" s="3" t="s">
        <v>595</v>
      </c>
      <c r="E36" s="3"/>
      <c r="F36" s="3"/>
      <c r="G36" s="3"/>
      <c r="H36" s="3"/>
      <c r="I36" s="3"/>
      <c r="J36" s="47">
        <v>0</v>
      </c>
      <c r="K36" s="47">
        <v>0</v>
      </c>
      <c r="L36" s="47">
        <v>0</v>
      </c>
      <c r="M36" s="47">
        <v>0</v>
      </c>
      <c r="N36" s="47">
        <v>0</v>
      </c>
      <c r="O36" s="47">
        <v>0</v>
      </c>
      <c r="P36" s="147">
        <f>10000*P3</f>
        <v>10000</v>
      </c>
      <c r="Q36" s="147">
        <f t="shared" ref="Q36:U36" si="23">10000*Q3</f>
        <v>20000</v>
      </c>
      <c r="R36" s="147">
        <f t="shared" si="23"/>
        <v>30000</v>
      </c>
      <c r="S36" s="147">
        <f t="shared" si="23"/>
        <v>40000</v>
      </c>
      <c r="T36" s="147">
        <f t="shared" si="23"/>
        <v>50000</v>
      </c>
      <c r="U36" s="147">
        <f t="shared" si="23"/>
        <v>60000</v>
      </c>
      <c r="V36" s="21">
        <f t="shared" si="6"/>
        <v>5500</v>
      </c>
      <c r="W36" s="21">
        <f t="shared" si="7"/>
        <v>21000</v>
      </c>
      <c r="X36" s="21">
        <f t="shared" si="8"/>
        <v>46500</v>
      </c>
      <c r="Y36" s="21">
        <f t="shared" si="9"/>
        <v>82000</v>
      </c>
      <c r="Z36" s="21">
        <f t="shared" si="10"/>
        <v>127500</v>
      </c>
      <c r="AA36" s="21">
        <f t="shared" si="11"/>
        <v>183000</v>
      </c>
      <c r="AB36" s="49">
        <f>V36/3</f>
        <v>1833.3333333333333</v>
      </c>
      <c r="AC36" s="49">
        <f t="shared" ref="AC36:AG36" si="24">W36/3</f>
        <v>7000</v>
      </c>
      <c r="AD36" s="49">
        <f t="shared" si="24"/>
        <v>15500</v>
      </c>
      <c r="AE36" s="49">
        <f t="shared" si="24"/>
        <v>27333.333333333332</v>
      </c>
      <c r="AF36" s="49">
        <f t="shared" si="24"/>
        <v>42500</v>
      </c>
      <c r="AG36" s="49">
        <f t="shared" si="24"/>
        <v>61000</v>
      </c>
      <c r="AH36" s="3"/>
      <c r="AI36" s="3"/>
      <c r="AJ36" s="3"/>
      <c r="AK36" s="3"/>
      <c r="AL36" s="3"/>
      <c r="AM36" s="3"/>
      <c r="AN36" s="3">
        <v>1E-4</v>
      </c>
      <c r="AO36" s="3">
        <v>1E-4</v>
      </c>
      <c r="AP36" s="3">
        <v>1E-4</v>
      </c>
      <c r="AQ36" s="3">
        <v>1E-4</v>
      </c>
      <c r="AR36" s="3">
        <v>1E-4</v>
      </c>
      <c r="AS36" s="3">
        <v>1E-4</v>
      </c>
    </row>
  </sheetData>
  <mergeCells count="7">
    <mergeCell ref="J1:AG1"/>
    <mergeCell ref="AH2:AM2"/>
    <mergeCell ref="AN2:AS2"/>
    <mergeCell ref="J2:O2"/>
    <mergeCell ref="P2:U2"/>
    <mergeCell ref="V2:AA2"/>
    <mergeCell ref="AB2:AG2"/>
  </mergeCells>
  <conditionalFormatting sqref="A4:A35">
    <cfRule type="cellIs" dxfId="6" priority="2" stopIfTrue="1" operator="equal">
      <formula>1</formula>
    </cfRule>
    <cfRule type="cellIs" dxfId="5" priority="3" stopIfTrue="1" operator="equal">
      <formula>2</formula>
    </cfRule>
    <cfRule type="cellIs" dxfId="4" priority="4" stopIfTrue="1" operator="equal">
      <formula>3</formula>
    </cfRule>
    <cfRule type="cellIs" dxfId="3" priority="5" stopIfTrue="1" operator="equal">
      <formula>4</formula>
    </cfRule>
    <cfRule type="cellIs" dxfId="2" priority="6" stopIfTrue="1" operator="equal">
      <formula>5</formula>
    </cfRule>
    <cfRule type="cellIs" dxfId="1" priority="7" stopIfTrue="1" operator="equal">
      <formula>6</formula>
    </cfRule>
  </conditionalFormatting>
  <conditionalFormatting sqref="AN4:AS35">
    <cfRule type="cellIs" dxfId="0" priority="1" operator="equal">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E7B4-175E-4E95-8625-D9FA9EEDA9F3}">
  <dimension ref="A1:G29"/>
  <sheetViews>
    <sheetView workbookViewId="0">
      <selection activeCell="G3" sqref="G3"/>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88"/>
      <c r="B1" s="88"/>
      <c r="C1" s="88"/>
      <c r="D1" s="88"/>
      <c r="E1" s="88"/>
    </row>
    <row r="2" spans="1:7">
      <c r="A2" s="45" t="s">
        <v>596</v>
      </c>
      <c r="B2" s="95"/>
      <c r="C2" s="184" t="s">
        <v>597</v>
      </c>
      <c r="D2" s="185"/>
      <c r="E2" s="42" t="s">
        <v>598</v>
      </c>
      <c r="G2" t="str" cm="1">
        <f t="array" ref="G2:G2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Epée en fer</v>
      </c>
    </row>
    <row r="3" spans="1:7">
      <c r="A3" s="45" t="s">
        <v>599</v>
      </c>
      <c r="B3" s="95" t="s">
        <v>51</v>
      </c>
      <c r="C3" s="186" t="s">
        <v>600</v>
      </c>
      <c r="D3" s="187"/>
      <c r="E3" s="45" t="s">
        <v>601</v>
      </c>
      <c r="G3" t="str">
        <v>Epée de mithril</v>
      </c>
    </row>
    <row r="4" spans="1:7">
      <c r="A4" s="46">
        <v>1</v>
      </c>
      <c r="B4" s="100" t="s">
        <v>602</v>
      </c>
      <c r="C4" s="184" t="s">
        <v>414</v>
      </c>
      <c r="D4" s="185"/>
      <c r="E4" s="42" t="s">
        <v>603</v>
      </c>
      <c r="G4" t="str">
        <v>Epée Sanguine</v>
      </c>
    </row>
    <row r="5" spans="1:7">
      <c r="A5" s="46">
        <v>1</v>
      </c>
      <c r="B5" s="100" t="s">
        <v>602</v>
      </c>
      <c r="C5" s="55" t="s">
        <v>416</v>
      </c>
      <c r="D5" s="56"/>
      <c r="E5" s="42"/>
      <c r="G5" t="str">
        <v>Epée Runique</v>
      </c>
    </row>
    <row r="6" spans="1:7">
      <c r="A6" s="46">
        <v>1</v>
      </c>
      <c r="B6" s="100" t="s">
        <v>602</v>
      </c>
      <c r="C6" s="188" t="s">
        <v>418</v>
      </c>
      <c r="D6" s="189"/>
      <c r="E6" s="42"/>
      <c r="G6" t="str">
        <v>Diamantine</v>
      </c>
    </row>
    <row r="7" spans="1:7">
      <c r="A7" s="46">
        <v>1</v>
      </c>
      <c r="B7" s="100" t="s">
        <v>602</v>
      </c>
      <c r="C7" s="184" t="s">
        <v>466</v>
      </c>
      <c r="D7" s="185"/>
      <c r="E7" s="42"/>
      <c r="G7" t="str">
        <v>Vengeresse</v>
      </c>
    </row>
    <row r="8" spans="1:7">
      <c r="A8" s="46">
        <v>1</v>
      </c>
      <c r="B8" s="100" t="s">
        <v>602</v>
      </c>
      <c r="C8" s="184" t="s">
        <v>421</v>
      </c>
      <c r="D8" s="185"/>
      <c r="E8" s="42" t="s">
        <v>598</v>
      </c>
      <c r="G8" t="str">
        <v>Dévoreuse</v>
      </c>
    </row>
    <row r="9" spans="1:7">
      <c r="A9" s="46">
        <v>1</v>
      </c>
      <c r="B9" s="100" t="s">
        <v>602</v>
      </c>
      <c r="C9" s="184" t="s">
        <v>283</v>
      </c>
      <c r="D9" s="185"/>
      <c r="E9" s="42"/>
      <c r="G9" t="str">
        <v>Calamité</v>
      </c>
    </row>
    <row r="10" spans="1:7">
      <c r="A10" s="46">
        <v>1</v>
      </c>
      <c r="B10" s="100" t="s">
        <v>602</v>
      </c>
      <c r="C10" s="184" t="s">
        <v>604</v>
      </c>
      <c r="D10" s="185"/>
      <c r="E10" s="42" t="s">
        <v>598</v>
      </c>
      <c r="G10" t="str">
        <v>Excalibur</v>
      </c>
    </row>
    <row r="11" spans="1:7">
      <c r="A11" s="46">
        <v>1</v>
      </c>
      <c r="B11" s="100" t="s">
        <v>602</v>
      </c>
      <c r="C11" s="184" t="s">
        <v>604</v>
      </c>
      <c r="D11" s="185"/>
      <c r="E11" s="42" t="s">
        <v>598</v>
      </c>
      <c r="G11" t="str">
        <v>Ragnarok</v>
      </c>
    </row>
    <row r="12" spans="1:7">
      <c r="A12" s="46">
        <v>1</v>
      </c>
      <c r="B12" s="100" t="s">
        <v>602</v>
      </c>
      <c r="C12" s="184" t="s">
        <v>604</v>
      </c>
      <c r="D12" s="185"/>
      <c r="E12" s="42" t="s">
        <v>598</v>
      </c>
      <c r="G12" t="str">
        <v>Marteau</v>
      </c>
    </row>
    <row r="13" spans="1:7">
      <c r="A13" s="46">
        <v>1</v>
      </c>
      <c r="B13" s="100" t="s">
        <v>602</v>
      </c>
      <c r="C13" s="184" t="s">
        <v>604</v>
      </c>
      <c r="D13" s="185"/>
      <c r="E13" s="42" t="s">
        <v>598</v>
      </c>
      <c r="G13" t="str">
        <v>Marteau de guerre</v>
      </c>
    </row>
    <row r="14" spans="1:7">
      <c r="A14" s="46">
        <v>1</v>
      </c>
      <c r="B14" s="100" t="s">
        <v>602</v>
      </c>
      <c r="C14" s="184" t="s">
        <v>604</v>
      </c>
      <c r="D14" s="185"/>
      <c r="E14" s="42"/>
      <c r="G14" t="str">
        <v>Règle cylindrique</v>
      </c>
    </row>
    <row r="15" spans="1:7">
      <c r="A15" s="46">
        <v>1</v>
      </c>
      <c r="B15" s="100" t="s">
        <v>602</v>
      </c>
      <c r="C15" s="184" t="s">
        <v>604</v>
      </c>
      <c r="D15" s="185"/>
      <c r="E15" s="42" t="s">
        <v>598</v>
      </c>
      <c r="G15" t="str">
        <v>Marteau de mithril</v>
      </c>
    </row>
    <row r="16" spans="1:7">
      <c r="A16" s="46">
        <v>20</v>
      </c>
      <c r="B16" s="100" t="s">
        <v>602</v>
      </c>
      <c r="C16" s="86" t="s">
        <v>604</v>
      </c>
      <c r="D16" s="44" t="s">
        <v>605</v>
      </c>
      <c r="E16" s="42" t="s">
        <v>598</v>
      </c>
      <c r="G16" t="str">
        <v>Mjölnir</v>
      </c>
    </row>
    <row r="17" spans="1:7">
      <c r="A17" s="46" t="s">
        <v>606</v>
      </c>
      <c r="B17" s="100" t="s">
        <v>602</v>
      </c>
      <c r="C17" s="86" t="s">
        <v>604</v>
      </c>
      <c r="D17" s="44" t="s">
        <v>607</v>
      </c>
      <c r="E17" s="42" t="s">
        <v>598</v>
      </c>
      <c r="G17" t="str">
        <v>Héphaïstos</v>
      </c>
    </row>
    <row r="18" spans="1:7">
      <c r="A18" s="46" t="s">
        <v>608</v>
      </c>
      <c r="B18" s="100" t="s">
        <v>602</v>
      </c>
      <c r="C18" s="86" t="s">
        <v>604</v>
      </c>
      <c r="D18" s="44" t="s">
        <v>609</v>
      </c>
      <c r="E18" s="42" t="s">
        <v>598</v>
      </c>
      <c r="G18" t="str">
        <v>Masse d'arme</v>
      </c>
    </row>
    <row r="19" spans="1:7">
      <c r="A19" s="46" t="s">
        <v>610</v>
      </c>
      <c r="B19" s="100" t="s">
        <v>602</v>
      </c>
      <c r="C19" s="86" t="s">
        <v>604</v>
      </c>
      <c r="D19" s="44" t="s">
        <v>611</v>
      </c>
      <c r="E19" s="42" t="s">
        <v>598</v>
      </c>
      <c r="G19" t="str">
        <v>Masse de bronze</v>
      </c>
    </row>
    <row r="20" spans="1:7">
      <c r="A20" s="46" t="s">
        <v>612</v>
      </c>
      <c r="B20" s="100" t="s">
        <v>602</v>
      </c>
      <c r="C20" s="86" t="s">
        <v>604</v>
      </c>
      <c r="D20" s="44" t="s">
        <v>613</v>
      </c>
      <c r="E20" s="42" t="s">
        <v>598</v>
      </c>
      <c r="G20" t="str">
        <v>Masse du délire</v>
      </c>
    </row>
    <row r="21" spans="1:7">
      <c r="A21" s="46" t="s">
        <v>614</v>
      </c>
      <c r="B21" s="100" t="s">
        <v>602</v>
      </c>
      <c r="C21" s="86" t="s">
        <v>604</v>
      </c>
      <c r="D21" s="44" t="s">
        <v>615</v>
      </c>
      <c r="E21" s="42" t="s">
        <v>598</v>
      </c>
      <c r="G21" t="str">
        <v>Crosse de diamant</v>
      </c>
    </row>
    <row r="22" spans="1:7">
      <c r="A22" s="41" t="s">
        <v>598</v>
      </c>
      <c r="B22" s="41"/>
      <c r="C22" s="41"/>
      <c r="G22" t="str">
        <v>Masse de Zeus</v>
      </c>
    </row>
    <row r="23" spans="1:7">
      <c r="G23" t="str">
        <v>Masse de maître</v>
      </c>
    </row>
    <row r="24" spans="1:7">
      <c r="G24" t="str">
        <v>Bâton de mage</v>
      </c>
    </row>
    <row r="25" spans="1:7">
      <c r="G25" t="str">
        <v>Bâton doré</v>
      </c>
    </row>
    <row r="26" spans="1:7">
      <c r="G26" t="str">
        <v>Caducée</v>
      </c>
    </row>
    <row r="27" spans="1:7">
      <c r="G27" t="str">
        <v>Sceptre Ophidien</v>
      </c>
    </row>
    <row r="28" spans="1:7">
      <c r="G28" t="str">
        <v>Sceptre Céleste</v>
      </c>
    </row>
    <row r="29" spans="1:7">
      <c r="G29" t="str">
        <v>Sceptre de la foi</v>
      </c>
    </row>
  </sheetData>
  <mergeCells count="13">
    <mergeCell ref="C9:D9"/>
    <mergeCell ref="C2:D2"/>
    <mergeCell ref="C3:D3"/>
    <mergeCell ref="C4:D4"/>
    <mergeCell ref="C7:D7"/>
    <mergeCell ref="C8:D8"/>
    <mergeCell ref="C6:D6"/>
    <mergeCell ref="C10:D10"/>
    <mergeCell ref="C11:D11"/>
    <mergeCell ref="C12:D12"/>
    <mergeCell ref="C13:D13"/>
    <mergeCell ref="C15:D15"/>
    <mergeCell ref="C14:D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6AB6-FA42-4AC6-BD27-0C94AA713AE9}">
  <dimension ref="A1:G19"/>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5.1796875" customWidth="1"/>
  </cols>
  <sheetData>
    <row r="1" spans="1:7">
      <c r="A1" s="99"/>
      <c r="B1" s="99"/>
      <c r="C1" s="99"/>
      <c r="D1" s="99"/>
      <c r="E1" s="99"/>
    </row>
    <row r="2" spans="1:7">
      <c r="A2" s="45" t="s">
        <v>596</v>
      </c>
      <c r="B2" s="95"/>
      <c r="C2" s="184" t="s">
        <v>616</v>
      </c>
      <c r="D2" s="185"/>
      <c r="E2" s="42" t="s">
        <v>598</v>
      </c>
      <c r="G2" t="str" cm="1">
        <f t="array" ref="G2:G1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Kotetsu</v>
      </c>
    </row>
    <row r="3" spans="1:7">
      <c r="A3" s="45" t="s">
        <v>599</v>
      </c>
      <c r="B3" s="95" t="s">
        <v>51</v>
      </c>
      <c r="C3" s="186" t="s">
        <v>600</v>
      </c>
      <c r="D3" s="187"/>
      <c r="E3" s="45" t="s">
        <v>601</v>
      </c>
      <c r="G3" t="str">
        <v>Osafune</v>
      </c>
    </row>
    <row r="4" spans="1:7">
      <c r="A4" s="46">
        <v>1</v>
      </c>
      <c r="B4" s="100" t="s">
        <v>602</v>
      </c>
      <c r="C4" s="184" t="s">
        <v>385</v>
      </c>
      <c r="D4" s="185"/>
      <c r="E4" s="41" t="s">
        <v>617</v>
      </c>
      <c r="G4" t="str">
        <v>Murasame</v>
      </c>
    </row>
    <row r="5" spans="1:7">
      <c r="A5" s="46">
        <v>5</v>
      </c>
      <c r="B5" s="100" t="s">
        <v>602</v>
      </c>
      <c r="C5" s="55" t="s">
        <v>20</v>
      </c>
      <c r="D5" s="56"/>
      <c r="E5" s="42"/>
      <c r="G5" t="str">
        <v>Kuki-Ichimonji</v>
      </c>
    </row>
    <row r="6" spans="1:7">
      <c r="A6" s="46">
        <v>7</v>
      </c>
      <c r="B6" s="100" t="s">
        <v>602</v>
      </c>
      <c r="C6" s="184" t="s">
        <v>226</v>
      </c>
      <c r="D6" s="185"/>
      <c r="E6" s="42"/>
      <c r="G6" t="str">
        <v>Murakumo</v>
      </c>
    </row>
    <row r="7" spans="1:7">
      <c r="A7" s="46">
        <v>10</v>
      </c>
      <c r="B7" s="100" t="s">
        <v>602</v>
      </c>
      <c r="C7" s="184" t="s">
        <v>227</v>
      </c>
      <c r="D7" s="185"/>
      <c r="E7" s="42" t="s">
        <v>598</v>
      </c>
      <c r="G7" t="str">
        <v>Masamune</v>
      </c>
    </row>
    <row r="8" spans="1:7">
      <c r="A8" s="46">
        <v>12</v>
      </c>
      <c r="B8" s="100" t="s">
        <v>602</v>
      </c>
      <c r="C8" s="184" t="s">
        <v>618</v>
      </c>
      <c r="D8" s="185"/>
      <c r="E8" s="42"/>
      <c r="G8" t="str">
        <v>Dague en fer</v>
      </c>
    </row>
    <row r="9" spans="1:7">
      <c r="A9" s="46">
        <v>15</v>
      </c>
      <c r="B9" s="100" t="s">
        <v>602</v>
      </c>
      <c r="C9" s="184" t="s">
        <v>397</v>
      </c>
      <c r="D9" s="185"/>
      <c r="E9" s="42" t="s">
        <v>598</v>
      </c>
      <c r="G9" t="str">
        <v>Coutelas</v>
      </c>
    </row>
    <row r="10" spans="1:7">
      <c r="A10" s="46">
        <v>18</v>
      </c>
      <c r="B10" s="100" t="s">
        <v>602</v>
      </c>
      <c r="C10" s="184" t="s">
        <v>400</v>
      </c>
      <c r="D10" s="185"/>
      <c r="E10" s="42" t="s">
        <v>598</v>
      </c>
      <c r="G10" t="str">
        <v>Main gauche</v>
      </c>
    </row>
    <row r="11" spans="1:7">
      <c r="A11" s="46" t="s">
        <v>619</v>
      </c>
      <c r="B11" s="46" t="s">
        <v>620</v>
      </c>
      <c r="C11" s="43" t="s">
        <v>172</v>
      </c>
      <c r="D11" s="3" t="s">
        <v>233</v>
      </c>
      <c r="E11" s="42" t="s">
        <v>598</v>
      </c>
      <c r="G11" t="str">
        <v>Kukris</v>
      </c>
    </row>
    <row r="12" spans="1:7">
      <c r="A12" s="46" t="s">
        <v>606</v>
      </c>
      <c r="B12" s="46" t="s">
        <v>620</v>
      </c>
      <c r="C12" s="43" t="s">
        <v>287</v>
      </c>
      <c r="D12" s="3" t="s">
        <v>234</v>
      </c>
      <c r="E12" s="42" t="s">
        <v>598</v>
      </c>
      <c r="G12" t="str">
        <v>Orochi</v>
      </c>
    </row>
    <row r="13" spans="1:7">
      <c r="A13" s="46" t="s">
        <v>608</v>
      </c>
      <c r="B13" s="46" t="s">
        <v>620</v>
      </c>
      <c r="C13" s="43" t="s">
        <v>249</v>
      </c>
      <c r="D13" s="3" t="s">
        <v>235</v>
      </c>
      <c r="E13" s="42" t="s">
        <v>598</v>
      </c>
      <c r="G13" t="str">
        <v>Dague Zorin</v>
      </c>
    </row>
    <row r="14" spans="1:7">
      <c r="A14" s="46" t="s">
        <v>610</v>
      </c>
      <c r="B14" s="46" t="s">
        <v>602</v>
      </c>
      <c r="C14" s="43" t="s">
        <v>403</v>
      </c>
      <c r="D14" s="3" t="s">
        <v>236</v>
      </c>
      <c r="E14" s="42" t="s">
        <v>598</v>
      </c>
      <c r="G14" t="str">
        <v>Arc court</v>
      </c>
    </row>
    <row r="15" spans="1:7">
      <c r="A15" s="46" t="s">
        <v>612</v>
      </c>
      <c r="B15" s="46" t="s">
        <v>620</v>
      </c>
      <c r="C15" s="43" t="s">
        <v>231</v>
      </c>
      <c r="D15" s="94" t="s">
        <v>237</v>
      </c>
      <c r="E15" s="42" t="s">
        <v>598</v>
      </c>
      <c r="G15" t="str">
        <v>Arc de chasse</v>
      </c>
    </row>
    <row r="16" spans="1:7">
      <c r="A16" s="46" t="s">
        <v>614</v>
      </c>
      <c r="B16" s="46" t="s">
        <v>602</v>
      </c>
      <c r="C16" s="43" t="s">
        <v>232</v>
      </c>
      <c r="D16" s="104"/>
      <c r="E16" s="42" t="s">
        <v>598</v>
      </c>
      <c r="G16" t="str">
        <v>Arc Assassin</v>
      </c>
    </row>
    <row r="17" spans="1:7">
      <c r="A17" s="41" t="s">
        <v>598</v>
      </c>
      <c r="B17" s="41"/>
      <c r="C17" s="41"/>
      <c r="G17" t="str">
        <v>Arc elfique</v>
      </c>
    </row>
    <row r="18" spans="1:7">
      <c r="G18" t="str">
        <v>Arc d'Artemis</v>
      </c>
    </row>
    <row r="19" spans="1:7">
      <c r="G19" t="str">
        <v>Sagittaire</v>
      </c>
    </row>
  </sheetData>
  <mergeCells count="8">
    <mergeCell ref="C9:D9"/>
    <mergeCell ref="C10:D10"/>
    <mergeCell ref="C2:D2"/>
    <mergeCell ref="C3:D3"/>
    <mergeCell ref="C4:D4"/>
    <mergeCell ref="C6:D6"/>
    <mergeCell ref="C7:D7"/>
    <mergeCell ref="C8: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51F6-8546-4A30-B0A5-371D1438031F}">
  <dimension ref="A1:G25"/>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89"/>
      <c r="B1" s="89"/>
      <c r="C1" s="89"/>
      <c r="D1" s="89"/>
      <c r="E1" s="89"/>
    </row>
    <row r="2" spans="1:7">
      <c r="A2" s="45" t="s">
        <v>596</v>
      </c>
      <c r="B2" s="95"/>
      <c r="C2" s="184" t="s">
        <v>621</v>
      </c>
      <c r="D2" s="185"/>
      <c r="E2" s="42" t="s">
        <v>598</v>
      </c>
      <c r="G2" t="str" cm="1">
        <f t="array" ref="G2:G25">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45" t="s">
        <v>599</v>
      </c>
      <c r="B3" s="95" t="s">
        <v>51</v>
      </c>
      <c r="C3" s="186" t="s">
        <v>600</v>
      </c>
      <c r="D3" s="187"/>
      <c r="E3" s="45" t="s">
        <v>601</v>
      </c>
      <c r="G3" t="str">
        <v>Marteau de guerre</v>
      </c>
    </row>
    <row r="4" spans="1:7">
      <c r="A4" s="46">
        <v>1</v>
      </c>
      <c r="B4" s="100" t="s">
        <v>620</v>
      </c>
      <c r="C4" s="184" t="s">
        <v>19</v>
      </c>
      <c r="D4" s="185"/>
      <c r="E4" s="42" t="s">
        <v>603</v>
      </c>
      <c r="G4" t="str">
        <v>Règle cylindrique</v>
      </c>
    </row>
    <row r="5" spans="1:7">
      <c r="A5" s="46">
        <v>5</v>
      </c>
      <c r="B5" s="100" t="s">
        <v>620</v>
      </c>
      <c r="C5" s="55" t="s">
        <v>172</v>
      </c>
      <c r="D5" s="56"/>
      <c r="E5" s="42"/>
      <c r="G5" t="str">
        <v>Marteau de mithril</v>
      </c>
    </row>
    <row r="6" spans="1:7">
      <c r="A6" s="46">
        <v>5</v>
      </c>
      <c r="B6" s="100" t="s">
        <v>620</v>
      </c>
      <c r="C6" s="184" t="s">
        <v>305</v>
      </c>
      <c r="D6" s="185"/>
      <c r="E6" s="42"/>
      <c r="G6" t="str">
        <v>Mjölnir</v>
      </c>
    </row>
    <row r="7" spans="1:7">
      <c r="A7" s="46">
        <v>7</v>
      </c>
      <c r="B7" s="100" t="s">
        <v>620</v>
      </c>
      <c r="C7" s="184" t="s">
        <v>248</v>
      </c>
      <c r="D7" s="185"/>
      <c r="E7" s="42" t="s">
        <v>598</v>
      </c>
      <c r="G7" t="str">
        <v>Héphaïstos</v>
      </c>
    </row>
    <row r="8" spans="1:7">
      <c r="A8" s="46">
        <v>10</v>
      </c>
      <c r="B8" s="100" t="s">
        <v>620</v>
      </c>
      <c r="C8" s="184" t="s">
        <v>17</v>
      </c>
      <c r="D8" s="185"/>
      <c r="E8" s="42"/>
      <c r="G8" t="str">
        <v>Masse d'arme</v>
      </c>
    </row>
    <row r="9" spans="1:7">
      <c r="A9" s="46">
        <v>12</v>
      </c>
      <c r="B9" s="100" t="s">
        <v>620</v>
      </c>
      <c r="C9" s="184" t="s">
        <v>622</v>
      </c>
      <c r="D9" s="185"/>
      <c r="E9" s="42" t="s">
        <v>598</v>
      </c>
      <c r="G9" t="str">
        <v>Masse de bronze</v>
      </c>
    </row>
    <row r="10" spans="1:7">
      <c r="A10" s="46">
        <v>12</v>
      </c>
      <c r="B10" s="100" t="s">
        <v>620</v>
      </c>
      <c r="C10" s="184" t="s">
        <v>255</v>
      </c>
      <c r="D10" s="185"/>
      <c r="E10" s="42" t="s">
        <v>598</v>
      </c>
      <c r="G10" t="str">
        <v>Masse du délire</v>
      </c>
    </row>
    <row r="11" spans="1:7">
      <c r="A11" s="46">
        <v>15</v>
      </c>
      <c r="B11" s="100" t="s">
        <v>620</v>
      </c>
      <c r="C11" s="184" t="s">
        <v>253</v>
      </c>
      <c r="D11" s="185"/>
      <c r="E11" s="42"/>
      <c r="G11" t="str">
        <v>Crosse de diamant</v>
      </c>
    </row>
    <row r="12" spans="1:7">
      <c r="A12" s="46">
        <v>15</v>
      </c>
      <c r="B12" s="100" t="s">
        <v>620</v>
      </c>
      <c r="C12" s="184" t="s">
        <v>311</v>
      </c>
      <c r="D12" s="185"/>
      <c r="E12" s="42" t="s">
        <v>598</v>
      </c>
      <c r="G12" t="str">
        <v>Masse de Zeus</v>
      </c>
    </row>
    <row r="13" spans="1:7">
      <c r="A13" s="46">
        <v>18</v>
      </c>
      <c r="B13" s="100" t="s">
        <v>620</v>
      </c>
      <c r="C13" s="184" t="s">
        <v>18</v>
      </c>
      <c r="D13" s="185"/>
      <c r="E13" s="42" t="s">
        <v>598</v>
      </c>
      <c r="G13" t="str">
        <v>Masse de maître</v>
      </c>
    </row>
    <row r="14" spans="1:7">
      <c r="A14" s="46" t="s">
        <v>619</v>
      </c>
      <c r="B14" s="100" t="s">
        <v>620</v>
      </c>
      <c r="C14" s="87" t="s">
        <v>313</v>
      </c>
      <c r="D14" s="44" t="s">
        <v>623</v>
      </c>
      <c r="E14" s="42" t="s">
        <v>598</v>
      </c>
      <c r="G14" t="str">
        <v>Bâton de mage</v>
      </c>
    </row>
    <row r="15" spans="1:7">
      <c r="A15" s="46" t="s">
        <v>619</v>
      </c>
      <c r="B15" s="100" t="s">
        <v>620</v>
      </c>
      <c r="C15" s="87" t="s">
        <v>18</v>
      </c>
      <c r="D15" s="44" t="s">
        <v>623</v>
      </c>
      <c r="E15" s="42" t="s">
        <v>598</v>
      </c>
      <c r="G15" t="str">
        <v>Bâton doré</v>
      </c>
    </row>
    <row r="16" spans="1:7">
      <c r="A16" s="46" t="s">
        <v>606</v>
      </c>
      <c r="B16" s="100" t="s">
        <v>620</v>
      </c>
      <c r="C16" s="87" t="s">
        <v>624</v>
      </c>
      <c r="D16" s="44" t="s">
        <v>625</v>
      </c>
      <c r="E16" s="42" t="s">
        <v>598</v>
      </c>
      <c r="G16" t="str">
        <v>Caducée</v>
      </c>
    </row>
    <row r="17" spans="1:7">
      <c r="A17" s="46" t="s">
        <v>608</v>
      </c>
      <c r="B17" s="100" t="s">
        <v>620</v>
      </c>
      <c r="C17" s="87" t="s">
        <v>626</v>
      </c>
      <c r="D17" s="44" t="s">
        <v>627</v>
      </c>
      <c r="E17" s="42" t="s">
        <v>598</v>
      </c>
      <c r="G17" t="str">
        <v>Sceptre Ophidien</v>
      </c>
    </row>
    <row r="18" spans="1:7">
      <c r="A18" s="46" t="s">
        <v>610</v>
      </c>
      <c r="B18" s="100" t="s">
        <v>620</v>
      </c>
      <c r="C18" s="87" t="s">
        <v>628</v>
      </c>
      <c r="D18" s="44" t="s">
        <v>629</v>
      </c>
      <c r="E18" s="42" t="s">
        <v>598</v>
      </c>
      <c r="G18" t="str">
        <v>Sceptre Céleste</v>
      </c>
    </row>
    <row r="19" spans="1:7">
      <c r="A19" s="46" t="s">
        <v>612</v>
      </c>
      <c r="B19" s="100" t="s">
        <v>620</v>
      </c>
      <c r="C19" s="87" t="s">
        <v>630</v>
      </c>
      <c r="D19" s="44" t="s">
        <v>631</v>
      </c>
      <c r="E19" s="42" t="s">
        <v>598</v>
      </c>
      <c r="G19" t="str">
        <v>Sceptre de la foi</v>
      </c>
    </row>
    <row r="20" spans="1:7">
      <c r="A20" s="46" t="s">
        <v>614</v>
      </c>
      <c r="B20" s="100" t="s">
        <v>620</v>
      </c>
      <c r="C20" s="87" t="s">
        <v>632</v>
      </c>
      <c r="D20" s="44" t="s">
        <v>633</v>
      </c>
      <c r="E20" s="42" t="s">
        <v>598</v>
      </c>
      <c r="G20" t="str">
        <v>Kotetsu</v>
      </c>
    </row>
    <row r="21" spans="1:7">
      <c r="A21" s="41" t="s">
        <v>598</v>
      </c>
      <c r="B21" s="41"/>
      <c r="C21" s="41"/>
      <c r="G21" t="str">
        <v>Osafune</v>
      </c>
    </row>
    <row r="22" spans="1:7">
      <c r="G22" t="str">
        <v>Murasame</v>
      </c>
    </row>
    <row r="23" spans="1:7">
      <c r="G23" t="str">
        <v>Kuki-Ichimonji</v>
      </c>
    </row>
    <row r="24" spans="1:7">
      <c r="G24" t="str">
        <v>Murakumo</v>
      </c>
    </row>
    <row r="25" spans="1:7">
      <c r="G25" t="str">
        <v>Masamune</v>
      </c>
    </row>
  </sheetData>
  <mergeCells count="11">
    <mergeCell ref="C2:D2"/>
    <mergeCell ref="C3:D3"/>
    <mergeCell ref="C4:D4"/>
    <mergeCell ref="C6:D6"/>
    <mergeCell ref="C7:D7"/>
    <mergeCell ref="C9:D9"/>
    <mergeCell ref="C10:D10"/>
    <mergeCell ref="C12:D12"/>
    <mergeCell ref="C13:D13"/>
    <mergeCell ref="C8:D8"/>
    <mergeCell ref="C11: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289C0-D641-4860-86D0-694FD4BFF49D}">
  <dimension ref="A1:G21"/>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91"/>
      <c r="B1" s="91"/>
      <c r="C1" s="91"/>
      <c r="D1" s="91"/>
      <c r="E1" s="91"/>
    </row>
    <row r="2" spans="1:7">
      <c r="A2" s="45" t="s">
        <v>596</v>
      </c>
      <c r="B2" s="95"/>
      <c r="C2" s="55" t="s">
        <v>634</v>
      </c>
      <c r="D2" s="56"/>
      <c r="E2" s="42" t="s">
        <v>598</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45" t="s">
        <v>599</v>
      </c>
      <c r="B3" s="95" t="s">
        <v>51</v>
      </c>
      <c r="C3" s="95" t="s">
        <v>600</v>
      </c>
      <c r="D3" s="96"/>
      <c r="E3" s="45" t="s">
        <v>601</v>
      </c>
      <c r="G3" t="str">
        <v>Marteau de guerre</v>
      </c>
    </row>
    <row r="4" spans="1:7">
      <c r="A4" s="46">
        <v>1</v>
      </c>
      <c r="B4" s="100" t="s">
        <v>620</v>
      </c>
      <c r="C4" s="55" t="s">
        <v>305</v>
      </c>
      <c r="D4" s="56"/>
      <c r="E4" s="42" t="s">
        <v>603</v>
      </c>
      <c r="G4" t="str">
        <v>Règle cylindrique</v>
      </c>
    </row>
    <row r="5" spans="1:7">
      <c r="A5" s="46">
        <v>1</v>
      </c>
      <c r="B5" s="100" t="s">
        <v>620</v>
      </c>
      <c r="C5" s="55" t="s">
        <v>311</v>
      </c>
      <c r="D5" s="56"/>
      <c r="E5" s="42"/>
      <c r="G5" t="str">
        <v>Marteau de mithril</v>
      </c>
    </row>
    <row r="6" spans="1:7">
      <c r="A6" s="46">
        <v>5</v>
      </c>
      <c r="B6" s="100" t="s">
        <v>620</v>
      </c>
      <c r="C6" s="55" t="s">
        <v>635</v>
      </c>
      <c r="D6" s="56"/>
      <c r="E6" s="42"/>
      <c r="G6" t="str">
        <v>Mjölnir</v>
      </c>
    </row>
    <row r="7" spans="1:7">
      <c r="A7" s="46">
        <v>5</v>
      </c>
      <c r="B7" s="100" t="s">
        <v>620</v>
      </c>
      <c r="C7" s="55" t="s">
        <v>308</v>
      </c>
      <c r="D7" s="56"/>
      <c r="E7" s="42" t="s">
        <v>598</v>
      </c>
      <c r="G7" t="str">
        <v>Héphaïstos</v>
      </c>
    </row>
    <row r="8" spans="1:7">
      <c r="A8" s="46">
        <v>7</v>
      </c>
      <c r="B8" s="100" t="s">
        <v>620</v>
      </c>
      <c r="C8" s="55" t="s">
        <v>313</v>
      </c>
      <c r="D8" s="56"/>
      <c r="E8" s="42"/>
      <c r="G8" t="str">
        <v>Bâton de mage</v>
      </c>
    </row>
    <row r="9" spans="1:7">
      <c r="A9" s="46">
        <v>7</v>
      </c>
      <c r="B9" s="100" t="s">
        <v>620</v>
      </c>
      <c r="C9" s="55" t="s">
        <v>318</v>
      </c>
      <c r="D9" s="56"/>
      <c r="E9" s="42" t="s">
        <v>598</v>
      </c>
      <c r="G9" t="str">
        <v>Bâton doré</v>
      </c>
    </row>
    <row r="10" spans="1:7">
      <c r="A10" s="46">
        <v>10</v>
      </c>
      <c r="B10" s="100" t="s">
        <v>620</v>
      </c>
      <c r="C10" s="55" t="s">
        <v>337</v>
      </c>
      <c r="D10" s="56"/>
      <c r="E10" s="42" t="s">
        <v>598</v>
      </c>
      <c r="G10" t="str">
        <v>Caducée</v>
      </c>
    </row>
    <row r="11" spans="1:7">
      <c r="A11" s="46">
        <v>10</v>
      </c>
      <c r="B11" s="100" t="s">
        <v>620</v>
      </c>
      <c r="C11" s="55" t="s">
        <v>315</v>
      </c>
      <c r="D11" s="56"/>
      <c r="E11" s="42"/>
      <c r="G11" t="str">
        <v>Sceptre Ophidien</v>
      </c>
    </row>
    <row r="12" spans="1:7">
      <c r="A12" s="46">
        <v>12</v>
      </c>
      <c r="B12" s="100" t="s">
        <v>620</v>
      </c>
      <c r="C12" s="55" t="s">
        <v>636</v>
      </c>
      <c r="D12" s="56"/>
      <c r="E12" s="42" t="s">
        <v>598</v>
      </c>
      <c r="G12" t="str">
        <v>Sceptre Céleste</v>
      </c>
    </row>
    <row r="13" spans="1:7">
      <c r="A13" s="46">
        <v>15</v>
      </c>
      <c r="B13" s="100" t="s">
        <v>620</v>
      </c>
      <c r="C13" s="55" t="s">
        <v>327</v>
      </c>
      <c r="D13" s="56"/>
      <c r="E13" s="42" t="s">
        <v>598</v>
      </c>
      <c r="G13" t="str">
        <v>Sceptre de la foi</v>
      </c>
    </row>
    <row r="14" spans="1:7">
      <c r="A14" s="46">
        <v>18</v>
      </c>
      <c r="B14" s="100" t="s">
        <v>620</v>
      </c>
      <c r="C14" t="s">
        <v>322</v>
      </c>
      <c r="E14" s="42" t="s">
        <v>598</v>
      </c>
    </row>
    <row r="15" spans="1:7">
      <c r="A15" s="46" t="s">
        <v>619</v>
      </c>
      <c r="B15" s="100" t="s">
        <v>620</v>
      </c>
      <c r="C15" s="97" t="s">
        <v>637</v>
      </c>
      <c r="D15" s="98" t="s">
        <v>638</v>
      </c>
      <c r="E15" s="42" t="s">
        <v>598</v>
      </c>
    </row>
    <row r="16" spans="1:7">
      <c r="A16" s="46" t="s">
        <v>606</v>
      </c>
      <c r="B16" s="100" t="s">
        <v>620</v>
      </c>
      <c r="C16" s="97" t="s">
        <v>639</v>
      </c>
      <c r="D16" s="98" t="s">
        <v>640</v>
      </c>
      <c r="E16" s="42" t="s">
        <v>598</v>
      </c>
    </row>
    <row r="17" spans="1:5">
      <c r="A17" s="46" t="s">
        <v>608</v>
      </c>
      <c r="B17" s="100" t="s">
        <v>620</v>
      </c>
      <c r="C17" s="97" t="s">
        <v>641</v>
      </c>
      <c r="D17" s="98" t="s">
        <v>642</v>
      </c>
      <c r="E17" s="42" t="s">
        <v>598</v>
      </c>
    </row>
    <row r="18" spans="1:5">
      <c r="A18" s="46" t="s">
        <v>610</v>
      </c>
      <c r="B18" s="100" t="s">
        <v>620</v>
      </c>
      <c r="C18" s="97" t="s">
        <v>643</v>
      </c>
      <c r="D18" s="98" t="s">
        <v>644</v>
      </c>
      <c r="E18" s="42" t="s">
        <v>598</v>
      </c>
    </row>
    <row r="19" spans="1:5">
      <c r="A19" s="46" t="s">
        <v>612</v>
      </c>
      <c r="B19" s="100" t="s">
        <v>620</v>
      </c>
      <c r="C19" s="97" t="s">
        <v>645</v>
      </c>
      <c r="D19" s="98" t="s">
        <v>646</v>
      </c>
      <c r="E19" s="42" t="s">
        <v>598</v>
      </c>
    </row>
    <row r="20" spans="1:5">
      <c r="A20" s="46" t="s">
        <v>614</v>
      </c>
      <c r="B20" s="100" t="s">
        <v>620</v>
      </c>
      <c r="C20" s="97" t="s">
        <v>647</v>
      </c>
      <c r="D20" s="98" t="s">
        <v>648</v>
      </c>
      <c r="E20" s="42" t="s">
        <v>598</v>
      </c>
    </row>
    <row r="21" spans="1:5">
      <c r="A21" s="41" t="s">
        <v>598</v>
      </c>
      <c r="C21" s="4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B76C-446F-4F4D-8325-C8377A088F50}">
  <dimension ref="A1:G20"/>
  <sheetViews>
    <sheetView workbookViewId="0">
      <selection activeCell="C2" sqref="C2:D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90"/>
      <c r="B1" s="90"/>
      <c r="C1" s="90"/>
      <c r="D1" s="90"/>
      <c r="E1" s="90"/>
    </row>
    <row r="2" spans="1:7">
      <c r="A2" s="45" t="s">
        <v>596</v>
      </c>
      <c r="B2" s="95"/>
      <c r="C2" s="184" t="s">
        <v>649</v>
      </c>
      <c r="D2" s="185"/>
      <c r="E2" s="42" t="s">
        <v>598</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Bâton de mage</v>
      </c>
    </row>
    <row r="3" spans="1:7">
      <c r="A3" s="45" t="s">
        <v>599</v>
      </c>
      <c r="B3" s="95" t="s">
        <v>51</v>
      </c>
      <c r="C3" s="186" t="s">
        <v>600</v>
      </c>
      <c r="D3" s="187"/>
      <c r="E3" s="45" t="s">
        <v>601</v>
      </c>
      <c r="G3" t="str">
        <v>Bâton doré</v>
      </c>
    </row>
    <row r="4" spans="1:7">
      <c r="A4" s="46">
        <v>1</v>
      </c>
      <c r="B4" s="100" t="s">
        <v>620</v>
      </c>
      <c r="C4" s="184" t="s">
        <v>19</v>
      </c>
      <c r="D4" s="185"/>
      <c r="E4" s="42" t="s">
        <v>603</v>
      </c>
      <c r="G4" t="str">
        <v>Caducée</v>
      </c>
    </row>
    <row r="5" spans="1:7">
      <c r="A5" s="46">
        <v>1</v>
      </c>
      <c r="B5" s="100" t="s">
        <v>620</v>
      </c>
      <c r="C5" s="55" t="s">
        <v>172</v>
      </c>
      <c r="D5" s="56"/>
      <c r="E5" s="42"/>
      <c r="G5" t="str">
        <v>Sceptre Ophidien</v>
      </c>
    </row>
    <row r="6" spans="1:7">
      <c r="A6" s="46">
        <v>5</v>
      </c>
      <c r="B6" s="100" t="s">
        <v>620</v>
      </c>
      <c r="C6" s="184" t="s">
        <v>277</v>
      </c>
      <c r="D6" s="185"/>
      <c r="E6" s="42"/>
      <c r="G6" t="str">
        <v>Sceptre Céleste</v>
      </c>
    </row>
    <row r="7" spans="1:7">
      <c r="A7" s="46">
        <v>5</v>
      </c>
      <c r="B7" s="100" t="s">
        <v>620</v>
      </c>
      <c r="C7" s="184" t="s">
        <v>280</v>
      </c>
      <c r="D7" s="185"/>
      <c r="E7" s="42" t="s">
        <v>598</v>
      </c>
      <c r="G7" t="str">
        <v>Sceptre de la foi</v>
      </c>
    </row>
    <row r="8" spans="1:7">
      <c r="A8" s="46">
        <v>7</v>
      </c>
      <c r="B8" s="100" t="s">
        <v>620</v>
      </c>
      <c r="C8" s="184" t="s">
        <v>248</v>
      </c>
      <c r="D8" s="185"/>
      <c r="E8" s="42"/>
      <c r="G8" t="str">
        <v>Dague en fer</v>
      </c>
    </row>
    <row r="9" spans="1:7">
      <c r="A9" s="46">
        <v>7</v>
      </c>
      <c r="B9" s="100" t="s">
        <v>620</v>
      </c>
      <c r="C9" s="184" t="s">
        <v>650</v>
      </c>
      <c r="D9" s="185"/>
      <c r="E9" s="42" t="s">
        <v>598</v>
      </c>
      <c r="G9" t="str">
        <v>Coutelas</v>
      </c>
    </row>
    <row r="10" spans="1:7">
      <c r="A10" s="46">
        <v>10</v>
      </c>
      <c r="B10" s="100" t="s">
        <v>620</v>
      </c>
      <c r="C10" s="184" t="s">
        <v>651</v>
      </c>
      <c r="D10" s="185"/>
      <c r="E10" s="42" t="s">
        <v>598</v>
      </c>
      <c r="G10" t="str">
        <v>Main gauche</v>
      </c>
    </row>
    <row r="11" spans="1:7">
      <c r="A11" s="46">
        <v>12</v>
      </c>
      <c r="B11" s="100" t="s">
        <v>620</v>
      </c>
      <c r="C11" s="184" t="s">
        <v>652</v>
      </c>
      <c r="D11" s="185"/>
      <c r="E11" s="42" t="s">
        <v>598</v>
      </c>
      <c r="G11" t="str">
        <v>Kukris</v>
      </c>
    </row>
    <row r="12" spans="1:7">
      <c r="A12" s="46">
        <v>15</v>
      </c>
      <c r="B12" s="100" t="s">
        <v>620</v>
      </c>
      <c r="C12" s="184" t="s">
        <v>653</v>
      </c>
      <c r="D12" s="185"/>
      <c r="E12" s="42" t="s">
        <v>598</v>
      </c>
      <c r="G12" t="str">
        <v>Orochi</v>
      </c>
    </row>
    <row r="13" spans="1:7">
      <c r="A13" s="46">
        <v>18</v>
      </c>
      <c r="B13" s="100" t="s">
        <v>620</v>
      </c>
      <c r="C13" s="184" t="s">
        <v>635</v>
      </c>
      <c r="D13" s="185"/>
      <c r="E13" s="42" t="s">
        <v>598</v>
      </c>
      <c r="G13" t="str">
        <v>Dague Zorin</v>
      </c>
    </row>
    <row r="14" spans="1:7">
      <c r="A14" s="46" t="s">
        <v>619</v>
      </c>
      <c r="B14" s="100" t="s">
        <v>620</v>
      </c>
      <c r="C14" s="43" t="s">
        <v>654</v>
      </c>
      <c r="D14" s="44" t="s">
        <v>655</v>
      </c>
      <c r="E14" s="42" t="s">
        <v>598</v>
      </c>
    </row>
    <row r="15" spans="1:7">
      <c r="A15" s="46" t="s">
        <v>606</v>
      </c>
      <c r="B15" s="100" t="s">
        <v>620</v>
      </c>
      <c r="C15" s="43" t="s">
        <v>656</v>
      </c>
      <c r="D15" s="44" t="s">
        <v>655</v>
      </c>
      <c r="E15" s="42" t="s">
        <v>598</v>
      </c>
    </row>
    <row r="16" spans="1:7">
      <c r="A16" s="46" t="s">
        <v>608</v>
      </c>
      <c r="B16" s="100" t="s">
        <v>620</v>
      </c>
      <c r="C16" s="43" t="s">
        <v>657</v>
      </c>
      <c r="D16" s="44" t="s">
        <v>655</v>
      </c>
      <c r="E16" s="42" t="s">
        <v>598</v>
      </c>
    </row>
    <row r="17" spans="1:5">
      <c r="A17" s="46" t="s">
        <v>610</v>
      </c>
      <c r="B17" s="100" t="s">
        <v>620</v>
      </c>
      <c r="C17" s="43" t="s">
        <v>658</v>
      </c>
      <c r="D17" s="44" t="s">
        <v>655</v>
      </c>
      <c r="E17" s="42" t="s">
        <v>598</v>
      </c>
    </row>
    <row r="18" spans="1:5">
      <c r="A18" s="46" t="s">
        <v>612</v>
      </c>
      <c r="B18" s="100" t="s">
        <v>620</v>
      </c>
      <c r="C18" s="43" t="s">
        <v>659</v>
      </c>
      <c r="D18" s="44" t="s">
        <v>655</v>
      </c>
      <c r="E18" s="42" t="s">
        <v>598</v>
      </c>
    </row>
    <row r="19" spans="1:5">
      <c r="A19" s="46" t="s">
        <v>614</v>
      </c>
      <c r="B19" s="100" t="s">
        <v>620</v>
      </c>
      <c r="C19" s="43" t="s">
        <v>660</v>
      </c>
      <c r="D19" s="44" t="s">
        <v>655</v>
      </c>
      <c r="E19" s="42" t="s">
        <v>598</v>
      </c>
    </row>
    <row r="20" spans="1:5">
      <c r="A20" s="41" t="s">
        <v>598</v>
      </c>
      <c r="B20" s="41"/>
      <c r="C20" s="41"/>
    </row>
  </sheetData>
  <mergeCells count="11">
    <mergeCell ref="C6:D6"/>
    <mergeCell ref="C8:D8"/>
    <mergeCell ref="C2:D2"/>
    <mergeCell ref="C3:D3"/>
    <mergeCell ref="C4:D4"/>
    <mergeCell ref="C7:D7"/>
    <mergeCell ref="C9:D9"/>
    <mergeCell ref="C10:D10"/>
    <mergeCell ref="C11:D11"/>
    <mergeCell ref="C12:D12"/>
    <mergeCell ref="C13:D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9266-49CD-4BDF-82EB-2DDFEA3EF1CB}">
  <dimension ref="A1:G16"/>
  <sheetViews>
    <sheetView workbookViewId="0">
      <selection activeCell="G3" sqref="G3"/>
    </sheetView>
  </sheetViews>
  <sheetFormatPr baseColWidth="10" defaultColWidth="8.7265625" defaultRowHeight="14.5"/>
  <cols>
    <col min="3" max="3" width="22.26953125" bestFit="1" customWidth="1"/>
    <col min="4" max="4" width="50.26953125" customWidth="1"/>
    <col min="5" max="5" width="32" customWidth="1"/>
  </cols>
  <sheetData>
    <row r="1" spans="1:7">
      <c r="A1" s="119"/>
      <c r="B1" s="119"/>
      <c r="C1" s="119"/>
      <c r="D1" s="119"/>
      <c r="E1" s="119"/>
    </row>
    <row r="2" spans="1:7">
      <c r="A2" s="45" t="s">
        <v>596</v>
      </c>
      <c r="B2" s="95"/>
      <c r="C2" s="184" t="s">
        <v>661</v>
      </c>
      <c r="D2" s="185"/>
      <c r="E2" s="42" t="s">
        <v>598</v>
      </c>
      <c r="G2" t="e" cm="1" vm="1">
        <f t="array" aca="1" ref="G2" ca="1">_xlfn.LET(_xlpm.armes,INDIRECT("'" &amp; F5 &amp; "'!C2"),_xlfn._xlws.FILTER(Armes!$D$3:$D$60,(ISNUMBER(FIND(_xlfn.CHOOSECOLS(_xlfn.TEXTSPLIT(_xlpm.armes,","),1),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Armes!$A$3:$A$60))+ISNUMBER(FIND(_xlfn.CHOOSECOLS(_xlfn.TEXTSPLIT(_xlpm.armes,","),5), Armes!$A$3:$A$60)))=1))</f>
        <v>#VALUE!</v>
      </c>
    </row>
    <row r="3" spans="1:7">
      <c r="A3" s="45" t="s">
        <v>599</v>
      </c>
      <c r="B3" s="95" t="s">
        <v>51</v>
      </c>
      <c r="C3" s="186" t="s">
        <v>600</v>
      </c>
      <c r="D3" s="187"/>
      <c r="E3" s="45" t="s">
        <v>601</v>
      </c>
    </row>
    <row r="4" spans="1:7" ht="15" customHeight="1">
      <c r="A4" s="46">
        <v>1</v>
      </c>
      <c r="B4" s="100" t="s">
        <v>602</v>
      </c>
      <c r="C4" s="184" t="s">
        <v>662</v>
      </c>
      <c r="D4" s="185"/>
      <c r="E4" s="41" t="s">
        <v>663</v>
      </c>
    </row>
    <row r="5" spans="1:7">
      <c r="A5" s="46">
        <v>5</v>
      </c>
      <c r="B5" s="100" t="s">
        <v>602</v>
      </c>
      <c r="C5" s="190" t="s">
        <v>664</v>
      </c>
      <c r="D5" s="191"/>
      <c r="E5" s="42"/>
    </row>
    <row r="6" spans="1:7">
      <c r="A6" s="46">
        <v>7</v>
      </c>
      <c r="B6" s="100" t="s">
        <v>602</v>
      </c>
      <c r="C6" s="184" t="s">
        <v>665</v>
      </c>
      <c r="D6" s="185"/>
      <c r="E6" s="42"/>
    </row>
    <row r="7" spans="1:7">
      <c r="A7" s="46">
        <v>10</v>
      </c>
      <c r="B7" s="100" t="s">
        <v>602</v>
      </c>
      <c r="C7" s="184" t="s">
        <v>666</v>
      </c>
      <c r="D7" s="185"/>
      <c r="E7" s="42" t="s">
        <v>598</v>
      </c>
    </row>
    <row r="8" spans="1:7">
      <c r="A8" s="46">
        <v>12</v>
      </c>
      <c r="B8" s="100" t="s">
        <v>602</v>
      </c>
      <c r="C8" s="184" t="s">
        <v>667</v>
      </c>
      <c r="D8" s="185"/>
      <c r="E8" s="42"/>
    </row>
    <row r="9" spans="1:7">
      <c r="A9" s="46">
        <v>15</v>
      </c>
      <c r="B9" s="100" t="s">
        <v>602</v>
      </c>
      <c r="C9" s="184" t="s">
        <v>668</v>
      </c>
      <c r="D9" s="185"/>
      <c r="E9" s="42" t="s">
        <v>598</v>
      </c>
    </row>
    <row r="10" spans="1:7">
      <c r="A10" s="46">
        <v>18</v>
      </c>
      <c r="B10" s="100" t="s">
        <v>602</v>
      </c>
      <c r="C10" s="184" t="s">
        <v>669</v>
      </c>
      <c r="D10" s="185"/>
      <c r="E10" s="42" t="s">
        <v>598</v>
      </c>
    </row>
    <row r="11" spans="1:7">
      <c r="A11" s="46" t="s">
        <v>619</v>
      </c>
      <c r="B11" s="100" t="s">
        <v>620</v>
      </c>
      <c r="C11" s="131" t="s">
        <v>670</v>
      </c>
      <c r="D11" s="129" t="s">
        <v>671</v>
      </c>
      <c r="E11" s="42" t="s">
        <v>598</v>
      </c>
    </row>
    <row r="12" spans="1:7">
      <c r="A12" s="46" t="s">
        <v>606</v>
      </c>
      <c r="B12" s="100" t="s">
        <v>620</v>
      </c>
      <c r="C12" s="44" t="s">
        <v>672</v>
      </c>
      <c r="D12" s="130" t="s">
        <v>673</v>
      </c>
      <c r="E12" s="42" t="s">
        <v>598</v>
      </c>
    </row>
    <row r="13" spans="1:7">
      <c r="A13" s="46" t="s">
        <v>608</v>
      </c>
      <c r="B13" s="100" t="s">
        <v>620</v>
      </c>
      <c r="C13" s="44" t="s">
        <v>674</v>
      </c>
      <c r="D13" s="130" t="s">
        <v>675</v>
      </c>
      <c r="E13" s="42" t="s">
        <v>598</v>
      </c>
    </row>
    <row r="14" spans="1:7">
      <c r="A14" s="46" t="s">
        <v>610</v>
      </c>
      <c r="B14" s="100" t="s">
        <v>620</v>
      </c>
      <c r="C14" s="44" t="s">
        <v>676</v>
      </c>
      <c r="D14" s="130" t="s">
        <v>677</v>
      </c>
      <c r="E14" s="42" t="s">
        <v>598</v>
      </c>
    </row>
    <row r="15" spans="1:7">
      <c r="A15" s="46" t="s">
        <v>612</v>
      </c>
      <c r="B15" s="100" t="s">
        <v>620</v>
      </c>
      <c r="C15" s="44" t="s">
        <v>678</v>
      </c>
      <c r="D15" s="130" t="s">
        <v>679</v>
      </c>
      <c r="E15" s="42" t="s">
        <v>598</v>
      </c>
    </row>
    <row r="16" spans="1:7">
      <c r="A16" s="46" t="s">
        <v>614</v>
      </c>
      <c r="B16" s="100" t="s">
        <v>620</v>
      </c>
      <c r="C16" s="44" t="s">
        <v>680</v>
      </c>
      <c r="D16" s="130" t="s">
        <v>681</v>
      </c>
      <c r="E16" s="42" t="s">
        <v>598</v>
      </c>
    </row>
  </sheetData>
  <mergeCells count="9">
    <mergeCell ref="C9:D9"/>
    <mergeCell ref="C10:D10"/>
    <mergeCell ref="C5:D5"/>
    <mergeCell ref="C2:D2"/>
    <mergeCell ref="C3:D3"/>
    <mergeCell ref="C4:D4"/>
    <mergeCell ref="C6:D6"/>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Equipe</vt:lpstr>
      <vt:lpstr>Objets</vt:lpstr>
      <vt:lpstr>Calculs</vt:lpstr>
      <vt:lpstr>Magies TO JSON</vt:lpstr>
      <vt:lpstr>Statuts</vt:lpstr>
      <vt:lpstr>Magies</vt:lpstr>
      <vt:lpstr>Compétences</vt:lpstr>
      <vt:lpstr>Armes</vt:lpstr>
      <vt:lpstr>Données</vt:lpstr>
      <vt:lpstr>Bestiaire</vt:lpstr>
      <vt:lpstr>Attaques ennemis</vt:lpstr>
      <vt:lpstr>Bestiaire (2)</vt:lpstr>
      <vt:lpstr>Mage Bleu</vt:lpstr>
      <vt:lpstr>Voleur</vt:lpstr>
      <vt:lpstr>Mage Rouge</vt:lpstr>
      <vt:lpstr>Mage Blanc</vt:lpstr>
      <vt:lpstr>Mage Noir</vt:lpstr>
      <vt:lpstr>Guerrier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RECEVEUR</cp:lastModifiedBy>
  <cp:revision/>
  <dcterms:created xsi:type="dcterms:W3CDTF">2023-11-29T17:57:46Z</dcterms:created>
  <dcterms:modified xsi:type="dcterms:W3CDTF">2025-03-14T20:42:45Z</dcterms:modified>
  <cp:category/>
  <cp:contentStatus/>
</cp:coreProperties>
</file>