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Άσκηση ΜΚ-04 - Επικύρωση Μεθόδο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<sst xmlns="http://schemas.openxmlformats.org/spreadsheetml/2006/main" count="104" uniqueCount="44">
  <si>
    <t xml:space="preserve">Sample Number</t>
  </si>
  <si>
    <t xml:space="preserve">Concentration [Hg] (ug/g)</t>
  </si>
  <si>
    <t xml:space="preserve">Observation</t>
  </si>
  <si>
    <t xml:space="preserve">Instrument Response - Curve Height (Ai)</t>
  </si>
  <si>
    <t xml:space="preserve">Average</t>
  </si>
  <si>
    <t xml:space="preserve">Standard Deviation (SD)</t>
  </si>
  <si>
    <t xml:space="preserve">%Relative Standard Deviation (%RSD)</t>
  </si>
  <si>
    <t xml:space="preserve">Διόρθωση Υποβάθρου</t>
  </si>
  <si>
    <t xml:space="preserve">White</t>
  </si>
  <si>
    <t xml:space="preserve">Curve</t>
  </si>
  <si>
    <t xml:space="preserve">Max(RSD)-Min(RSD) =</t>
  </si>
  <si>
    <t xml:space="preserve">Είναι εκτός της περιοχής 0,8-1,2</t>
  </si>
  <si>
    <t xml:space="preserve">Regression</t>
  </si>
  <si>
    <t xml:space="preserve">Regression Model</t>
  </si>
  <si>
    <t xml:space="preserve">Linear</t>
  </si>
  <si>
    <t xml:space="preserve">LINEST raw output</t>
  </si>
  <si>
    <t xml:space="preserve">Regression Statistics</t>
  </si>
  <si>
    <t xml:space="preserve">R^2</t>
  </si>
  <si>
    <t xml:space="preserve">Standard Error</t>
  </si>
  <si>
    <t xml:space="preserve">Count of X variables</t>
  </si>
  <si>
    <t xml:space="preserve">Observations</t>
  </si>
  <si>
    <t xml:space="preserve">Adjusted R^2</t>
  </si>
  <si>
    <t xml:space="preserve">Analysis of Variance (ANOVA)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</si>
  <si>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</si>
  <si>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</si>
  <si>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</si>
  <si>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</si>
  <si>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</si>
  <si>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Residual</t>
  </si>
  <si>
    <t xml:space="preserve">Total</t>
  </si>
  <si>
    <t xml:space="preserve">Confidence level</t>
  </si>
  <si>
    <t xml:space="preserve">Coefficients</t>
  </si>
  <si>
    <t xml:space="preserve">t-Statistic</t>
  </si>
  <si>
    <t xml:space="preserve">P-value</t>
  </si>
  <si>
    <t xml:space="preserve">Predicted Y</t>
  </si>
  <si>
    <t xml:space="preserve">Residual/Concentration</t>
  </si>
  <si>
    <t xml:space="preserve">$'Άσκηση ΜΚ-04 - Επικύρωση Μεθόδου T-1 Γραμμικότητα'.$B$110:$B$115</t>
  </si>
  <si>
    <r>
      <rPr>
        <sz val="10"/>
        <rFont val="Arial"/>
        <family val="2"/>
        <charset val="161"/>
      </rPr>
      <t xml:space="preserve">S</t>
    </r>
    <r>
      <rPr>
        <vertAlign val="subscript"/>
        <sz val="10"/>
        <rFont val="Arial"/>
        <family val="2"/>
        <charset val="161"/>
      </rPr>
      <t xml:space="preserve">a</t>
    </r>
  </si>
  <si>
    <r>
      <rPr>
        <sz val="10"/>
        <rFont val="Arial"/>
        <family val="2"/>
        <charset val="161"/>
      </rPr>
      <t xml:space="preserve">S</t>
    </r>
    <r>
      <rPr>
        <vertAlign val="subscript"/>
        <sz val="10"/>
        <rFont val="Arial"/>
        <family val="2"/>
        <charset val="161"/>
      </rPr>
      <t xml:space="preserve">b</t>
    </r>
  </si>
  <si>
    <r>
      <rPr>
        <sz val="10"/>
        <rFont val="Arial"/>
        <family val="2"/>
        <charset val="161"/>
      </rPr>
      <t xml:space="preserve">S</t>
    </r>
    <r>
      <rPr>
        <vertAlign val="subscript"/>
        <sz val="10"/>
        <rFont val="Arial"/>
        <family val="2"/>
        <charset val="161"/>
      </rPr>
      <t xml:space="preserve">y/x</t>
    </r>
  </si>
  <si>
    <r>
      <rPr>
        <sz val="10"/>
        <rFont val="Arial"/>
        <family val="2"/>
        <charset val="161"/>
      </rPr>
      <t xml:space="preserve">LOD (S</t>
    </r>
    <r>
      <rPr>
        <vertAlign val="subscript"/>
        <sz val="10"/>
        <rFont val="Arial"/>
        <family val="2"/>
        <charset val="161"/>
      </rPr>
      <t xml:space="preserve">a</t>
    </r>
    <r>
      <rPr>
        <sz val="10"/>
        <rFont val="Arial"/>
        <family val="2"/>
        <charset val="161"/>
      </rPr>
      <t xml:space="preserve">)</t>
    </r>
  </si>
  <si>
    <r>
      <rPr>
        <sz val="10"/>
        <rFont val="Arial"/>
        <family val="2"/>
        <charset val="161"/>
      </rPr>
      <t xml:space="preserve">LOQ (S</t>
    </r>
    <r>
      <rPr>
        <vertAlign val="subscript"/>
        <sz val="10"/>
        <rFont val="Arial"/>
        <family val="2"/>
        <charset val="161"/>
      </rPr>
      <t xml:space="preserve">a</t>
    </r>
    <r>
      <rPr>
        <sz val="10"/>
        <rFont val="Arial"/>
        <family val="2"/>
        <charset val="161"/>
      </rPr>
      <t xml:space="preserve">)</t>
    </r>
  </si>
  <si>
    <r>
      <rPr>
        <sz val="10"/>
        <rFont val="Arial"/>
        <family val="2"/>
        <charset val="161"/>
      </rPr>
      <t xml:space="preserve">LOD (S</t>
    </r>
    <r>
      <rPr>
        <vertAlign val="subscript"/>
        <sz val="10"/>
        <rFont val="Arial"/>
        <family val="2"/>
        <charset val="161"/>
      </rPr>
      <t xml:space="preserve">y/x</t>
    </r>
    <r>
      <rPr>
        <sz val="10"/>
        <rFont val="Arial"/>
        <family val="2"/>
        <charset val="161"/>
      </rPr>
      <t xml:space="preserve">)</t>
    </r>
  </si>
  <si>
    <r>
      <rPr>
        <sz val="10"/>
        <rFont val="Arial"/>
        <family val="2"/>
        <charset val="161"/>
      </rPr>
      <t xml:space="preserve">LOQ (S</t>
    </r>
    <r>
      <rPr>
        <vertAlign val="subscript"/>
        <sz val="10"/>
        <rFont val="Arial"/>
        <family val="2"/>
        <charset val="161"/>
      </rPr>
      <t xml:space="preserve">y/x</t>
    </r>
    <r>
      <rPr>
        <sz val="10"/>
        <rFont val="Arial"/>
        <family val="2"/>
        <charset val="161"/>
      </rPr>
      <t xml:space="preserve">)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</si>
</sst>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0.00%"/>
    <numFmt numFmtId="167" formatCode="0.00"/>
    <numFmt numFmtId="168" formatCode="0.000000"/>
  </numFmts>
  <fonts count="9">
    <font>
      <sz val="10"/>
      <name val="Arial"/>
      <family val="2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b val="true"/>
      <sz val="10"/>
      <name val="Arial"/>
      <family val="2"/>
      <charset val="161"/>
    </font>
    <font>
      <vertAlign val="subscript"/>
      <sz val="10"/>
      <name val="Arial"/>
      <family val="2"/>
      <charset val="16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Καμπύλη Απόκρισης - Βαθμονόμησης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'Άσκηση ΜΚ-04 - Επικύρωση Μεθόδο'!$B$33</c:f>
              <c:strCache>
                <c:ptCount val="1"/>
                <c:pt idx="0">
                  <c:v>Instrument Response - Curve Height (Ai)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36000">
                <a:solidFill>
                  <a:srgbClr val="f10d0c">
                    <a:alpha val="85000"/>
                  </a:srgbClr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'Άσκηση ΜΚ-04 - Επικύρωση Μεθόδο'!$A$34:$A$40</c:f>
              <c:numCache>
                <c:formatCode>General</c:formatCode>
                <c:ptCount val="7"/>
                <c:pt idx="0">
                  <c:v>0.5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</c:numCache>
            </c:numRef>
          </c:xVal>
          <c:yVal>
            <c:numRef>
              <c:f>'Άσκηση ΜΚ-04 - Επικύρωση Μεθόδο'!$B$34:$B$40</c:f>
              <c:numCache>
                <c:formatCode>General</c:formatCode>
                <c:ptCount val="7"/>
                <c:pt idx="0">
                  <c:v>0.0068</c:v>
                </c:pt>
                <c:pt idx="1">
                  <c:v>0.0367</c:v>
                </c:pt>
                <c:pt idx="2">
                  <c:v>0.0747</c:v>
                </c:pt>
                <c:pt idx="3">
                  <c:v>0.1152</c:v>
                </c:pt>
                <c:pt idx="4">
                  <c:v>0.1879</c:v>
                </c:pt>
                <c:pt idx="5">
                  <c:v>0.2205</c:v>
                </c:pt>
                <c:pt idx="6">
                  <c:v>0.291</c:v>
                </c:pt>
              </c:numCache>
            </c:numRef>
          </c:yVal>
          <c:smooth val="0"/>
        </c:ser>
        <c:axId val="91381534"/>
        <c:axId val="89736372"/>
      </c:scatterChart>
      <c:valAx>
        <c:axId val="91381534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Συγκέντρωση (ng/g)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736372"/>
        <c:crosses val="autoZero"/>
        <c:crossBetween val="midCat"/>
      </c:valAx>
      <c:valAx>
        <c:axId val="8973637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Απόκριση (Απορρόφηση)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38153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Διάγραμα Υπολείπων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'Άσκηση ΜΚ-04 - Επικύρωση Μεθόδο'!$B$81</c:f>
              <c:strCache>
                <c:ptCount val="1"/>
                <c:pt idx="0">
                  <c:v>Residual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'Άσκηση ΜΚ-04 - Επικύρωση Μεθόδο'!$A$82:$A$88</c:f>
              <c:numCache>
                <c:formatCode>General</c:formatCode>
                <c:ptCount val="7"/>
                <c:pt idx="0">
                  <c:v>0.5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</c:numCache>
            </c:numRef>
          </c:xVal>
          <c:yVal>
            <c:numRef>
              <c:f>'Άσκηση ΜΚ-04 - Επικύρωση Μεθόδο'!$B$82:$B$88</c:f>
              <c:numCache>
                <c:formatCode>General</c:formatCode>
                <c:ptCount val="7"/>
                <c:pt idx="0">
                  <c:v>-0.00630224248398232</c:v>
                </c:pt>
                <c:pt idx="1">
                  <c:v>-0.00591397240019719</c:v>
                </c:pt>
                <c:pt idx="2">
                  <c:v>-0.00480363479546579</c:v>
                </c:pt>
                <c:pt idx="3">
                  <c:v>-0.0011932971907344</c:v>
                </c:pt>
                <c:pt idx="4">
                  <c:v>0.034617040413997</c:v>
                </c:pt>
                <c:pt idx="5">
                  <c:v>-0.00656228437654019</c:v>
                </c:pt>
                <c:pt idx="6">
                  <c:v>-0.00984160916707738</c:v>
                </c:pt>
              </c:numCache>
            </c:numRef>
          </c:yVal>
          <c:smooth val="0"/>
        </c:ser>
        <c:axId val="35210818"/>
        <c:axId val="58664448"/>
      </c:scatterChart>
      <c:valAx>
        <c:axId val="3521081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Συγκέντρωση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664448"/>
        <c:crosses val="autoZero"/>
        <c:crossBetween val="midCat"/>
      </c:valAx>
      <c:valAx>
        <c:axId val="5866444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Υπόλειπα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21081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Σχετικά Υπόλειπα - Συγκέντρωση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'Άσκηση ΜΚ-04 - Επικύρωση Μεθόδο'!$B$91</c:f>
              <c:strCache>
                <c:ptCount val="1"/>
                <c:pt idx="0">
                  <c:v>Residual/Concentration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'Άσκηση ΜΚ-04 - Επικύρωση Μεθόδο'!$A$92:$A$98</c:f>
              <c:numCache>
                <c:formatCode>General</c:formatCode>
                <c:ptCount val="7"/>
                <c:pt idx="0">
                  <c:v>0.5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</c:numCache>
            </c:numRef>
          </c:xVal>
          <c:yVal>
            <c:numRef>
              <c:f>'Άσκηση ΜΚ-04 - Επικύρωση Μεθόδο'!$B$92:$B$98</c:f>
              <c:numCache>
                <c:formatCode>General</c:formatCode>
                <c:ptCount val="7"/>
                <c:pt idx="0">
                  <c:v>-0.0126044849679645</c:v>
                </c:pt>
                <c:pt idx="1">
                  <c:v>-0.00236558896007886</c:v>
                </c:pt>
                <c:pt idx="2">
                  <c:v>-0.000960726959093153</c:v>
                </c:pt>
                <c:pt idx="3">
                  <c:v>-0.000159106292097916</c:v>
                </c:pt>
                <c:pt idx="4">
                  <c:v>0.0034617040413997</c:v>
                </c:pt>
                <c:pt idx="5">
                  <c:v>-0.000437485625102681</c:v>
                </c:pt>
                <c:pt idx="6">
                  <c:v>-0.000492080458353866</c:v>
                </c:pt>
              </c:numCache>
            </c:numRef>
          </c:yVal>
          <c:smooth val="0"/>
        </c:ser>
        <c:axId val="33757658"/>
        <c:axId val="77996002"/>
      </c:scatterChart>
      <c:valAx>
        <c:axId val="337576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Συγκέντρωση (ng/g)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996002"/>
        <c:crosses val="autoZero"/>
        <c:crossBetween val="midCat"/>
      </c:valAx>
      <c:valAx>
        <c:axId val="7799600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Υπόλειπο/Συγκέντρωση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75765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Καμπύλη Απόκρισης - Χωρίς Έκτροπες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'Άσκηση ΜΚ-04 - Επικύρωση Μεθόδο'!$B$109</c:f>
              <c:strCache>
                <c:ptCount val="1"/>
                <c:pt idx="0">
                  <c:v>Instrument Response - Curve Height (Ai)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ff7b59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'Άσκηση ΜΚ-04 - Επικύρωση Μεθόδο'!$A$110:$A$115</c:f>
              <c:numCache>
                <c:formatCode>General</c:formatCode>
                <c:ptCount val="6"/>
                <c:pt idx="0">
                  <c:v>0.5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15</c:v>
                </c:pt>
                <c:pt idx="5">
                  <c:v>20</c:v>
                </c:pt>
              </c:numCache>
            </c:numRef>
          </c:xVal>
          <c:yVal>
            <c:numRef>
              <c:f>'Άσκηση ΜΚ-04 - Επικύρωση Μεθόδο'!$B$110:$B$115</c:f>
              <c:numCache>
                <c:formatCode>General</c:formatCode>
                <c:ptCount val="6"/>
                <c:pt idx="0">
                  <c:v>0.0068</c:v>
                </c:pt>
                <c:pt idx="1">
                  <c:v>0.0367</c:v>
                </c:pt>
                <c:pt idx="2">
                  <c:v>0.0747</c:v>
                </c:pt>
                <c:pt idx="3">
                  <c:v>0.1152</c:v>
                </c:pt>
                <c:pt idx="4">
                  <c:v>0.2205</c:v>
                </c:pt>
                <c:pt idx="5">
                  <c:v>0.291</c:v>
                </c:pt>
              </c:numCache>
            </c:numRef>
          </c:yVal>
          <c:smooth val="0"/>
        </c:ser>
        <c:axId val="60799750"/>
        <c:axId val="46027111"/>
      </c:scatterChart>
      <c:valAx>
        <c:axId val="6079975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Συγκέντρωση (ng/g)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027111"/>
        <c:crosses val="autoZero"/>
        <c:crossBetween val="midCat"/>
      </c:valAx>
      <c:valAx>
        <c:axId val="4602711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Απόκριση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79975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Απόκριση/Συγκέντρωση -Συγκέντρωση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'Άσκηση ΜΚ-04 - Επικύρωση Μεθόδο'!$B$171</c:f>
              <c:strCache>
                <c:ptCount val="1"/>
                <c:pt idx="0">
                  <c:v>Instrument Response - Curve Height (Ai)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'Άσκηση ΜΚ-04 - Επικύρωση Μεθόδο'!$A$172:$A$177</c:f>
              <c:numCache>
                <c:formatCode>General</c:formatCode>
                <c:ptCount val="6"/>
                <c:pt idx="0">
                  <c:v>0.5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15</c:v>
                </c:pt>
                <c:pt idx="5">
                  <c:v>20</c:v>
                </c:pt>
              </c:numCache>
            </c:numRef>
          </c:xVal>
          <c:yVal>
            <c:numRef>
              <c:f>'Άσκηση ΜΚ-04 - Επικύρωση Μεθόδο'!$B$172:$B$177</c:f>
              <c:numCache>
                <c:formatCode>General</c:formatCode>
                <c:ptCount val="6"/>
                <c:pt idx="0">
                  <c:v>0.0136</c:v>
                </c:pt>
                <c:pt idx="1">
                  <c:v>0.01468</c:v>
                </c:pt>
                <c:pt idx="2">
                  <c:v>0.01494</c:v>
                </c:pt>
                <c:pt idx="3">
                  <c:v>0.01536</c:v>
                </c:pt>
                <c:pt idx="4">
                  <c:v>0.0147</c:v>
                </c:pt>
                <c:pt idx="5">
                  <c:v>0.01455</c:v>
                </c:pt>
              </c:numCache>
            </c:numRef>
          </c:yVal>
          <c:smooth val="0"/>
        </c:ser>
        <c:axId val="84162618"/>
        <c:axId val="29855479"/>
      </c:scatterChart>
      <c:valAx>
        <c:axId val="8416261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Συγκέντρωση (ng/g)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855479"/>
        <c:crosses val="autoZero"/>
        <c:crossBetween val="midCat"/>
      </c:valAx>
      <c:valAx>
        <c:axId val="2985547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Απόκριση/Συγκέντρωση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16261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Relationship Id="rId3" Type="http://schemas.openxmlformats.org/officeDocument/2006/relationships/chart" Target="../charts/chart16.xml"/><Relationship Id="rId4" Type="http://schemas.openxmlformats.org/officeDocument/2006/relationships/chart" Target="../charts/chart17.xml"/><Relationship Id="rId5" Type="http://schemas.openxmlformats.org/officeDocument/2006/relationships/chart" Target="../charts/chart1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11880</xdr:colOff>
      <xdr:row>27</xdr:row>
      <xdr:rowOff>133200</xdr:rowOff>
    </xdr:from>
    <xdr:to>
      <xdr:col>10</xdr:col>
      <xdr:colOff>605160</xdr:colOff>
      <xdr:row>54</xdr:row>
      <xdr:rowOff>65880</xdr:rowOff>
    </xdr:to>
    <xdr:graphicFrame>
      <xdr:nvGraphicFramePr>
        <xdr:cNvPr id="0" name=""/>
        <xdr:cNvGraphicFramePr/>
      </xdr:nvGraphicFramePr>
      <xdr:xfrm>
        <a:off x="8320680" y="4522320"/>
        <a:ext cx="7383240" cy="432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2188800</xdr:colOff>
      <xdr:row>74</xdr:row>
      <xdr:rowOff>45360</xdr:rowOff>
    </xdr:from>
    <xdr:to>
      <xdr:col>7</xdr:col>
      <xdr:colOff>1171080</xdr:colOff>
      <xdr:row>94</xdr:row>
      <xdr:rowOff>33480</xdr:rowOff>
    </xdr:to>
    <xdr:graphicFrame>
      <xdr:nvGraphicFramePr>
        <xdr:cNvPr id="1" name=""/>
        <xdr:cNvGraphicFramePr/>
      </xdr:nvGraphicFramePr>
      <xdr:xfrm>
        <a:off x="7511760" y="12074760"/>
        <a:ext cx="575784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741960</xdr:colOff>
      <xdr:row>85</xdr:row>
      <xdr:rowOff>128160</xdr:rowOff>
    </xdr:from>
    <xdr:to>
      <xdr:col>6</xdr:col>
      <xdr:colOff>747720</xdr:colOff>
      <xdr:row>105</xdr:row>
      <xdr:rowOff>116280</xdr:rowOff>
    </xdr:to>
    <xdr:graphicFrame>
      <xdr:nvGraphicFramePr>
        <xdr:cNvPr id="2" name=""/>
        <xdr:cNvGraphicFramePr/>
      </xdr:nvGraphicFramePr>
      <xdr:xfrm>
        <a:off x="4781160" y="13945680"/>
        <a:ext cx="575856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986760</xdr:colOff>
      <xdr:row>108</xdr:row>
      <xdr:rowOff>16560</xdr:rowOff>
    </xdr:from>
    <xdr:to>
      <xdr:col>6</xdr:col>
      <xdr:colOff>992520</xdr:colOff>
      <xdr:row>128</xdr:row>
      <xdr:rowOff>4680</xdr:rowOff>
    </xdr:to>
    <xdr:graphicFrame>
      <xdr:nvGraphicFramePr>
        <xdr:cNvPr id="3" name=""/>
        <xdr:cNvGraphicFramePr/>
      </xdr:nvGraphicFramePr>
      <xdr:xfrm>
        <a:off x="5025960" y="17573040"/>
        <a:ext cx="575856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</xdr:col>
      <xdr:colOff>1280160</xdr:colOff>
      <xdr:row>169</xdr:row>
      <xdr:rowOff>45720</xdr:rowOff>
    </xdr:from>
    <xdr:to>
      <xdr:col>7</xdr:col>
      <xdr:colOff>262440</xdr:colOff>
      <xdr:row>189</xdr:row>
      <xdr:rowOff>33480</xdr:rowOff>
    </xdr:to>
    <xdr:graphicFrame>
      <xdr:nvGraphicFramePr>
        <xdr:cNvPr id="4" name=""/>
        <xdr:cNvGraphicFramePr/>
      </xdr:nvGraphicFramePr>
      <xdr:xfrm>
        <a:off x="6603120" y="27518040"/>
        <a:ext cx="575784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87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B188" activeCellId="0" sqref="B18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36.83"/>
    <col collapsed="false" customWidth="true" hidden="false" outlineLevel="0" max="3" min="3" style="0" width="18.2"/>
    <col collapsed="false" customWidth="true" hidden="false" outlineLevel="0" max="4" min="4" style="0" width="34.21"/>
    <col collapsed="false" customWidth="true" hidden="false" outlineLevel="0" max="5" min="5" style="0" width="8.1"/>
    <col collapsed="false" customWidth="true" hidden="false" outlineLevel="0" max="6" min="6" style="1" width="21.02"/>
    <col collapsed="false" customWidth="true" hidden="false" outlineLevel="0" max="7" min="7" style="2" width="32.68"/>
    <col collapsed="false" customWidth="true" hidden="false" outlineLevel="0" max="8" min="8" style="1" width="19.45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1" t="s">
        <v>5</v>
      </c>
      <c r="G2" s="2" t="s">
        <v>6</v>
      </c>
      <c r="H2" s="1" t="s">
        <v>7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8</v>
      </c>
      <c r="D3" s="0" t="n">
        <v>0.0006</v>
      </c>
    </row>
    <row r="4" customFormat="false" ht="12.8" hidden="false" customHeight="false" outlineLevel="0" collapsed="false">
      <c r="A4" s="0" t="n">
        <v>1</v>
      </c>
      <c r="B4" s="0" t="n">
        <v>0</v>
      </c>
      <c r="C4" s="0" t="s">
        <v>8</v>
      </c>
      <c r="D4" s="0" t="n">
        <v>0.0007</v>
      </c>
      <c r="E4" s="0" t="n">
        <f aca="false">AVERAGE(D3:D5)</f>
        <v>0.0007</v>
      </c>
      <c r="F4" s="1" t="n">
        <f aca="false">_xlfn.STDEV.S(D3:D5)</f>
        <v>0.0001</v>
      </c>
      <c r="G4" s="2" t="n">
        <f aca="false">F4/E4</f>
        <v>0.142857142857143</v>
      </c>
    </row>
    <row r="5" customFormat="false" ht="12.8" hidden="false" customHeight="false" outlineLevel="0" collapsed="false">
      <c r="A5" s="0" t="n">
        <v>1</v>
      </c>
      <c r="B5" s="0" t="n">
        <v>0</v>
      </c>
      <c r="C5" s="0" t="s">
        <v>8</v>
      </c>
      <c r="D5" s="0" t="n">
        <v>0.0008</v>
      </c>
    </row>
    <row r="6" customFormat="false" ht="12.8" hidden="false" customHeight="false" outlineLevel="0" collapsed="false">
      <c r="A6" s="0" t="n">
        <v>2</v>
      </c>
      <c r="B6" s="0" t="n">
        <v>0.5</v>
      </c>
      <c r="C6" s="0" t="s">
        <v>9</v>
      </c>
      <c r="D6" s="0" t="n">
        <v>0.0074</v>
      </c>
    </row>
    <row r="7" customFormat="false" ht="12.8" hidden="false" customHeight="false" outlineLevel="0" collapsed="false">
      <c r="A7" s="0" t="n">
        <v>2</v>
      </c>
      <c r="B7" s="0" t="n">
        <v>0.5</v>
      </c>
      <c r="C7" s="0" t="s">
        <v>9</v>
      </c>
      <c r="D7" s="0" t="n">
        <v>0.0075</v>
      </c>
      <c r="E7" s="0" t="n">
        <f aca="false">AVERAGE(D6:D8)</f>
        <v>0.0075</v>
      </c>
      <c r="F7" s="1" t="n">
        <f aca="false">_xlfn.STDEV.S(D6:D8)</f>
        <v>9.99999999999998E-005</v>
      </c>
      <c r="G7" s="2" t="n">
        <f aca="false">F7/E7</f>
        <v>0.0133333333333333</v>
      </c>
      <c r="H7" s="1" t="n">
        <f aca="false">E7-$E4</f>
        <v>0.0068</v>
      </c>
    </row>
    <row r="8" customFormat="false" ht="12.8" hidden="false" customHeight="false" outlineLevel="0" collapsed="false">
      <c r="A8" s="0" t="n">
        <v>2</v>
      </c>
      <c r="B8" s="0" t="n">
        <v>0.5</v>
      </c>
      <c r="C8" s="0" t="s">
        <v>9</v>
      </c>
      <c r="D8" s="0" t="n">
        <v>0.0076</v>
      </c>
    </row>
    <row r="9" customFormat="false" ht="12.8" hidden="false" customHeight="false" outlineLevel="0" collapsed="false">
      <c r="A9" s="0" t="n">
        <v>3</v>
      </c>
      <c r="B9" s="0" t="n">
        <v>2.5</v>
      </c>
      <c r="C9" s="0" t="s">
        <v>9</v>
      </c>
      <c r="D9" s="0" t="n">
        <v>0.0374</v>
      </c>
    </row>
    <row r="10" customFormat="false" ht="12.8" hidden="false" customHeight="false" outlineLevel="0" collapsed="false">
      <c r="A10" s="0" t="n">
        <v>3</v>
      </c>
      <c r="B10" s="0" t="n">
        <v>2.5</v>
      </c>
      <c r="C10" s="0" t="s">
        <v>9</v>
      </c>
      <c r="D10" s="0" t="n">
        <v>0.0373</v>
      </c>
      <c r="E10" s="0" t="n">
        <f aca="false">AVERAGE(D9:D11)</f>
        <v>0.0374</v>
      </c>
      <c r="F10" s="1" t="n">
        <f aca="false">_xlfn.STDEV.S(D9:D11)</f>
        <v>9.99999999999994E-005</v>
      </c>
      <c r="G10" s="2" t="n">
        <f aca="false">F10/E10</f>
        <v>0.00267379679144383</v>
      </c>
      <c r="H10" s="1" t="n">
        <f aca="false">E10-E4</f>
        <v>0.0367</v>
      </c>
    </row>
    <row r="11" customFormat="false" ht="12.8" hidden="false" customHeight="false" outlineLevel="0" collapsed="false">
      <c r="A11" s="0" t="n">
        <v>3</v>
      </c>
      <c r="B11" s="0" t="n">
        <v>2.5</v>
      </c>
      <c r="C11" s="0" t="s">
        <v>9</v>
      </c>
      <c r="D11" s="0" t="n">
        <v>0.0375</v>
      </c>
    </row>
    <row r="12" customFormat="false" ht="12.8" hidden="false" customHeight="false" outlineLevel="0" collapsed="false">
      <c r="A12" s="0" t="n">
        <v>4</v>
      </c>
      <c r="B12" s="0" t="n">
        <v>5</v>
      </c>
      <c r="C12" s="0" t="s">
        <v>9</v>
      </c>
      <c r="D12" s="0" t="n">
        <v>0.0754</v>
      </c>
    </row>
    <row r="13" customFormat="false" ht="12.8" hidden="false" customHeight="false" outlineLevel="0" collapsed="false">
      <c r="A13" s="0" t="n">
        <v>4</v>
      </c>
      <c r="B13" s="0" t="n">
        <v>5</v>
      </c>
      <c r="C13" s="0" t="s">
        <v>9</v>
      </c>
      <c r="D13" s="0" t="n">
        <v>0.0755</v>
      </c>
      <c r="E13" s="0" t="n">
        <f aca="false">AVERAGE(D12:D14)</f>
        <v>0.0754</v>
      </c>
      <c r="F13" s="1" t="n">
        <f aca="false">_xlfn.STDEV.S(D12:D14)</f>
        <v>9.99999999999959E-005</v>
      </c>
      <c r="G13" s="2" t="n">
        <f aca="false">F13/E13</f>
        <v>0.00132625994694955</v>
      </c>
      <c r="H13" s="1" t="n">
        <f aca="false">E13-$E4</f>
        <v>0.0747</v>
      </c>
    </row>
    <row r="14" customFormat="false" ht="12.8" hidden="false" customHeight="false" outlineLevel="0" collapsed="false">
      <c r="A14" s="0" t="n">
        <v>4</v>
      </c>
      <c r="B14" s="0" t="n">
        <v>5</v>
      </c>
      <c r="C14" s="0" t="s">
        <v>9</v>
      </c>
      <c r="D14" s="0" t="n">
        <v>0.0753</v>
      </c>
    </row>
    <row r="15" customFormat="false" ht="12.8" hidden="false" customHeight="false" outlineLevel="0" collapsed="false">
      <c r="A15" s="0" t="n">
        <v>5</v>
      </c>
      <c r="B15" s="0" t="n">
        <v>7.5</v>
      </c>
      <c r="C15" s="0" t="s">
        <v>9</v>
      </c>
      <c r="D15" s="0" t="n">
        <v>0.1159</v>
      </c>
    </row>
    <row r="16" customFormat="false" ht="12.8" hidden="false" customHeight="false" outlineLevel="0" collapsed="false">
      <c r="A16" s="0" t="n">
        <v>5</v>
      </c>
      <c r="B16" s="0" t="n">
        <v>7.5</v>
      </c>
      <c r="C16" s="0" t="s">
        <v>9</v>
      </c>
      <c r="D16" s="0" t="n">
        <v>0.1157</v>
      </c>
      <c r="E16" s="0" t="n">
        <f aca="false">AVERAGE(D15:D17)</f>
        <v>0.1159</v>
      </c>
      <c r="F16" s="1" t="n">
        <f aca="false">_xlfn.STDEV.S(D15:D17)</f>
        <v>0.000199999999999999</v>
      </c>
      <c r="G16" s="2" t="n">
        <f aca="false">F16/E16</f>
        <v>0.00172562553925797</v>
      </c>
      <c r="H16" s="1" t="n">
        <f aca="false">E16-E4</f>
        <v>0.1152</v>
      </c>
    </row>
    <row r="17" customFormat="false" ht="12.8" hidden="false" customHeight="false" outlineLevel="0" collapsed="false">
      <c r="A17" s="0" t="n">
        <v>5</v>
      </c>
      <c r="B17" s="0" t="n">
        <v>7.5</v>
      </c>
      <c r="C17" s="0" t="s">
        <v>9</v>
      </c>
      <c r="D17" s="0" t="n">
        <v>0.1161</v>
      </c>
    </row>
    <row r="18" customFormat="false" ht="12.8" hidden="false" customHeight="false" outlineLevel="0" collapsed="false">
      <c r="A18" s="0" t="n">
        <v>6</v>
      </c>
      <c r="B18" s="0" t="n">
        <v>10</v>
      </c>
      <c r="C18" s="0" t="s">
        <v>9</v>
      </c>
      <c r="D18" s="0" t="n">
        <v>0.1884</v>
      </c>
    </row>
    <row r="19" customFormat="false" ht="12.8" hidden="false" customHeight="false" outlineLevel="0" collapsed="false">
      <c r="A19" s="0" t="n">
        <v>6</v>
      </c>
      <c r="B19" s="0" t="n">
        <v>10</v>
      </c>
      <c r="C19" s="0" t="s">
        <v>9</v>
      </c>
      <c r="D19" s="0" t="n">
        <v>0.1886</v>
      </c>
      <c r="E19" s="0" t="n">
        <f aca="false">AVERAGE(D18:D20)</f>
        <v>0.1886</v>
      </c>
      <c r="F19" s="1" t="n">
        <f aca="false">_xlfn.STDEV.S(D18:D20)</f>
        <v>0.000199999999999992</v>
      </c>
      <c r="G19" s="2" t="n">
        <f aca="false">F19/E19</f>
        <v>0.00106044538706252</v>
      </c>
      <c r="H19" s="1" t="n">
        <f aca="false">E19-$E4</f>
        <v>0.1879</v>
      </c>
    </row>
    <row r="20" customFormat="false" ht="12.8" hidden="false" customHeight="false" outlineLevel="0" collapsed="false">
      <c r="A20" s="0" t="n">
        <v>6</v>
      </c>
      <c r="B20" s="0" t="n">
        <v>10</v>
      </c>
      <c r="C20" s="0" t="s">
        <v>9</v>
      </c>
      <c r="D20" s="0" t="n">
        <v>0.1888</v>
      </c>
    </row>
    <row r="21" customFormat="false" ht="12.8" hidden="false" customHeight="false" outlineLevel="0" collapsed="false">
      <c r="A21" s="0" t="n">
        <v>7</v>
      </c>
      <c r="B21" s="0" t="n">
        <v>15</v>
      </c>
      <c r="C21" s="0" t="s">
        <v>9</v>
      </c>
      <c r="D21" s="0" t="n">
        <v>0.2212</v>
      </c>
    </row>
    <row r="22" customFormat="false" ht="12.8" hidden="false" customHeight="false" outlineLevel="0" collapsed="false">
      <c r="A22" s="0" t="n">
        <v>7</v>
      </c>
      <c r="B22" s="0" t="n">
        <v>15</v>
      </c>
      <c r="C22" s="0" t="s">
        <v>9</v>
      </c>
      <c r="D22" s="0" t="n">
        <v>0.2214</v>
      </c>
      <c r="E22" s="0" t="n">
        <f aca="false">AVERAGE(D21:D23)</f>
        <v>0.2212</v>
      </c>
      <c r="F22" s="1" t="n">
        <f aca="false">_xlfn.STDEV.S(D21:D23)</f>
        <v>0.000200000000000006</v>
      </c>
      <c r="G22" s="2" t="n">
        <f aca="false">F22/E22</f>
        <v>0.000904159132007259</v>
      </c>
      <c r="H22" s="1" t="n">
        <f aca="false">E22-E4</f>
        <v>0.2205</v>
      </c>
    </row>
    <row r="23" customFormat="false" ht="12.8" hidden="false" customHeight="false" outlineLevel="0" collapsed="false">
      <c r="A23" s="0" t="n">
        <v>7</v>
      </c>
      <c r="B23" s="0" t="n">
        <v>15</v>
      </c>
      <c r="C23" s="0" t="s">
        <v>9</v>
      </c>
      <c r="D23" s="0" t="n">
        <v>0.221</v>
      </c>
    </row>
    <row r="24" customFormat="false" ht="12.8" hidden="false" customHeight="false" outlineLevel="0" collapsed="false">
      <c r="A24" s="0" t="n">
        <v>8</v>
      </c>
      <c r="B24" s="0" t="n">
        <v>20</v>
      </c>
      <c r="C24" s="0" t="s">
        <v>9</v>
      </c>
      <c r="D24" s="0" t="n">
        <v>0.2915</v>
      </c>
    </row>
    <row r="25" customFormat="false" ht="12.8" hidden="false" customHeight="false" outlineLevel="0" collapsed="false">
      <c r="A25" s="0" t="n">
        <v>8</v>
      </c>
      <c r="B25" s="0" t="n">
        <v>20</v>
      </c>
      <c r="C25" s="0" t="s">
        <v>9</v>
      </c>
      <c r="D25" s="0" t="n">
        <v>0.2917</v>
      </c>
      <c r="E25" s="0" t="n">
        <f aca="false">AVERAGE(D24:D26)</f>
        <v>0.2917</v>
      </c>
      <c r="F25" s="1" t="n">
        <f aca="false">_xlfn.STDEV.S(D24:D26)</f>
        <v>0.000200000000000006</v>
      </c>
      <c r="G25" s="2" t="n">
        <f aca="false">F25/E25</f>
        <v>0.000685635927322611</v>
      </c>
      <c r="H25" s="1" t="n">
        <f aca="false">E25-$E4</f>
        <v>0.291</v>
      </c>
    </row>
    <row r="26" customFormat="false" ht="12.8" hidden="false" customHeight="false" outlineLevel="0" collapsed="false">
      <c r="A26" s="0" t="n">
        <v>8</v>
      </c>
      <c r="B26" s="0" t="n">
        <v>20</v>
      </c>
      <c r="C26" s="0" t="s">
        <v>9</v>
      </c>
      <c r="D26" s="0" t="n">
        <v>0.2919</v>
      </c>
    </row>
    <row r="28" customFormat="false" ht="12.8" hidden="false" customHeight="false" outlineLevel="0" collapsed="false">
      <c r="A28" s="0" t="s">
        <v>10</v>
      </c>
      <c r="B28" s="2" t="n">
        <f aca="false">G4-G25</f>
        <v>0.14217150692982</v>
      </c>
    </row>
    <row r="29" customFormat="false" ht="12.8" hidden="false" customHeight="false" outlineLevel="0" collapsed="false">
      <c r="A29" s="3" t="s">
        <v>11</v>
      </c>
      <c r="B29" s="3"/>
      <c r="C29" s="3"/>
      <c r="D29" s="3"/>
    </row>
    <row r="30" customFormat="false" ht="12.8" hidden="false" customHeight="false" outlineLevel="0" collapsed="false">
      <c r="A30" s="3"/>
      <c r="B30" s="3"/>
      <c r="C30" s="3"/>
      <c r="D30" s="3"/>
    </row>
    <row r="33" customFormat="false" ht="12.8" hidden="false" customHeight="false" outlineLevel="0" collapsed="false">
      <c r="A33" s="0" t="s">
        <v>1</v>
      </c>
      <c r="B33" s="4" t="s">
        <v>3</v>
      </c>
    </row>
    <row r="34" customFormat="false" ht="12.8" hidden="false" customHeight="false" outlineLevel="0" collapsed="false">
      <c r="A34" s="0" t="n">
        <v>0.5</v>
      </c>
      <c r="B34" s="1" t="n">
        <v>0.0068</v>
      </c>
    </row>
    <row r="35" customFormat="false" ht="12.8" hidden="false" customHeight="false" outlineLevel="0" collapsed="false">
      <c r="A35" s="0" t="n">
        <v>2.5</v>
      </c>
      <c r="B35" s="1" t="n">
        <v>0.0367</v>
      </c>
    </row>
    <row r="36" customFormat="false" ht="12.8" hidden="false" customHeight="false" outlineLevel="0" collapsed="false">
      <c r="A36" s="0" t="n">
        <v>5</v>
      </c>
      <c r="B36" s="1" t="n">
        <v>0.0747</v>
      </c>
    </row>
    <row r="37" customFormat="false" ht="12.8" hidden="false" customHeight="false" outlineLevel="0" collapsed="false">
      <c r="A37" s="0" t="n">
        <v>7.5</v>
      </c>
      <c r="B37" s="1" t="n">
        <v>0.1152</v>
      </c>
    </row>
    <row r="38" customFormat="false" ht="12.8" hidden="false" customHeight="false" outlineLevel="0" collapsed="false">
      <c r="A38" s="0" t="n">
        <v>10</v>
      </c>
      <c r="B38" s="1" t="n">
        <v>0.1879</v>
      </c>
    </row>
    <row r="39" customFormat="false" ht="12.8" hidden="false" customHeight="false" outlineLevel="0" collapsed="false">
      <c r="A39" s="0" t="n">
        <v>15</v>
      </c>
      <c r="B39" s="1" t="n">
        <v>0.2205</v>
      </c>
    </row>
    <row r="40" customFormat="false" ht="12.8" hidden="false" customHeight="false" outlineLevel="0" collapsed="false">
      <c r="A40" s="0" t="n">
        <v>20</v>
      </c>
      <c r="B40" s="1" t="n">
        <v>0.291</v>
      </c>
    </row>
    <row r="42" customFormat="false" ht="12.8" hidden="false" customHeight="false" outlineLevel="0" collapsed="false">
      <c r="A42" s="5" t="s">
        <v>12</v>
      </c>
    </row>
    <row r="43" customFormat="false" ht="12.8" hidden="false" customHeight="false" outlineLevel="0" collapsed="false">
      <c r="A43" s="0" t="s">
        <v>13</v>
      </c>
      <c r="B43" s="0" t="s">
        <v>14</v>
      </c>
    </row>
    <row r="45" customFormat="false" ht="12.8" hidden="false" customHeight="false" outlineLevel="0" collapsed="false">
      <c r="A45" s="0" t="s">
        <v>15</v>
      </c>
    </row>
    <row r="46" customFormat="false" ht="12.8" hidden="false" customHeight="false" outlineLevel="0" collapsed="false">
      <c r="A46" s="0" t="n">
        <f aca="false" t="array" ref="A46:B50">LINEST($B$34:$B$40 , $A$34:$A$40 , 1 , 1)</f>
        <v>0.0147558649581074</v>
      </c>
      <c r="B46" s="0" t="n">
        <v>0.0057243100049286</v>
      </c>
    </row>
    <row r="47" customFormat="false" ht="12.8" hidden="false" customHeight="false" outlineLevel="0" collapsed="false">
      <c r="A47" s="0" t="n">
        <v>0.000995909213165175</v>
      </c>
      <c r="B47" s="0" t="n">
        <v>0.0107312229831252</v>
      </c>
    </row>
    <row r="48" customFormat="false" ht="12.8" hidden="false" customHeight="false" outlineLevel="0" collapsed="false">
      <c r="A48" s="0" t="n">
        <v>0.977731058642342</v>
      </c>
      <c r="B48" s="0" t="n">
        <v>0.0169555449901867</v>
      </c>
    </row>
    <row r="49" customFormat="false" ht="12.8" hidden="false" customHeight="false" outlineLevel="0" collapsed="false">
      <c r="A49" s="0" t="n">
        <v>219.527961149826</v>
      </c>
      <c r="B49" s="0" t="n">
        <v>5</v>
      </c>
    </row>
    <row r="50" customFormat="false" ht="12.8" hidden="false" customHeight="false" outlineLevel="0" collapsed="false">
      <c r="A50" s="0" t="n">
        <v>0.0631122046132859</v>
      </c>
      <c r="B50" s="0" t="n">
        <v>0.00143745252957122</v>
      </c>
    </row>
    <row r="52" customFormat="false" ht="12.8" hidden="false" customHeight="false" outlineLevel="0" collapsed="false">
      <c r="A52" s="0" t="s">
        <v>16</v>
      </c>
    </row>
    <row r="53" customFormat="false" ht="12.8" hidden="false" customHeight="false" outlineLevel="0" collapsed="false">
      <c r="A53" s="0" t="s">
        <v>17</v>
      </c>
      <c r="B53" s="0" t="n">
        <f aca="false">$A$48</f>
        <v>0.977731058642342</v>
      </c>
    </row>
    <row r="54" customFormat="false" ht="12.8" hidden="false" customHeight="false" outlineLevel="0" collapsed="false">
      <c r="A54" s="0" t="s">
        <v>18</v>
      </c>
      <c r="B54" s="0" t="n">
        <f aca="false">$B$48</f>
        <v>0.0169555449901866</v>
      </c>
    </row>
    <row r="55" customFormat="false" ht="12.8" hidden="false" customHeight="false" outlineLevel="0" collapsed="false">
      <c r="A55" s="0" t="s">
        <v>19</v>
      </c>
      <c r="B55" s="0" t="n">
        <f aca="false">1</f>
        <v>1</v>
      </c>
    </row>
    <row r="56" customFormat="false" ht="12.8" hidden="false" customHeight="false" outlineLevel="0" collapsed="false">
      <c r="A56" s="0" t="s">
        <v>20</v>
      </c>
      <c r="B56" s="0" t="n">
        <f aca="false">7</f>
        <v>7</v>
      </c>
    </row>
    <row r="57" customFormat="false" ht="12.8" hidden="false" customHeight="false" outlineLevel="0" collapsed="false">
      <c r="A57" s="0" t="s">
        <v>21</v>
      </c>
      <c r="B57" s="0" t="n">
        <f aca="false">1 - (1 - $A$48)*($B$56 - 1)/($B$56 - $B$55 - 1)</f>
        <v>0.973277270370811</v>
      </c>
    </row>
    <row r="59" customFormat="false" ht="12.8" hidden="false" customHeight="false" outlineLevel="0" collapsed="false">
      <c r="A59" s="0" t="s">
        <v>22</v>
      </c>
    </row>
    <row r="60" customFormat="false" ht="12.8" hidden="false" customHeight="false" outlineLevel="0" collapsed="false">
      <c r="B60" s="0" t="s">
        <v>23</v>
      </c>
      <c r="C60" s="0" t="s">
        <v>24</v>
      </c>
      <c r="D60" s="0" t="s">
        <v>25</v>
      </c>
      <c r="E60" s="0" t="s">
        <v>26</v>
      </c>
      <c r="F60" s="1" t="s">
        <v>27</v>
      </c>
    </row>
    <row r="61" customFormat="false" ht="12.8" hidden="false" customHeight="false" outlineLevel="0" collapsed="false">
      <c r="A61" s="0" t="s">
        <v>12</v>
      </c>
      <c r="B61" s="0" t="n">
        <f aca="false">$B$55</f>
        <v>1</v>
      </c>
      <c r="C61" s="0" t="n">
        <f aca="false">$A$50</f>
        <v>0.0631122046132859</v>
      </c>
      <c r="D61" s="0" t="n">
        <f aca="false">$A$50 / $B$61</f>
        <v>0.0631122046132859</v>
      </c>
      <c r="E61" s="0" t="n">
        <f aca="false">$A$49</f>
        <v>219.527961149827</v>
      </c>
      <c r="F61" s="1" t="n">
        <f aca="false">FDIST($A$49 , $B$61 , $B$49)</f>
        <v>2.53287259140385E-005</v>
      </c>
    </row>
    <row r="62" customFormat="false" ht="12.8" hidden="false" customHeight="false" outlineLevel="0" collapsed="false">
      <c r="A62" s="0" t="s">
        <v>28</v>
      </c>
      <c r="B62" s="0" t="n">
        <f aca="false">$B$49</f>
        <v>5</v>
      </c>
      <c r="C62" s="0" t="n">
        <f aca="false">$B$50</f>
        <v>0.00143745252957122</v>
      </c>
      <c r="D62" s="0" t="n">
        <f aca="false">$B$50 / $B$49</f>
        <v>0.000287490505914243</v>
      </c>
    </row>
    <row r="63" customFormat="false" ht="12.8" hidden="false" customHeight="false" outlineLevel="0" collapsed="false">
      <c r="A63" s="0" t="s">
        <v>29</v>
      </c>
      <c r="B63" s="0" t="n">
        <f aca="false">$B$61 + $B$49</f>
        <v>6</v>
      </c>
      <c r="C63" s="0" t="n">
        <f aca="false">$A$50 + $B$50</f>
        <v>0.0645496571428572</v>
      </c>
    </row>
    <row r="65" customFormat="false" ht="12.8" hidden="false" customHeight="false" outlineLevel="0" collapsed="false">
      <c r="A65" s="0" t="s">
        <v>30</v>
      </c>
      <c r="B65" s="0" t="n">
        <v>0.95</v>
      </c>
    </row>
    <row r="66" customFormat="false" ht="12.8" hidden="false" customHeight="false" outlineLevel="0" collapsed="false">
      <c r="G66" s="6"/>
    </row>
    <row r="67" customFormat="false" ht="12.8" hidden="false" customHeight="false" outlineLevel="0" collapsed="false">
      <c r="B67" s="0" t="s">
        <v>31</v>
      </c>
      <c r="C67" s="0" t="s">
        <v>18</v>
      </c>
      <c r="D67" s="0" t="s">
        <v>32</v>
      </c>
      <c r="E67" s="0" t="s">
        <v>33</v>
      </c>
      <c r="F67" s="1" t="str">
        <f aca="false">_xlfn.CONCAT("Lower " , INT($B$65 * 100) , "%")</f>
        <v>Lower 95%</v>
      </c>
      <c r="G67" s="6" t="str">
        <f aca="false">_xlfn.CONCAT("Upper " , INT($B$65 * 100) , "%")</f>
        <v>Upper 95%</v>
      </c>
    </row>
    <row r="68" customFormat="false" ht="12.8" hidden="false" customHeight="false" outlineLevel="0" collapsed="false">
      <c r="A68" s="0" t="str">
        <f aca="false">"Intercept"</f>
        <v>Intercept</v>
      </c>
      <c r="B68" s="0" t="n">
        <f aca="false" t="array" ref="B68:B69">INDEX($A$46:$B$46, 1 , 70 - ROW())</f>
        <v>0.0057243100049286</v>
      </c>
      <c r="C68" s="0" t="n">
        <f aca="false" t="array" ref="C68:C69">INDEX($A$47:$B$47, 1 , 70 - ROW())</f>
        <v>0.0107312229831252</v>
      </c>
      <c r="D68" s="0" t="n">
        <f aca="false" t="array" ref="D68:D69">$B$68:$B$69 / $C$68:$C$69</f>
        <v>0.533425688193233</v>
      </c>
      <c r="E68" s="0" t="n">
        <f aca="false" t="array" ref="E68:E69">TDIST(ABS($D$68:$D$69) , $B$49 , 2 )</f>
        <v>0.616589236950638</v>
      </c>
      <c r="F68" s="1" t="n">
        <f aca="false" t="array" ref="F68:F69">$B$68:$B$69 - $C$68:$C$69 * TINV(1 - $B$65 , $B$49)</f>
        <v>-0.021861176869656</v>
      </c>
      <c r="G68" s="6" t="n">
        <f aca="false" t="array" ref="G68:G69">$B$68:$B$69 + $C$68:$C$69 * TINV(1 - $B$65 , $B$49)</f>
        <v>0.0333097968795131</v>
      </c>
    </row>
    <row r="69" customFormat="false" ht="12.8" hidden="false" customHeight="false" outlineLevel="0" collapsed="false">
      <c r="A69" s="0" t="str">
        <f aca="false">"X1"</f>
        <v>X1</v>
      </c>
      <c r="B69" s="0" t="n">
        <v>0.0147558649581074</v>
      </c>
      <c r="C69" s="0" t="n">
        <v>0.000995909213165175</v>
      </c>
      <c r="D69" s="0" t="n">
        <v>14.8164760030793</v>
      </c>
      <c r="E69" s="0" t="n">
        <v>2.53287259140386E-005</v>
      </c>
      <c r="F69" s="1" t="n">
        <v>0.0121957988248022</v>
      </c>
      <c r="G69" s="6" t="n">
        <v>0.0173159310914127</v>
      </c>
    </row>
    <row r="70" customFormat="false" ht="12.8" hidden="false" customHeight="false" outlineLevel="0" collapsed="false">
      <c r="G70" s="6"/>
    </row>
    <row r="71" customFormat="false" ht="12.8" hidden="false" customHeight="false" outlineLevel="0" collapsed="false">
      <c r="A71" s="0" t="str">
        <f aca="false">"X1"</f>
        <v>X1</v>
      </c>
      <c r="B71" s="0" t="s">
        <v>34</v>
      </c>
      <c r="C71" s="0" t="str">
        <f aca="false">"Y"</f>
        <v>Y</v>
      </c>
      <c r="D71" s="0" t="s">
        <v>28</v>
      </c>
      <c r="G71" s="6"/>
    </row>
    <row r="72" customFormat="false" ht="12.8" hidden="false" customHeight="false" outlineLevel="0" collapsed="false">
      <c r="A72" s="0" t="n">
        <f aca="false" t="array" ref="A72:A78">$A$34:$A$40</f>
        <v>0.5</v>
      </c>
      <c r="B72" s="0" t="n">
        <f aca="false" t="array" ref="B72:B78">MMULT($A$72:$A$78 , $B$69) + $B$68</f>
        <v>0.0131022424839823</v>
      </c>
      <c r="C72" s="0" t="n">
        <f aca="false" t="array" ref="C72:C78">$B$34:$B$40</f>
        <v>0.0068</v>
      </c>
      <c r="D72" s="0" t="n">
        <f aca="false" t="array" ref="D72:D78">$C$72:$C$78 - $B$72:$B$78</f>
        <v>-0.00630224248398232</v>
      </c>
      <c r="G72" s="6"/>
    </row>
    <row r="73" customFormat="false" ht="12.8" hidden="false" customHeight="false" outlineLevel="0" collapsed="false">
      <c r="A73" s="0" t="n">
        <v>2.5</v>
      </c>
      <c r="B73" s="0" t="n">
        <v>0.0426139724001972</v>
      </c>
      <c r="C73" s="0" t="n">
        <v>0.0367</v>
      </c>
      <c r="D73" s="0" t="n">
        <v>-0.00591397240019719</v>
      </c>
    </row>
    <row r="74" customFormat="false" ht="12.8" hidden="false" customHeight="false" outlineLevel="0" collapsed="false">
      <c r="A74" s="0" t="n">
        <v>5</v>
      </c>
      <c r="B74" s="0" t="n">
        <v>0.0795036347954658</v>
      </c>
      <c r="C74" s="0" t="n">
        <v>0.0747</v>
      </c>
      <c r="D74" s="0" t="n">
        <v>-0.00480363479546579</v>
      </c>
    </row>
    <row r="75" customFormat="false" ht="12.8" hidden="false" customHeight="false" outlineLevel="0" collapsed="false">
      <c r="A75" s="0" t="n">
        <v>7.5</v>
      </c>
      <c r="B75" s="0" t="n">
        <v>0.116393297190734</v>
      </c>
      <c r="C75" s="0" t="n">
        <v>0.1152</v>
      </c>
      <c r="D75" s="0" t="n">
        <v>-0.0011932971907344</v>
      </c>
    </row>
    <row r="76" customFormat="false" ht="12.8" hidden="false" customHeight="false" outlineLevel="0" collapsed="false">
      <c r="A76" s="0" t="n">
        <v>10</v>
      </c>
      <c r="B76" s="0" t="n">
        <v>0.153282959586003</v>
      </c>
      <c r="C76" s="0" t="n">
        <v>0.1879</v>
      </c>
      <c r="D76" s="0" t="n">
        <v>0.034617040413997</v>
      </c>
    </row>
    <row r="77" customFormat="false" ht="12.8" hidden="false" customHeight="false" outlineLevel="0" collapsed="false">
      <c r="A77" s="0" t="n">
        <v>15</v>
      </c>
      <c r="B77" s="0" t="n">
        <v>0.22706228437654</v>
      </c>
      <c r="C77" s="0" t="n">
        <v>0.2205</v>
      </c>
      <c r="D77" s="0" t="n">
        <v>-0.00656228437654019</v>
      </c>
    </row>
    <row r="78" customFormat="false" ht="12.8" hidden="false" customHeight="false" outlineLevel="0" collapsed="false">
      <c r="A78" s="0" t="n">
        <v>20</v>
      </c>
      <c r="B78" s="0" t="n">
        <v>0.300841609167077</v>
      </c>
      <c r="C78" s="0" t="n">
        <v>0.291</v>
      </c>
      <c r="D78" s="0" t="n">
        <v>-0.00984160916707738</v>
      </c>
    </row>
    <row r="81" customFormat="false" ht="12.8" hidden="false" customHeight="false" outlineLevel="0" collapsed="false">
      <c r="A81" s="0" t="s">
        <v>1</v>
      </c>
      <c r="B81" s="0" t="s">
        <v>28</v>
      </c>
    </row>
    <row r="82" customFormat="false" ht="12.8" hidden="false" customHeight="false" outlineLevel="0" collapsed="false">
      <c r="A82" s="0" t="n">
        <v>0.5</v>
      </c>
      <c r="B82" s="0" t="n">
        <f aca="false" t="array" ref="B82:B88">$C$72:$C$78 - $B$72:$B$78</f>
        <v>-0.00630224248398232</v>
      </c>
    </row>
    <row r="83" customFormat="false" ht="12.8" hidden="false" customHeight="false" outlineLevel="0" collapsed="false">
      <c r="A83" s="0" t="n">
        <v>2.5</v>
      </c>
      <c r="B83" s="0" t="n">
        <v>-0.00591397240019719</v>
      </c>
    </row>
    <row r="84" customFormat="false" ht="12.8" hidden="false" customHeight="false" outlineLevel="0" collapsed="false">
      <c r="A84" s="0" t="n">
        <v>5</v>
      </c>
      <c r="B84" s="0" t="n">
        <v>-0.00480363479546579</v>
      </c>
    </row>
    <row r="85" customFormat="false" ht="12.8" hidden="false" customHeight="false" outlineLevel="0" collapsed="false">
      <c r="A85" s="0" t="n">
        <v>7.5</v>
      </c>
      <c r="B85" s="0" t="n">
        <v>-0.0011932971907344</v>
      </c>
    </row>
    <row r="86" customFormat="false" ht="12.8" hidden="false" customHeight="false" outlineLevel="0" collapsed="false">
      <c r="A86" s="0" t="n">
        <v>10</v>
      </c>
      <c r="B86" s="0" t="n">
        <v>0.034617040413997</v>
      </c>
    </row>
    <row r="87" customFormat="false" ht="12.8" hidden="false" customHeight="false" outlineLevel="0" collapsed="false">
      <c r="A87" s="0" t="n">
        <v>15</v>
      </c>
      <c r="B87" s="0" t="n">
        <v>-0.00656228437654019</v>
      </c>
    </row>
    <row r="88" customFormat="false" ht="12.8" hidden="false" customHeight="false" outlineLevel="0" collapsed="false">
      <c r="A88" s="0" t="n">
        <v>20</v>
      </c>
      <c r="B88" s="0" t="n">
        <v>-0.00984160916707738</v>
      </c>
    </row>
    <row r="91" customFormat="false" ht="12.8" hidden="false" customHeight="false" outlineLevel="0" collapsed="false">
      <c r="A91" s="0" t="s">
        <v>1</v>
      </c>
      <c r="B91" s="0" t="s">
        <v>35</v>
      </c>
    </row>
    <row r="92" customFormat="false" ht="12.8" hidden="false" customHeight="false" outlineLevel="0" collapsed="false">
      <c r="A92" s="0" t="n">
        <v>0.5</v>
      </c>
      <c r="B92" s="0" t="n">
        <f aca="false">B82/A82</f>
        <v>-0.0126044849679645</v>
      </c>
    </row>
    <row r="93" customFormat="false" ht="12.8" hidden="false" customHeight="false" outlineLevel="0" collapsed="false">
      <c r="A93" s="0" t="n">
        <v>2.5</v>
      </c>
      <c r="B93" s="0" t="n">
        <f aca="false">B83/A83</f>
        <v>-0.00236558896007886</v>
      </c>
    </row>
    <row r="94" customFormat="false" ht="12.8" hidden="false" customHeight="false" outlineLevel="0" collapsed="false">
      <c r="A94" s="0" t="n">
        <v>5</v>
      </c>
      <c r="B94" s="0" t="n">
        <f aca="false">B84/A84</f>
        <v>-0.000960726959093153</v>
      </c>
    </row>
    <row r="95" customFormat="false" ht="12.8" hidden="false" customHeight="false" outlineLevel="0" collapsed="false">
      <c r="A95" s="0" t="n">
        <v>7.5</v>
      </c>
      <c r="B95" s="0" t="n">
        <f aca="false">B85/A85</f>
        <v>-0.000159106292097916</v>
      </c>
    </row>
    <row r="96" customFormat="false" ht="12.8" hidden="false" customHeight="false" outlineLevel="0" collapsed="false">
      <c r="A96" s="0" t="n">
        <v>10</v>
      </c>
      <c r="B96" s="0" t="n">
        <f aca="false">B86/A86</f>
        <v>0.0034617040413997</v>
      </c>
    </row>
    <row r="97" customFormat="false" ht="12.8" hidden="false" customHeight="false" outlineLevel="0" collapsed="false">
      <c r="A97" s="0" t="n">
        <v>15</v>
      </c>
      <c r="B97" s="0" t="n">
        <f aca="false">B87/A87</f>
        <v>-0.000437485625102681</v>
      </c>
    </row>
    <row r="98" customFormat="false" ht="12.8" hidden="false" customHeight="false" outlineLevel="0" collapsed="false">
      <c r="A98" s="0" t="n">
        <v>20</v>
      </c>
      <c r="B98" s="0" t="n">
        <f aca="false">B88/A88</f>
        <v>-0.000492080458353866</v>
      </c>
    </row>
    <row r="109" customFormat="false" ht="12.8" hidden="false" customHeight="false" outlineLevel="0" collapsed="false">
      <c r="A109" s="0" t="s">
        <v>1</v>
      </c>
      <c r="B109" s="4" t="s">
        <v>3</v>
      </c>
      <c r="G109" s="2" t="s">
        <v>36</v>
      </c>
    </row>
    <row r="110" customFormat="false" ht="12.8" hidden="false" customHeight="false" outlineLevel="0" collapsed="false">
      <c r="A110" s="0" t="n">
        <v>0.5</v>
      </c>
      <c r="B110" s="1" t="n">
        <v>0.0068</v>
      </c>
    </row>
    <row r="111" customFormat="false" ht="12.8" hidden="false" customHeight="false" outlineLevel="0" collapsed="false">
      <c r="A111" s="0" t="n">
        <v>2.5</v>
      </c>
      <c r="B111" s="1" t="n">
        <v>0.0367</v>
      </c>
    </row>
    <row r="112" customFormat="false" ht="12.8" hidden="false" customHeight="false" outlineLevel="0" collapsed="false">
      <c r="A112" s="0" t="n">
        <v>5</v>
      </c>
      <c r="B112" s="1" t="n">
        <v>0.0747</v>
      </c>
    </row>
    <row r="113" customFormat="false" ht="12.8" hidden="false" customHeight="false" outlineLevel="0" collapsed="false">
      <c r="A113" s="0" t="n">
        <v>7.5</v>
      </c>
      <c r="B113" s="1" t="n">
        <v>0.1152</v>
      </c>
    </row>
    <row r="114" customFormat="false" ht="12.8" hidden="false" customHeight="false" outlineLevel="0" collapsed="false">
      <c r="A114" s="0" t="n">
        <v>15</v>
      </c>
      <c r="B114" s="1" t="n">
        <v>0.2205</v>
      </c>
    </row>
    <row r="115" customFormat="false" ht="12.8" hidden="false" customHeight="false" outlineLevel="0" collapsed="false">
      <c r="A115" s="0" t="n">
        <v>20</v>
      </c>
      <c r="B115" s="1" t="n">
        <v>0.291</v>
      </c>
    </row>
    <row r="131" customFormat="false" ht="12.8" hidden="false" customHeight="false" outlineLevel="0" collapsed="false">
      <c r="A131" s="5" t="s">
        <v>12</v>
      </c>
    </row>
    <row r="132" customFormat="false" ht="12.8" hidden="false" customHeight="false" outlineLevel="0" collapsed="false">
      <c r="A132" s="0" t="s">
        <v>13</v>
      </c>
      <c r="B132" s="0" t="s">
        <v>14</v>
      </c>
    </row>
    <row r="134" customFormat="false" ht="12.8" hidden="false" customHeight="false" outlineLevel="0" collapsed="false">
      <c r="A134" s="0" t="s">
        <v>15</v>
      </c>
    </row>
    <row r="135" customFormat="false" ht="12.8" hidden="false" customHeight="false" outlineLevel="0" collapsed="false">
      <c r="A135" s="0" t="n">
        <f aca="false" t="array" ref="A135:B139">LINEST($B$110:$B$115 , $A$110:$A$115 , 1 , 1)</f>
        <v>0.014565358435916</v>
      </c>
      <c r="B135" s="0" t="n">
        <v>0.00155823316437367</v>
      </c>
    </row>
    <row r="136" customFormat="false" ht="12.8" hidden="false" customHeight="false" outlineLevel="0" collapsed="false">
      <c r="A136" s="0" t="n">
        <v>0.000158600155537095</v>
      </c>
      <c r="B136" s="0" t="n">
        <v>0.00172860831087286</v>
      </c>
    </row>
    <row r="137" customFormat="false" ht="12.8" hidden="false" customHeight="false" outlineLevel="0" collapsed="false">
      <c r="A137" s="0" t="n">
        <v>0.999525955696238</v>
      </c>
      <c r="B137" s="0" t="n">
        <v>0.00269017064566991</v>
      </c>
    </row>
    <row r="138" customFormat="false" ht="12.8" hidden="false" customHeight="false" outlineLevel="0" collapsed="false">
      <c r="A138" s="0" t="n">
        <v>8434.02988086635</v>
      </c>
      <c r="B138" s="0" t="n">
        <v>4</v>
      </c>
    </row>
    <row r="139" customFormat="false" ht="12.8" hidden="false" customHeight="false" outlineLevel="0" collapsed="false">
      <c r="A139" s="0" t="n">
        <v>0.0610372269275887</v>
      </c>
      <c r="B139" s="0" t="n">
        <v>2.89480724112962E-005</v>
      </c>
    </row>
    <row r="141" customFormat="false" ht="12.8" hidden="false" customHeight="false" outlineLevel="0" collapsed="false">
      <c r="A141" s="0" t="s">
        <v>16</v>
      </c>
    </row>
    <row r="142" customFormat="false" ht="12.8" hidden="false" customHeight="false" outlineLevel="0" collapsed="false">
      <c r="A142" s="0" t="s">
        <v>17</v>
      </c>
      <c r="B142" s="0" t="n">
        <f aca="false">$A$137</f>
        <v>0.999525955696238</v>
      </c>
    </row>
    <row r="143" customFormat="false" ht="12.8" hidden="false" customHeight="false" outlineLevel="0" collapsed="false">
      <c r="A143" s="0" t="s">
        <v>18</v>
      </c>
      <c r="B143" s="0" t="n">
        <f aca="false">$B$137</f>
        <v>0.00269017064566989</v>
      </c>
    </row>
    <row r="144" customFormat="false" ht="12.8" hidden="false" customHeight="false" outlineLevel="0" collapsed="false">
      <c r="A144" s="0" t="s">
        <v>19</v>
      </c>
      <c r="B144" s="0" t="n">
        <f aca="false">1</f>
        <v>1</v>
      </c>
    </row>
    <row r="145" customFormat="false" ht="12.8" hidden="false" customHeight="false" outlineLevel="0" collapsed="false">
      <c r="A145" s="0" t="s">
        <v>20</v>
      </c>
      <c r="B145" s="0" t="n">
        <f aca="false">6</f>
        <v>6</v>
      </c>
    </row>
    <row r="146" customFormat="false" ht="12.8" hidden="false" customHeight="false" outlineLevel="0" collapsed="false">
      <c r="A146" s="0" t="s">
        <v>21</v>
      </c>
      <c r="B146" s="0" t="n">
        <f aca="false">1 - (1 - $A$137)*($B$145 - 1)/($B$145 - $B$144 - 1)</f>
        <v>0.999407444620297</v>
      </c>
    </row>
    <row r="147" customFormat="false" ht="12.8" hidden="false" customHeight="false" outlineLevel="0" collapsed="false">
      <c r="G147" s="0"/>
    </row>
    <row r="148" customFormat="false" ht="12.8" hidden="false" customHeight="false" outlineLevel="0" collapsed="false">
      <c r="A148" s="0" t="s">
        <v>22</v>
      </c>
      <c r="G148" s="0"/>
    </row>
    <row r="149" customFormat="false" ht="12.8" hidden="false" customHeight="false" outlineLevel="0" collapsed="false">
      <c r="B149" s="0" t="s">
        <v>23</v>
      </c>
      <c r="C149" s="0" t="s">
        <v>24</v>
      </c>
      <c r="D149" s="0" t="s">
        <v>25</v>
      </c>
      <c r="E149" s="0" t="s">
        <v>26</v>
      </c>
      <c r="F149" s="1" t="s">
        <v>27</v>
      </c>
      <c r="G149" s="0"/>
    </row>
    <row r="150" customFormat="false" ht="12.8" hidden="false" customHeight="false" outlineLevel="0" collapsed="false">
      <c r="A150" s="0" t="s">
        <v>12</v>
      </c>
      <c r="B150" s="0" t="n">
        <f aca="false">$B$144</f>
        <v>1</v>
      </c>
      <c r="C150" s="0" t="n">
        <f aca="false">$A$139</f>
        <v>0.0610372269275887</v>
      </c>
      <c r="D150" s="0" t="n">
        <f aca="false">$A$139 / $B$150</f>
        <v>0.0610372269275887</v>
      </c>
      <c r="E150" s="0" t="n">
        <f aca="false">$A$138</f>
        <v>8434.02988086643</v>
      </c>
      <c r="F150" s="1" t="n">
        <f aca="false">FDIST($A$138 , $B$150 , $B$138)</f>
        <v>8.42825700613939E-008</v>
      </c>
      <c r="G150" s="0"/>
    </row>
    <row r="151" customFormat="false" ht="12.8" hidden="false" customHeight="false" outlineLevel="0" collapsed="false">
      <c r="A151" s="0" t="s">
        <v>28</v>
      </c>
      <c r="B151" s="0" t="n">
        <f aca="false">$B$138</f>
        <v>4</v>
      </c>
      <c r="C151" s="0" t="n">
        <f aca="false">$B$139</f>
        <v>2.89480724112959E-005</v>
      </c>
      <c r="D151" s="0" t="n">
        <f aca="false">$B$139 / $B$138</f>
        <v>7.23701810282398E-006</v>
      </c>
      <c r="G151" s="0"/>
    </row>
    <row r="152" customFormat="false" ht="12.8" hidden="false" customHeight="false" outlineLevel="0" collapsed="false">
      <c r="A152" s="0" t="s">
        <v>29</v>
      </c>
      <c r="B152" s="0" t="n">
        <f aca="false">$B$150 + $B$138</f>
        <v>5</v>
      </c>
      <c r="C152" s="0" t="n">
        <f aca="false">$A$139 + $B$139</f>
        <v>0.061066175</v>
      </c>
      <c r="G152" s="0"/>
    </row>
    <row r="153" customFormat="false" ht="12.8" hidden="false" customHeight="false" outlineLevel="0" collapsed="false">
      <c r="G153" s="0"/>
    </row>
    <row r="154" customFormat="false" ht="12.8" hidden="false" customHeight="false" outlineLevel="0" collapsed="false">
      <c r="A154" s="0" t="s">
        <v>30</v>
      </c>
      <c r="B154" s="0" t="n">
        <v>0.95</v>
      </c>
      <c r="G154" s="0"/>
    </row>
    <row r="155" customFormat="false" ht="12.8" hidden="false" customHeight="false" outlineLevel="0" collapsed="false">
      <c r="G155" s="0"/>
    </row>
    <row r="156" customFormat="false" ht="12.8" hidden="false" customHeight="false" outlineLevel="0" collapsed="false">
      <c r="B156" s="0" t="s">
        <v>31</v>
      </c>
      <c r="C156" s="0" t="s">
        <v>18</v>
      </c>
      <c r="D156" s="0" t="s">
        <v>32</v>
      </c>
      <c r="E156" s="0" t="s">
        <v>33</v>
      </c>
      <c r="F156" s="1" t="str">
        <f aca="false">_xlfn.CONCAT("Lower " , INT($B$154 * 100) , "%")</f>
        <v>Lower 95%</v>
      </c>
      <c r="G156" s="0" t="str">
        <f aca="false">_xlfn.CONCAT("Upper " , INT($B$154 * 100) , "%")</f>
        <v>Upper 95%</v>
      </c>
    </row>
    <row r="157" customFormat="false" ht="12.8" hidden="false" customHeight="false" outlineLevel="0" collapsed="false">
      <c r="A157" s="0" t="str">
        <f aca="false">"Intercept"</f>
        <v>Intercept</v>
      </c>
      <c r="B157" s="0" t="n">
        <f aca="false" t="array" ref="B157:B158">INDEX($A$135:$B$135, 1 , 159 - ROW())</f>
        <v>0.00155823316437367</v>
      </c>
      <c r="C157" s="0" t="n">
        <f aca="false" t="array" ref="C157:C158">INDEX($A$136:$B$136, 1 , 159 - ROW())</f>
        <v>0.00172860831087286</v>
      </c>
      <c r="D157" s="0" t="n">
        <f aca="false" t="array" ref="D157:D158">$B$157:$B$158 / $C$157:$C$158</f>
        <v>0.901437968666737</v>
      </c>
      <c r="E157" s="0" t="n">
        <f aca="false" t="array" ref="E157:E158">TDIST(ABS($D$157:$D$158) , $B$138 , 2 )</f>
        <v>0.418325837195548</v>
      </c>
      <c r="F157" s="1" t="n">
        <f aca="false" t="array" ref="F157:F158">$B$157:$B$158 - $C$157:$C$158 * TINV(1 - $B$154 , $B$138)</f>
        <v>-0.00324115291915351</v>
      </c>
      <c r="G157" s="0" t="n">
        <f aca="false" t="array" ref="G157:G158">$B$157:$B$158 + $C$157:$C$158 * TINV(1 - $B$154 , $B$138)</f>
        <v>0.00635761924790086</v>
      </c>
    </row>
    <row r="158" customFormat="false" ht="12.8" hidden="false" customHeight="false" outlineLevel="0" collapsed="false">
      <c r="A158" s="0" t="str">
        <f aca="false">"X1"</f>
        <v>X1</v>
      </c>
      <c r="B158" s="0" t="n">
        <v>0.014565358435916</v>
      </c>
      <c r="C158" s="0" t="n">
        <v>0.000158600155537095</v>
      </c>
      <c r="D158" s="0" t="n">
        <v>91.836974475787</v>
      </c>
      <c r="E158" s="0" t="n">
        <v>8.42825700613956E-008</v>
      </c>
      <c r="F158" s="1" t="n">
        <v>0.0141250138103914</v>
      </c>
      <c r="G158" s="0" t="n">
        <v>0.0150057030614406</v>
      </c>
    </row>
    <row r="159" customFormat="false" ht="12.8" hidden="false" customHeight="false" outlineLevel="0" collapsed="false">
      <c r="G159" s="0"/>
    </row>
    <row r="160" customFormat="false" ht="12.8" hidden="false" customHeight="false" outlineLevel="0" collapsed="false">
      <c r="A160" s="0" t="str">
        <f aca="false">"X1"</f>
        <v>X1</v>
      </c>
      <c r="B160" s="0" t="s">
        <v>34</v>
      </c>
      <c r="C160" s="0" t="str">
        <f aca="false">"Y"</f>
        <v>Y</v>
      </c>
      <c r="D160" s="0" t="s">
        <v>28</v>
      </c>
      <c r="G160" s="0"/>
    </row>
    <row r="161" customFormat="false" ht="12.8" hidden="false" customHeight="false" outlineLevel="0" collapsed="false">
      <c r="A161" s="0" t="n">
        <f aca="false" t="array" ref="A161:A166">$A$110:$A$115</f>
        <v>0.5</v>
      </c>
      <c r="B161" s="0" t="n">
        <f aca="false" t="array" ref="B161:B166">MMULT($A$161:$A$166 , $B$158) + $B$157</f>
        <v>0.00884091238233167</v>
      </c>
      <c r="C161" s="0" t="n">
        <f aca="false" t="array" ref="C161:C166">$B$110:$B$115</f>
        <v>0.0068</v>
      </c>
      <c r="D161" s="0" t="n">
        <f aca="false" t="array" ref="D161:D166">$C$161:$C$166 - $B$161:$B$166</f>
        <v>-0.00204091238233167</v>
      </c>
      <c r="G161" s="0"/>
    </row>
    <row r="162" customFormat="false" ht="12.8" hidden="false" customHeight="false" outlineLevel="0" collapsed="false">
      <c r="A162" s="0" t="n">
        <v>2.5</v>
      </c>
      <c r="B162" s="0" t="n">
        <v>0.0379716292541637</v>
      </c>
      <c r="C162" s="0" t="n">
        <v>0.0367</v>
      </c>
      <c r="D162" s="0" t="n">
        <v>-0.00127162925416367</v>
      </c>
      <c r="G162" s="0"/>
    </row>
    <row r="163" customFormat="false" ht="12.8" hidden="false" customHeight="false" outlineLevel="0" collapsed="false">
      <c r="A163" s="0" t="n">
        <v>5</v>
      </c>
      <c r="B163" s="0" t="n">
        <v>0.0743850253439537</v>
      </c>
      <c r="C163" s="0" t="n">
        <v>0.0747</v>
      </c>
      <c r="D163" s="0" t="n">
        <v>0.000314974656046338</v>
      </c>
      <c r="G163" s="0"/>
    </row>
    <row r="164" customFormat="false" ht="12.8" hidden="false" customHeight="false" outlineLevel="0" collapsed="false">
      <c r="A164" s="0" t="n">
        <v>7.5</v>
      </c>
      <c r="B164" s="0" t="n">
        <v>0.110798421433744</v>
      </c>
      <c r="C164" s="0" t="n">
        <v>0.1152</v>
      </c>
      <c r="D164" s="0" t="n">
        <v>0.00440157856625634</v>
      </c>
      <c r="G164" s="0"/>
    </row>
    <row r="165" customFormat="false" ht="12.8" hidden="false" customHeight="false" outlineLevel="0" collapsed="false">
      <c r="A165" s="0" t="n">
        <v>15</v>
      </c>
      <c r="B165" s="0" t="n">
        <v>0.220038609703114</v>
      </c>
      <c r="C165" s="0" t="n">
        <v>0.2205</v>
      </c>
      <c r="D165" s="0" t="n">
        <v>0.000461390296886355</v>
      </c>
      <c r="G165" s="0"/>
    </row>
    <row r="166" customFormat="false" ht="12.8" hidden="false" customHeight="false" outlineLevel="0" collapsed="false">
      <c r="A166" s="0" t="n">
        <v>20</v>
      </c>
      <c r="B166" s="0" t="n">
        <v>0.292865401882694</v>
      </c>
      <c r="C166" s="0" t="n">
        <v>0.291</v>
      </c>
      <c r="D166" s="0" t="n">
        <v>-0.00186540188269363</v>
      </c>
      <c r="G166" s="0"/>
      <c r="I166" s="7"/>
    </row>
    <row r="167" customFormat="false" ht="12.8" hidden="false" customHeight="false" outlineLevel="0" collapsed="false">
      <c r="I167" s="7"/>
    </row>
    <row r="171" customFormat="false" ht="12.8" hidden="false" customHeight="false" outlineLevel="0" collapsed="false">
      <c r="A171" s="0" t="s">
        <v>1</v>
      </c>
      <c r="B171" s="4" t="s">
        <v>3</v>
      </c>
    </row>
    <row r="172" customFormat="false" ht="12.8" hidden="false" customHeight="false" outlineLevel="0" collapsed="false">
      <c r="A172" s="0" t="n">
        <v>0.5</v>
      </c>
      <c r="B172" s="1" t="n">
        <f aca="false">B110/A110</f>
        <v>0.0136</v>
      </c>
    </row>
    <row r="173" customFormat="false" ht="12.8" hidden="false" customHeight="false" outlineLevel="0" collapsed="false">
      <c r="A173" s="0" t="n">
        <v>2.5</v>
      </c>
      <c r="B173" s="1" t="n">
        <f aca="false">B111/A111</f>
        <v>0.01468</v>
      </c>
    </row>
    <row r="174" customFormat="false" ht="12.8" hidden="false" customHeight="false" outlineLevel="0" collapsed="false">
      <c r="A174" s="0" t="n">
        <v>5</v>
      </c>
      <c r="B174" s="1" t="n">
        <f aca="false">B112/A112</f>
        <v>0.01494</v>
      </c>
    </row>
    <row r="175" customFormat="false" ht="12.8" hidden="false" customHeight="false" outlineLevel="0" collapsed="false">
      <c r="A175" s="0" t="n">
        <v>7.5</v>
      </c>
      <c r="B175" s="1" t="n">
        <f aca="false">B113/A113</f>
        <v>0.01536</v>
      </c>
    </row>
    <row r="176" customFormat="false" ht="12.8" hidden="false" customHeight="false" outlineLevel="0" collapsed="false">
      <c r="A176" s="0" t="n">
        <v>15</v>
      </c>
      <c r="B176" s="1" t="n">
        <f aca="false">B114/A114</f>
        <v>0.0147</v>
      </c>
    </row>
    <row r="177" customFormat="false" ht="12.8" hidden="false" customHeight="false" outlineLevel="0" collapsed="false">
      <c r="A177" s="0" t="n">
        <v>20</v>
      </c>
      <c r="B177" s="1" t="n">
        <f aca="false">B115/A115</f>
        <v>0.01455</v>
      </c>
    </row>
    <row r="180" customFormat="false" ht="12.8" hidden="false" customHeight="false" outlineLevel="0" collapsed="false">
      <c r="A180" s="0" t="s">
        <v>37</v>
      </c>
      <c r="B180" s="0" t="s">
        <v>38</v>
      </c>
      <c r="C180" s="0" t="s">
        <v>39</v>
      </c>
    </row>
    <row r="181" customFormat="false" ht="12.8" hidden="false" customHeight="false" outlineLevel="0" collapsed="false">
      <c r="A181" s="0" t="n">
        <f aca="false">C157</f>
        <v>0.00172860831087286</v>
      </c>
      <c r="B181" s="0" t="n">
        <f aca="false">C158</f>
        <v>0.000158600155537095</v>
      </c>
      <c r="C181" s="0" t="n">
        <f aca="false">SQRT(D151)</f>
        <v>0.00269017064566989</v>
      </c>
    </row>
    <row r="184" customFormat="false" ht="12.8" hidden="false" customHeight="false" outlineLevel="0" collapsed="false">
      <c r="A184" s="0" t="s">
        <v>40</v>
      </c>
      <c r="B184" s="0" t="n">
        <f aca="false">3.3*A181/B158</f>
        <v>0.391642090442088</v>
      </c>
    </row>
    <row r="185" customFormat="false" ht="12.8" hidden="false" customHeight="false" outlineLevel="0" collapsed="false">
      <c r="A185" s="0" t="s">
        <v>41</v>
      </c>
      <c r="B185" s="0" t="n">
        <f aca="false">10*A181/B158</f>
        <v>1.18679421346087</v>
      </c>
    </row>
    <row r="186" customFormat="false" ht="12.8" hidden="false" customHeight="false" outlineLevel="0" collapsed="false">
      <c r="A186" s="0" t="s">
        <v>42</v>
      </c>
      <c r="B186" s="0" t="n">
        <f aca="false">3.3*C181/B158</f>
        <v>0.609498432171769</v>
      </c>
    </row>
    <row r="187" customFormat="false" ht="12.8" hidden="false" customHeight="false" outlineLevel="0" collapsed="false">
      <c r="A187" s="0" t="s">
        <v>43</v>
      </c>
      <c r="B187" s="0" t="n">
        <f aca="false">10*C181/B158</f>
        <v>1.84696494597506</v>
      </c>
    </row>
  </sheetData>
  <mergeCells count="1">
    <mergeCell ref="A29:D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2021-05-28T15:24:28Z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