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tady\Embadded_stady\LevinMax\ConcentratorPCB\PCB\PCB_Concentrator\Project Outputs for PCB_Concentrator\"/>
    </mc:Choice>
  </mc:AlternateContent>
  <bookViews>
    <workbookView xWindow="32760" yWindow="32760" windowWidth="16380" windowHeight="8196" tabRatio="500"/>
  </bookViews>
  <sheets>
    <sheet name="Лист1" sheetId="1" r:id="rId1"/>
    <sheet name="Лист2" sheetId="2" state="hidden" r:id="rId2"/>
    <sheet name="Лист3" sheetId="3" state="hidden" r:id="rId3"/>
    <sheet name="Лист4" sheetId="4" state="hidden" r:id="rId4"/>
    <sheet name="Отчет о совместимости" sheetId="5" r:id="rId5"/>
  </sheets>
  <definedNames>
    <definedName name="_all3">Лист1!$I$20</definedName>
    <definedName name="Excel_BuiltIn__FilterDatabase" localSheetId="1">Лист2!$B$32:$B$36</definedName>
    <definedName name="Excel_BuiltIn_Print_Area" localSheetId="0">Лист1!$A$2:$AB$117</definedName>
    <definedName name="folga4">OFFSET(Лист2!$A$29,MATCH(Лист1!$I$20,Лист2!$A:$A,0)-30--nomer5,2,1,5)</definedName>
    <definedName name="foto6">INDEX(Лист4!$Q$107:$AD$158,MATCH(Лист1!$I$19,Лист4!$A$1:$A$158,0),MATCH(Лист1!$I$21,Лист4!$I$1:$AD$1,0))</definedName>
    <definedName name="material1">Лист2!$B$1:$B$28</definedName>
    <definedName name="MPP">tolshina2+"123"</definedName>
    <definedName name="nomer5">MATCH(Лист1!$I$21,tolshina2,0)</definedName>
    <definedName name="sborka18">INDEX(Лист4!$I$1:$AD$421,x+3,y)</definedName>
    <definedName name="tolshina2">OFFSET(Лист2!$A$30,MATCH(_all3,Лист2!$A:$A,0)-30,1,COUNTIF(Лист2!$A:$A,_all3),1)</definedName>
    <definedName name="x">MATCH(Лист1!$I$19,Лист4!$A$1:$A$421,0)</definedName>
    <definedName name="y">MATCH(Лист1!$I$21,Лист4!$I$1:$AD$1,0)</definedName>
    <definedName name="_xlnm.Print_Area" localSheetId="0">Лист1!$A$2:$AB$117</definedName>
  </definedNames>
  <calcPr calcId="162913"/>
</workbook>
</file>

<file path=xl/calcChain.xml><?xml version="1.0" encoding="utf-8"?>
<calcChain xmlns="http://schemas.openxmlformats.org/spreadsheetml/2006/main">
  <c r="A4" i="1" l="1"/>
  <c r="A5" i="1"/>
  <c r="A6" i="1"/>
  <c r="P7" i="1"/>
  <c r="A9" i="1"/>
  <c r="AJ9" i="1"/>
  <c r="AK9" i="1"/>
  <c r="AL9" i="1"/>
  <c r="AM9" i="1"/>
  <c r="AN9" i="1"/>
  <c r="A10" i="1"/>
  <c r="A12" i="1"/>
  <c r="P15" i="1"/>
  <c r="AG19" i="1"/>
  <c r="B7" i="2" s="1"/>
  <c r="AM19" i="1"/>
  <c r="AN19" i="1"/>
  <c r="AO19" i="1"/>
  <c r="AP19" i="1"/>
  <c r="AQ19" i="1"/>
  <c r="AG24" i="1"/>
  <c r="AR24" i="1"/>
  <c r="AS24" i="1"/>
  <c r="AG25" i="1"/>
  <c r="AR25" i="1"/>
  <c r="AS25" i="1"/>
  <c r="AT25" i="1"/>
  <c r="AU25" i="1"/>
  <c r="AV25" i="1"/>
  <c r="AW25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D32" i="2"/>
  <c r="E32" i="2"/>
  <c r="F32" i="2"/>
  <c r="E33" i="2"/>
  <c r="F33" i="2"/>
  <c r="E34" i="2"/>
  <c r="F34" i="2"/>
  <c r="C35" i="2"/>
  <c r="E37" i="2"/>
  <c r="F37" i="2"/>
  <c r="E38" i="2"/>
  <c r="F38" i="2"/>
  <c r="F39" i="2"/>
  <c r="A40" i="2"/>
  <c r="B40" i="2"/>
  <c r="C40" i="2"/>
  <c r="D40" i="2"/>
  <c r="G40" i="2"/>
  <c r="A41" i="2"/>
  <c r="B41" i="2"/>
  <c r="C41" i="2"/>
  <c r="D41" i="2"/>
  <c r="E41" i="2"/>
  <c r="F41" i="2"/>
  <c r="A42" i="2"/>
  <c r="B42" i="2"/>
  <c r="C42" i="2"/>
  <c r="G42" i="2"/>
  <c r="A43" i="2"/>
  <c r="B43" i="2"/>
  <c r="C43" i="2"/>
  <c r="D43" i="2"/>
  <c r="A44" i="2"/>
  <c r="B44" i="2"/>
  <c r="C44" i="2"/>
  <c r="A45" i="2"/>
  <c r="B45" i="2"/>
  <c r="C45" i="2"/>
  <c r="D45" i="2"/>
  <c r="F45" i="2"/>
  <c r="A46" i="2"/>
  <c r="B46" i="2"/>
  <c r="C46" i="2"/>
  <c r="D46" i="2"/>
  <c r="A47" i="2"/>
  <c r="B47" i="2"/>
  <c r="C47" i="2"/>
  <c r="D47" i="2"/>
  <c r="E47" i="2"/>
  <c r="F47" i="2"/>
  <c r="A48" i="2"/>
  <c r="B48" i="2"/>
  <c r="C48" i="2"/>
  <c r="F48" i="2"/>
  <c r="G48" i="2"/>
  <c r="A49" i="2"/>
  <c r="B49" i="2"/>
  <c r="C49" i="2"/>
  <c r="A50" i="2"/>
  <c r="B50" i="2"/>
  <c r="C50" i="2"/>
  <c r="D50" i="2"/>
  <c r="E50" i="2"/>
  <c r="F50" i="2"/>
  <c r="A51" i="2"/>
  <c r="B51" i="2"/>
  <c r="C51" i="2"/>
  <c r="A84" i="2"/>
  <c r="B84" i="2"/>
  <c r="C84" i="2"/>
  <c r="E86" i="2"/>
  <c r="E87" i="2"/>
  <c r="A89" i="2"/>
  <c r="B89" i="2"/>
  <c r="C89" i="2"/>
  <c r="A90" i="2"/>
  <c r="B90" i="2"/>
  <c r="C90" i="2"/>
  <c r="E90" i="2"/>
  <c r="F90" i="2"/>
  <c r="G90" i="2"/>
  <c r="A91" i="2"/>
  <c r="B91" i="2"/>
  <c r="C91" i="2"/>
  <c r="A119" i="2"/>
  <c r="C120" i="2"/>
  <c r="E120" i="2"/>
  <c r="F120" i="2"/>
  <c r="C121" i="2"/>
  <c r="E121" i="2"/>
  <c r="F121" i="2"/>
  <c r="C122" i="2"/>
  <c r="E122" i="2"/>
  <c r="F122" i="2"/>
  <c r="A123" i="2"/>
  <c r="A124" i="2"/>
  <c r="C125" i="2"/>
  <c r="E125" i="2"/>
  <c r="F125" i="2"/>
  <c r="C126" i="2"/>
  <c r="E126" i="2"/>
  <c r="F126" i="2"/>
  <c r="C127" i="2"/>
  <c r="E127" i="2"/>
  <c r="F127" i="2"/>
  <c r="C128" i="2"/>
  <c r="E128" i="2"/>
  <c r="F128" i="2"/>
  <c r="A129" i="2"/>
  <c r="A130" i="2"/>
  <c r="A131" i="2"/>
  <c r="C132" i="2"/>
  <c r="E132" i="2"/>
  <c r="F132" i="2"/>
  <c r="A133" i="2"/>
  <c r="A143" i="2"/>
  <c r="A144" i="2"/>
  <c r="D145" i="2"/>
  <c r="A146" i="2"/>
  <c r="A147" i="2"/>
  <c r="A148" i="2"/>
  <c r="A149" i="2"/>
  <c r="C150" i="2"/>
  <c r="E150" i="2"/>
  <c r="F150" i="2"/>
  <c r="A151" i="2"/>
  <c r="A165" i="2"/>
  <c r="A166" i="2"/>
  <c r="C167" i="2"/>
  <c r="E167" i="2"/>
  <c r="F167" i="2"/>
  <c r="C168" i="2"/>
  <c r="C169" i="2"/>
  <c r="E169" i="2"/>
  <c r="F169" i="2"/>
  <c r="A170" i="2"/>
  <c r="A171" i="2"/>
  <c r="A172" i="2"/>
  <c r="A173" i="2"/>
  <c r="C174" i="2"/>
  <c r="E174" i="2"/>
  <c r="F174" i="2"/>
  <c r="A175" i="2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I59" i="1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B6" i="2"/>
  <c r="B4" i="2"/>
  <c r="A39" i="2"/>
  <c r="C37" i="2"/>
  <c r="B25" i="2"/>
  <c r="B10" i="2"/>
  <c r="B15" i="2"/>
  <c r="B2" i="2"/>
  <c r="B22" i="2"/>
  <c r="B5" i="2"/>
  <c r="B14" i="2"/>
  <c r="B18" i="2"/>
  <c r="C38" i="2"/>
  <c r="B27" i="2"/>
  <c r="B24" i="2"/>
  <c r="B21" i="2"/>
  <c r="D37" i="2"/>
  <c r="B20" i="2"/>
  <c r="B38" i="2"/>
  <c r="D38" i="2"/>
  <c r="B13" i="2"/>
  <c r="B26" i="2"/>
  <c r="B12" i="2"/>
  <c r="A31" i="2"/>
  <c r="B16" i="2"/>
  <c r="B29" i="2"/>
  <c r="B28" i="2"/>
  <c r="A37" i="2"/>
  <c r="A38" i="2"/>
  <c r="B11" i="2"/>
  <c r="B39" i="2"/>
  <c r="B8" i="2"/>
  <c r="B37" i="2"/>
  <c r="B3" i="2"/>
  <c r="D39" i="2"/>
  <c r="B17" i="2"/>
  <c r="C39" i="2"/>
  <c r="B19" i="2"/>
  <c r="AI17" i="1"/>
  <c r="B23" i="2"/>
  <c r="B9" i="2" l="1"/>
</calcChain>
</file>

<file path=xl/sharedStrings.xml><?xml version="1.0" encoding="utf-8"?>
<sst xmlns="http://schemas.openxmlformats.org/spreadsheetml/2006/main" count="713" uniqueCount="222">
  <si>
    <t>Резонит      тел. +7-495-777-80-80       e-mail: pcb@rezonit.ru</t>
  </si>
  <si>
    <t>Название фирмы (или ФИО) заказчика</t>
  </si>
  <si>
    <t>Тип собственности плательщика</t>
  </si>
  <si>
    <t>Юридическое лицо</t>
  </si>
  <si>
    <t>необходимо заполнить</t>
  </si>
  <si>
    <t>Физическое лицо</t>
  </si>
  <si>
    <t>Индивидуальный предприниматель</t>
  </si>
  <si>
    <t>Способ отправки счета</t>
  </si>
  <si>
    <t>Электронная почта</t>
  </si>
  <si>
    <t>Факс</t>
  </si>
  <si>
    <t>Способ получения плат</t>
  </si>
  <si>
    <t>Самовывоз из офиса в Санкт-Петербурге</t>
  </si>
  <si>
    <t>Доставка</t>
  </si>
  <si>
    <t>Самовывоз из офиса в Зеленограде</t>
  </si>
  <si>
    <t>Самовывоз из офиса в Екатеринбурге</t>
  </si>
  <si>
    <t>Контакт по техническим вопросам     (ФИО, email, тел)</t>
  </si>
  <si>
    <t>Характеристика проекта</t>
  </si>
  <si>
    <t>поля заполнены типовыми значениями, при необходимости можете изменить их</t>
  </si>
  <si>
    <t>Название файла платы:</t>
  </si>
  <si>
    <t>Плата изготавливается: "впервые" / "повторно"</t>
  </si>
  <si>
    <t>впервые</t>
  </si>
  <si>
    <t>повторно без изменений</t>
  </si>
  <si>
    <t>повторно с изменениями (Доптребования)</t>
  </si>
  <si>
    <t>список повторов в приложенном файле</t>
  </si>
  <si>
    <t>Вариант изготовления</t>
  </si>
  <si>
    <t>Срочное производство</t>
  </si>
  <si>
    <t>Серийное производство</t>
  </si>
  <si>
    <t>HiTech производство</t>
  </si>
  <si>
    <t>Требуется изготовить, шт</t>
  </si>
  <si>
    <t>Количество проводящих слоев</t>
  </si>
  <si>
    <t>без проводящих слоев</t>
  </si>
  <si>
    <t xml:space="preserve">Материал основания                                                                                            </t>
  </si>
  <si>
    <t>FR4 типовой</t>
  </si>
  <si>
    <t xml:space="preserve">Толщина материала (ОПП, ДПП)/Общая толщина платы ( МПП), мм </t>
  </si>
  <si>
    <t xml:space="preserve">Толщина фольги, мкм                                                                                         </t>
  </si>
  <si>
    <t xml:space="preserve">Финишное покрытие площадок                                                                        </t>
  </si>
  <si>
    <t>ПОС-63</t>
  </si>
  <si>
    <t>ImAu/ENIG (иммерс. золото)</t>
  </si>
  <si>
    <t>ImAg(иммерс. серебро)</t>
  </si>
  <si>
    <t>Металлорезист</t>
  </si>
  <si>
    <t>Голая медь</t>
  </si>
  <si>
    <t>Наличие маски</t>
  </si>
  <si>
    <t>маска с 2 сторон</t>
  </si>
  <si>
    <t>зеленого(типового)цвета</t>
  </si>
  <si>
    <t>маска сверху</t>
  </si>
  <si>
    <t>маска снизу</t>
  </si>
  <si>
    <t>без маски</t>
  </si>
  <si>
    <t>синего цвета</t>
  </si>
  <si>
    <t>красного цвета</t>
  </si>
  <si>
    <t>желтого цвета</t>
  </si>
  <si>
    <t>черного цвета</t>
  </si>
  <si>
    <t>черного матового цвета</t>
  </si>
  <si>
    <t>супербелого цвета</t>
  </si>
  <si>
    <t>Наличие маркировки краской</t>
  </si>
  <si>
    <t>маркировка только сверху</t>
  </si>
  <si>
    <t>белого(типового)цвета</t>
  </si>
  <si>
    <t>маркировка с 2 сторон</t>
  </si>
  <si>
    <t>маркировка только снизу</t>
  </si>
  <si>
    <t>Маркировка отсутствует</t>
  </si>
  <si>
    <t>Монтаж печатных плат</t>
  </si>
  <si>
    <t>не требуется</t>
  </si>
  <si>
    <t>требуется</t>
  </si>
  <si>
    <t>Дополнительные требования</t>
  </si>
  <si>
    <t xml:space="preserve">Срок производства ОПП и ДПП без маски — 2 рабочих дня, с маской — 3 дня. 
Срок производства многослойных печатных плат – 5-7 рабочих дней
1. Наличие электротестирования, иммерсионного золочения, нестандартной паяльной маски увеличивает срок изготовления на 1—2 рабочих дня. 
2. Дни приема и доставки заказа не учитываются. 
3. Изготовление плат по 5-му классу точности добавляет к сроку изготовления 1—2 рабочих дня.
Отдельно оплачивается:
• Иммерсионное золочение и иммерсионное сереберение
• Нестандартная (черная, красная, синяя или супербелая) защитная маска +1500 руб.
• Покрытие ламелей: Au — 0,30 руб./мм², Ni — 0,05 руб./мм².
• Проверка платы электротестовым оборудованием на КЗ и обрыв — 40 руб./дм².
• Изготовление и электротестирование 1 дм² плат с параметрами зазор и/или проводник менее 0,2 мм, и/или минимальное переходное отверстие менее 0,4 мм, коэффициент = 1,2.
• Изготовление и электротестирование 1 дм² ДПП с параметрами зазор и/или проводник менее 0,15 мм, и/или минимальное переходное отверстие менее 0,3 мм, коэффициент = 1,5.
</t>
  </si>
  <si>
    <t xml:space="preserve">Для ОПП и ДПП без маски срок изготовления — 1 рабочий день.
Для ОПП и ДПП с маской срок изготовления — 2 рабочих дня.
МПП по системе «Суперэкспресс» не изготавливаются.
- Если плата изготавливается  с электротестированием, то срок изготовления увеличивается на 1 рабочий день.
- Дни приема и доставки заказа не учитываются. 
Отдельно оплачивается:
• Проверка платы электротестовым оборудованием на КЗ и обрыв — 40 руб./дм².
</t>
  </si>
  <si>
    <t>Ориентировочный срок производства — 4 недели.
Отдельно оплачивается:
• Изготовление штампа,
• Золотосодержащие финишные покрытия,
• Изготовление адаптера для электротеста или безадаптерное электротестирование,
• Многослойные платы 5 класса точности, многослойные платы со слепыми и скрытыми переходами.
Платы из материала толщиной 2 мм — 8 руб./дм²,
Платы с толщиной фольги 70 мкм — 10 руб./дм²,
Платы с толщиной фольги 100 мкм — 16 руб./дм²,
Покрытие ламелей Ni,
Проверка платы электротестовым оборудованием на КЗ и обрыв — 40 руб./дм²,
При площади печатной платы менее 0,3 дм² стоимость дм² увеличивается: 
менее 0,1 дм² коэф.=3; 
от 0,1 до 0,2 дм² коэф.=2; 
от 0,2 до 0,3 дм² коэф.=1,4,</t>
  </si>
  <si>
    <t xml:space="preserve">
</t>
  </si>
  <si>
    <t>Перечень технологических слоев</t>
  </si>
  <si>
    <t>поля заполнены типовыми значениями, при необходимости можете заполнить</t>
  </si>
  <si>
    <t>Имя Gerber файла_Layer name (PCAD200x)_Слои в PCAD4.5(8.5)_DipTrace</t>
  </si>
  <si>
    <t>Типовая сборка</t>
  </si>
  <si>
    <t>Требуемая сборка</t>
  </si>
  <si>
    <t>сверловка, укажите цветом начальный и конечный слой</t>
  </si>
  <si>
    <t>Контур платы</t>
  </si>
  <si>
    <t>Маркировка элементов сверху</t>
  </si>
  <si>
    <t>Сквозные металлизированные отверстия</t>
  </si>
  <si>
    <t>Сквозные неметаллизированные отверстия</t>
  </si>
  <si>
    <t>Маска верхнего слоя</t>
  </si>
  <si>
    <t>Верхний слой</t>
  </si>
  <si>
    <t>Внутренний</t>
  </si>
  <si>
    <t>Нижний слой</t>
  </si>
  <si>
    <t>Маска нижнего слоя</t>
  </si>
  <si>
    <t>Маркировка элементов снизу</t>
  </si>
  <si>
    <t>PTH</t>
  </si>
  <si>
    <t>NPTH</t>
  </si>
  <si>
    <t>Несквозные отверстия 1</t>
  </si>
  <si>
    <t>Несквозные отверстия 2</t>
  </si>
  <si>
    <t>Несквозные отверстия 3</t>
  </si>
  <si>
    <t>Расширенные параметры печатной платы (сборка, мех. обработка и т.д)</t>
  </si>
  <si>
    <t>Электротестирование</t>
  </si>
  <si>
    <t>Да</t>
  </si>
  <si>
    <t>Нет</t>
  </si>
  <si>
    <t>Покрытие краевых разъемов</t>
  </si>
  <si>
    <t>соответствует финишному покрытию</t>
  </si>
  <si>
    <t>покрыть Au</t>
  </si>
  <si>
    <t>покрыть Ni</t>
  </si>
  <si>
    <t>Фаска 30грд на краевых разъемах</t>
  </si>
  <si>
    <t>не снимать</t>
  </si>
  <si>
    <t>снять</t>
  </si>
  <si>
    <t>Мех обработка контура</t>
  </si>
  <si>
    <t>На усмотрение производства</t>
  </si>
  <si>
    <t>"Фрезерованием"</t>
  </si>
  <si>
    <t>Согласно эскизу в приложении</t>
  </si>
  <si>
    <t>Металлизированный торец платы</t>
  </si>
  <si>
    <t>Металлизированные полуотверстия</t>
  </si>
  <si>
    <t>Металлизированные пазы</t>
  </si>
  <si>
    <t xml:space="preserve">Структура МПП </t>
  </si>
  <si>
    <t>типовая</t>
  </si>
  <si>
    <t>требуемая</t>
  </si>
  <si>
    <t>согласно приложенного файла</t>
  </si>
  <si>
    <t>Для PCAD4.5;8.5;2000 переходные</t>
  </si>
  <si>
    <t>закрыты маской</t>
  </si>
  <si>
    <t>открыть от маски</t>
  </si>
  <si>
    <t>Для экспорта шелкографии в PCAD200x мы используем след. настройи по умолчанию</t>
  </si>
  <si>
    <t>RefDes</t>
  </si>
  <si>
    <t>On</t>
  </si>
  <si>
    <t>Type</t>
  </si>
  <si>
    <t>Off</t>
  </si>
  <si>
    <t>Value</t>
  </si>
  <si>
    <t>Панелизация</t>
  </si>
  <si>
    <t>по приложенному эскизу</t>
  </si>
  <si>
    <t>Панелью</t>
  </si>
  <si>
    <t>Без панели(поштучно)</t>
  </si>
  <si>
    <t>На усмотрение производтва</t>
  </si>
  <si>
    <t>Размер платы (длина по горизонтали), мм</t>
  </si>
  <si>
    <t>Размер платы (ширина по вертикали), мм</t>
  </si>
  <si>
    <t>Количество плат по горизонтали</t>
  </si>
  <si>
    <t>Количество плат по вертикали</t>
  </si>
  <si>
    <t>Зазор между платами по горизонтали</t>
  </si>
  <si>
    <t>Зазор между платами по вертикали</t>
  </si>
  <si>
    <t>Размер полей по горизонтали</t>
  </si>
  <si>
    <t>Размер полей по вертикали</t>
  </si>
  <si>
    <t xml:space="preserve">Описание  PIN &amp; VIA PCAD-4.5 и PCAD8.5.    </t>
  </si>
  <si>
    <t>Масштаб изготовления фотошаблона</t>
  </si>
  <si>
    <t>1:1</t>
  </si>
  <si>
    <t>1:0,9842 (100 dbu=2.5 мм)</t>
  </si>
  <si>
    <t>№ pin</t>
  </si>
  <si>
    <t>Диаметр отверстия после металлизации</t>
  </si>
  <si>
    <t>Размер контактной площадки</t>
  </si>
  <si>
    <t>Форма контактной площадки</t>
  </si>
  <si>
    <t>Наличие металлизации (по умолчению отверстия метализированы)</t>
  </si>
  <si>
    <t>слои подключения (для многослоек)</t>
  </si>
  <si>
    <t>есть</t>
  </si>
  <si>
    <t>нет</t>
  </si>
  <si>
    <t>круг</t>
  </si>
  <si>
    <t>квадрат</t>
  </si>
  <si>
    <t>другое</t>
  </si>
  <si>
    <t>RO4003C</t>
  </si>
  <si>
    <t>Стеклотекстолит заказчика ВЧ</t>
  </si>
  <si>
    <t>AR1000</t>
  </si>
  <si>
    <t>25N</t>
  </si>
  <si>
    <t>AD1000</t>
  </si>
  <si>
    <t>RO4350B</t>
  </si>
  <si>
    <t>AD250</t>
  </si>
  <si>
    <t>FR4 Isola</t>
  </si>
  <si>
    <t>FR4 HiTg170</t>
  </si>
  <si>
    <t>AD600</t>
  </si>
  <si>
    <t>Стеклотекстолит заказчика</t>
  </si>
  <si>
    <t>AD255</t>
  </si>
  <si>
    <t>AD450</t>
  </si>
  <si>
    <t>IT-859</t>
  </si>
  <si>
    <t>T111(Al)</t>
  </si>
  <si>
    <t>IT-158</t>
  </si>
  <si>
    <t>HA-50 Type1</t>
  </si>
  <si>
    <t>T112(5052)</t>
  </si>
  <si>
    <t>T110(5052)</t>
  </si>
  <si>
    <t>T110(1100)</t>
  </si>
  <si>
    <t>T111(1100)</t>
  </si>
  <si>
    <t>HA-50 Type2</t>
  </si>
  <si>
    <t>XPC</t>
  </si>
  <si>
    <t>IT-889</t>
  </si>
  <si>
    <t>HA-50 Type4</t>
  </si>
  <si>
    <t>T111(5052)</t>
  </si>
  <si>
    <t>HA-50 Type3</t>
  </si>
  <si>
    <t>T111(6061)</t>
  </si>
  <si>
    <t>фольга 35мкм</t>
  </si>
  <si>
    <t>фольга 18мкм</t>
  </si>
  <si>
    <t>препрег 0,12мм</t>
  </si>
  <si>
    <t>препрег 0,18мм</t>
  </si>
  <si>
    <t>препрег 0,3мм</t>
  </si>
  <si>
    <t>препрег 0,36мм</t>
  </si>
  <si>
    <t>препрег 0,54мм</t>
  </si>
  <si>
    <t>FR4 0,5мм</t>
  </si>
  <si>
    <t>FR4 0,7мм</t>
  </si>
  <si>
    <t>препрег 0,24мм</t>
  </si>
  <si>
    <t>препрег 0,30мм</t>
  </si>
  <si>
    <t>FR4 0,3мм</t>
  </si>
  <si>
    <t>8слоев 1,5 мм</t>
  </si>
  <si>
    <t>8слоев 1,6 мм</t>
  </si>
  <si>
    <t>8слоев 1,8 мм</t>
  </si>
  <si>
    <t>8слоев 2 мм</t>
  </si>
  <si>
    <t>FR4 0,25мм</t>
  </si>
  <si>
    <t>8слоев 1,5мм</t>
  </si>
  <si>
    <t>10 слоев 2 мм</t>
  </si>
  <si>
    <t>многослойной согласно приложеннию</t>
  </si>
  <si>
    <t>Экспресс доставка</t>
  </si>
  <si>
    <t>Отчет о совместимости для Бланк заказа.xls</t>
  </si>
  <si>
    <t>Дата отчета: 10.02.2022 11:54</t>
  </si>
  <si>
    <t>Если вы сохраните книгу в более старом формате или откроете в более ранней версии Microsoft Excel, приведенные ниже функции будут недоступны.</t>
  </si>
  <si>
    <t>Существенная потеря функциональности</t>
  </si>
  <si>
    <t>Число экземпляров</t>
  </si>
  <si>
    <t>Версия</t>
  </si>
  <si>
    <t>Число условных форматов в некоторых ячейках превышает поддерживаемое выбранным форматом файла. В более ранних версиях Microsoft Excel будут отображаться только первые три условия.</t>
  </si>
  <si>
    <t>Лист1'!I40:J40</t>
  </si>
  <si>
    <t>Лист1'!I60:J60</t>
  </si>
  <si>
    <t>Лист1'!L40:M40</t>
  </si>
  <si>
    <t>Лист1'!L60:M60</t>
  </si>
  <si>
    <t>Excel 97–2003</t>
  </si>
  <si>
    <t>Некоторые ячейки относятся сразу к нескольким диапазонам условного форматирования. В более ранних версиях Excel к таким ячейкам будут применены не все правила условного форматирования. Для таких ячеек будет использоваться разное условное форматирование.</t>
  </si>
  <si>
    <t>Лист1'!D40:F40</t>
  </si>
  <si>
    <t>Лист1'!L24:N24</t>
  </si>
  <si>
    <t>Лист1'!D60:F60</t>
  </si>
  <si>
    <t>pcb-4layer-0.5oz-1.6mmr.GM3</t>
  </si>
  <si>
    <t>pcb-4layer-0.5oz-1.6mm.GTO</t>
  </si>
  <si>
    <t>pcb-4layer-0.5oz-1.6mm.GTS</t>
  </si>
  <si>
    <t>pcb-4layer-0.5oz-1.6mm.GTL</t>
  </si>
  <si>
    <t>pcb-4layer-0.5oz-1.6mm.G1</t>
  </si>
  <si>
    <t>pcb-4layer-0.5oz-1.6mmr.G2</t>
  </si>
  <si>
    <t>pcb-4layer-0.5oz-1.6mm.GBL</t>
  </si>
  <si>
    <t>pcb-4layer-0.5oz-1.6mm.GBS</t>
  </si>
  <si>
    <t>pcb-4layer-0.5oz-1.6mm.GBO</t>
  </si>
  <si>
    <t>pcb-4layer-0.5oz-1.6mm.TXT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</si>
</sst>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h:mm"/>
    <numFmt numFmtId="165" formatCode="0.000"/>
    <numFmt numFmtId="166" formatCode="mm"/>
  </numFmts>
  <fonts count="41" x14ac:knownFonts="1">
    <font>
      <sz val="10"/>
      <name val="Arial Cyr"/>
      <charset val="204"/>
    </font>
    <font>
      <sz val="8"/>
      <name val="Arial"/>
      <family val="2"/>
      <charset val="204"/>
    </font>
    <font>
      <i/>
      <sz val="10"/>
      <name val="Calibri"/>
      <family val="2"/>
      <charset val="204"/>
    </font>
    <font>
      <sz val="9"/>
      <name val="Calibri"/>
      <family val="2"/>
      <charset val="204"/>
    </font>
    <font>
      <sz val="9"/>
      <color indexed="10"/>
      <name val="Calibri"/>
      <family val="2"/>
      <charset val="204"/>
    </font>
    <font>
      <sz val="10"/>
      <name val="Arial Cyr"/>
      <family val="2"/>
      <charset val="204"/>
    </font>
    <font>
      <sz val="8"/>
      <name val="Calibri"/>
      <family val="2"/>
      <charset val="204"/>
    </font>
    <font>
      <u/>
      <sz val="10"/>
      <color indexed="12"/>
      <name val="Arial Cyr"/>
      <charset val="204"/>
    </font>
    <font>
      <sz val="9"/>
      <color indexed="12"/>
      <name val="Calibri"/>
      <family val="2"/>
      <charset val="204"/>
    </font>
    <font>
      <b/>
      <sz val="10"/>
      <name val="Calibri"/>
      <family val="2"/>
      <charset val="204"/>
    </font>
    <font>
      <b/>
      <sz val="10"/>
      <color indexed="51"/>
      <name val="Calibri"/>
      <family val="2"/>
      <charset val="204"/>
    </font>
    <font>
      <sz val="5.5"/>
      <name val="Calibri"/>
      <family val="2"/>
      <charset val="204"/>
    </font>
    <font>
      <b/>
      <sz val="10"/>
      <color indexed="12"/>
      <name val="Arial Cyr"/>
      <charset val="204"/>
    </font>
    <font>
      <sz val="10"/>
      <color indexed="17"/>
      <name val="Arial Cyr"/>
      <charset val="204"/>
    </font>
    <font>
      <b/>
      <sz val="9"/>
      <color indexed="51"/>
      <name val="Calibri"/>
      <family val="2"/>
      <charset val="204"/>
    </font>
    <font>
      <sz val="9"/>
      <color indexed="9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0"/>
      <color indexed="10"/>
      <name val="Arial Cyr"/>
      <charset val="204"/>
    </font>
    <font>
      <sz val="6"/>
      <name val="Calibri"/>
      <family val="2"/>
      <charset val="204"/>
    </font>
    <font>
      <sz val="10"/>
      <color indexed="45"/>
      <name val="Arial Cyr"/>
      <charset val="204"/>
    </font>
    <font>
      <sz val="11"/>
      <name val="Calibri"/>
      <family val="2"/>
      <charset val="204"/>
    </font>
    <font>
      <b/>
      <sz val="7"/>
      <name val="Calibri"/>
      <family val="2"/>
      <charset val="204"/>
    </font>
    <font>
      <b/>
      <sz val="9"/>
      <name val="Calibri"/>
      <family val="2"/>
      <charset val="204"/>
    </font>
    <font>
      <sz val="10"/>
      <name val="Calibri"/>
      <family val="2"/>
      <charset val="204"/>
    </font>
    <font>
      <sz val="10"/>
      <color indexed="10"/>
      <name val="Calibri"/>
      <family val="2"/>
      <charset val="204"/>
    </font>
    <font>
      <b/>
      <sz val="8"/>
      <name val="Calibri"/>
      <family val="2"/>
      <charset val="204"/>
    </font>
    <font>
      <sz val="9"/>
      <color indexed="8"/>
      <name val="Calibri"/>
      <family val="2"/>
      <charset val="204"/>
    </font>
    <font>
      <b/>
      <i/>
      <sz val="8"/>
      <name val="Arial Cyr"/>
      <family val="2"/>
      <charset val="204"/>
    </font>
    <font>
      <b/>
      <sz val="10"/>
      <color indexed="10"/>
      <name val="Calibri"/>
      <family val="2"/>
      <charset val="204"/>
    </font>
    <font>
      <sz val="10"/>
      <color indexed="8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color indexed="8"/>
      <name val="Arial"/>
      <family val="2"/>
      <charset val="204"/>
    </font>
    <font>
      <sz val="8"/>
      <color indexed="48"/>
      <name val="Arial"/>
      <family val="2"/>
      <charset val="204"/>
    </font>
    <font>
      <sz val="10"/>
      <color indexed="8"/>
      <name val="Arial"/>
      <family val="2"/>
      <charset val="204"/>
    </font>
    <font>
      <sz val="8"/>
      <color indexed="60"/>
      <name val="Arial"/>
      <family val="2"/>
      <charset val="204"/>
    </font>
    <font>
      <sz val="10"/>
      <color indexed="8"/>
      <name val="Arial Cyr"/>
      <charset val="204"/>
    </font>
    <font>
      <b/>
      <sz val="10"/>
      <name val="Arial"/>
      <family val="2"/>
      <charset val="204"/>
    </font>
    <font>
      <b/>
      <sz val="11"/>
      <color indexed="9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10"/>
      <name val="Arial Cyr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9"/>
        <bgColor indexed="26"/>
      </patternFill>
    </fill>
    <fill>
      <patternFill patternType="solid">
        <fgColor indexed="46"/>
        <bgColor indexed="24"/>
      </patternFill>
    </fill>
    <fill>
      <patternFill patternType="solid">
        <fgColor indexed="55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13"/>
        <bgColor indexed="34"/>
      </patternFill>
    </fill>
    <fill>
      <patternFill patternType="solid">
        <fgColor indexed="22"/>
        <bgColor indexed="31"/>
      </patternFill>
    </fill>
    <fill>
      <patternFill patternType="solid">
        <fgColor indexed="57"/>
        <bgColor indexed="21"/>
      </patternFill>
    </fill>
    <fill>
      <patternFill patternType="solid">
        <fgColor indexed="50"/>
        <bgColor indexed="51"/>
      </patternFill>
    </fill>
    <fill>
      <patternFill patternType="solid">
        <fgColor indexed="52"/>
        <bgColor indexed="51"/>
      </patternFill>
    </fill>
    <fill>
      <patternFill patternType="solid">
        <fgColor indexed="45"/>
        <bgColor indexed="29"/>
      </patternFill>
    </fill>
    <fill>
      <patternFill patternType="solid">
        <fgColor indexed="17"/>
        <bgColor indexed="21"/>
      </patternFill>
    </fill>
    <fill>
      <patternFill patternType="solid">
        <fgColor indexed="47"/>
        <bgColor indexed="22"/>
      </patternFill>
    </fill>
  </fills>
  <borders count="48">
    <border>
      <left/>
      <right/>
      <top/>
      <bottom/>
      <diagonal/>
    </border>
    <border>
      <left/>
      <right/>
      <top style="hair">
        <color indexed="60"/>
      </top>
      <bottom style="hair">
        <color indexed="60"/>
      </bottom>
      <diagonal/>
    </border>
    <border>
      <left/>
      <right style="medium">
        <color indexed="48"/>
      </right>
      <top/>
      <bottom/>
      <diagonal/>
    </border>
    <border>
      <left style="medium">
        <color indexed="48"/>
      </left>
      <right/>
      <top style="hair">
        <color indexed="60"/>
      </top>
      <bottom style="hair">
        <color indexed="60"/>
      </bottom>
      <diagonal/>
    </border>
    <border>
      <left style="medium">
        <color indexed="48"/>
      </left>
      <right/>
      <top/>
      <bottom/>
      <diagonal/>
    </border>
    <border>
      <left style="medium">
        <color indexed="48"/>
      </left>
      <right style="hair">
        <color indexed="59"/>
      </right>
      <top style="hair">
        <color indexed="59"/>
      </top>
      <bottom/>
      <diagonal/>
    </border>
    <border>
      <left style="hair">
        <color indexed="59"/>
      </left>
      <right style="hair">
        <color indexed="59"/>
      </right>
      <top style="hair">
        <color indexed="59"/>
      </top>
      <bottom/>
      <diagonal/>
    </border>
    <border>
      <left style="medium">
        <color indexed="48"/>
      </left>
      <right style="hair">
        <color indexed="59"/>
      </right>
      <top/>
      <bottom/>
      <diagonal/>
    </border>
    <border>
      <left style="hair">
        <color indexed="59"/>
      </left>
      <right style="hair">
        <color indexed="59"/>
      </right>
      <top/>
      <bottom/>
      <diagonal/>
    </border>
    <border>
      <left style="medium">
        <color indexed="48"/>
      </left>
      <right style="hair">
        <color indexed="59"/>
      </right>
      <top/>
      <bottom style="medium">
        <color indexed="48"/>
      </bottom>
      <diagonal/>
    </border>
    <border>
      <left style="hair">
        <color indexed="59"/>
      </left>
      <right style="hair">
        <color indexed="59"/>
      </right>
      <top/>
      <bottom style="medium">
        <color indexed="48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48"/>
      </left>
      <right/>
      <top style="medium">
        <color indexed="48"/>
      </top>
      <bottom style="hair">
        <color indexed="60"/>
      </bottom>
      <diagonal/>
    </border>
    <border>
      <left/>
      <right style="medium">
        <color indexed="48"/>
      </right>
      <top style="medium">
        <color indexed="4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48"/>
      </right>
      <top style="hair">
        <color indexed="60"/>
      </top>
      <bottom style="hair">
        <color indexed="60"/>
      </bottom>
      <diagonal/>
    </border>
    <border>
      <left/>
      <right style="medium">
        <color indexed="48"/>
      </right>
      <top/>
      <bottom style="hair">
        <color indexed="60"/>
      </bottom>
      <diagonal/>
    </border>
    <border>
      <left/>
      <right style="medium">
        <color indexed="48"/>
      </right>
      <top style="hair">
        <color indexed="60"/>
      </top>
      <bottom/>
      <diagonal/>
    </border>
    <border>
      <left/>
      <right/>
      <top/>
      <bottom style="hair">
        <color indexed="60"/>
      </bottom>
      <diagonal/>
    </border>
    <border>
      <left style="medium">
        <color indexed="48"/>
      </left>
      <right/>
      <top style="hair">
        <color indexed="57"/>
      </top>
      <bottom style="hair">
        <color indexed="57"/>
      </bottom>
      <diagonal/>
    </border>
    <border>
      <left/>
      <right/>
      <top style="hair">
        <color indexed="60"/>
      </top>
      <bottom/>
      <diagonal/>
    </border>
    <border>
      <left style="hair">
        <color indexed="57"/>
      </left>
      <right style="hair">
        <color indexed="57"/>
      </right>
      <top style="hair">
        <color indexed="57"/>
      </top>
      <bottom style="hair">
        <color indexed="57"/>
      </bottom>
      <diagonal/>
    </border>
    <border>
      <left style="medium">
        <color indexed="48"/>
      </left>
      <right style="medium">
        <color indexed="48"/>
      </right>
      <top/>
      <bottom/>
      <diagonal/>
    </border>
    <border>
      <left style="medium">
        <color indexed="48"/>
      </left>
      <right style="medium">
        <color indexed="48"/>
      </right>
      <top style="hair">
        <color indexed="57"/>
      </top>
      <bottom style="hair">
        <color indexed="57"/>
      </bottom>
      <diagonal/>
    </border>
    <border>
      <left/>
      <right style="hair">
        <color indexed="60"/>
      </right>
      <top/>
      <bottom style="hair">
        <color indexed="60"/>
      </bottom>
      <diagonal/>
    </border>
    <border>
      <left style="hair">
        <color indexed="60"/>
      </left>
      <right style="hair">
        <color indexed="60"/>
      </right>
      <top style="hair">
        <color indexed="60"/>
      </top>
      <bottom style="hair">
        <color indexed="60"/>
      </bottom>
      <diagonal/>
    </border>
    <border>
      <left style="hair">
        <color indexed="60"/>
      </left>
      <right/>
      <top style="hair">
        <color indexed="60"/>
      </top>
      <bottom style="hair">
        <color indexed="60"/>
      </bottom>
      <diagonal/>
    </border>
    <border>
      <left/>
      <right style="hair">
        <color indexed="60"/>
      </right>
      <top style="hair">
        <color indexed="60"/>
      </top>
      <bottom style="hair">
        <color indexed="60"/>
      </bottom>
      <diagonal/>
    </border>
    <border>
      <left/>
      <right style="hair">
        <color indexed="60"/>
      </right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/>
      <bottom/>
      <diagonal/>
    </border>
    <border>
      <left style="medium">
        <color indexed="48"/>
      </left>
      <right style="thin">
        <color indexed="60"/>
      </right>
      <top/>
      <bottom/>
      <diagonal/>
    </border>
    <border>
      <left/>
      <right style="medium">
        <color indexed="48"/>
      </right>
      <top/>
      <bottom style="medium">
        <color indexed="48"/>
      </bottom>
      <diagonal/>
    </border>
  </borders>
  <cellStyleXfs count="4">
    <xf numFmtId="0" fontId="0" fillId="0" borderId="0"/>
    <xf numFmtId="0" fontId="30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1" fillId="0" borderId="0"/>
  </cellStyleXfs>
  <cellXfs count="227">
    <xf numFmtId="0" fontId="0" fillId="0" borderId="0" xfId="0"/>
    <xf numFmtId="0" fontId="0" fillId="3" borderId="0" xfId="0" applyFill="1"/>
    <xf numFmtId="0" fontId="2" fillId="3" borderId="0" xfId="0" applyFont="1" applyFill="1"/>
    <xf numFmtId="0" fontId="5" fillId="3" borderId="0" xfId="0" applyFont="1" applyFill="1" applyAlignment="1">
      <alignment horizontal="right"/>
    </xf>
    <xf numFmtId="0" fontId="3" fillId="0" borderId="0" xfId="0" applyFont="1" applyBorder="1" applyAlignment="1" applyProtection="1">
      <alignment horizontal="left"/>
      <protection locked="0"/>
    </xf>
    <xf numFmtId="0" fontId="0" fillId="3" borderId="0" xfId="0" applyFont="1" applyFill="1" applyBorder="1" applyAlignment="1">
      <alignment horizontal="left" vertical="top"/>
    </xf>
    <xf numFmtId="0" fontId="12" fillId="3" borderId="0" xfId="0" applyFont="1" applyFill="1" applyBorder="1" applyAlignment="1">
      <alignment horizontal="left" vertical="top"/>
    </xf>
    <xf numFmtId="0" fontId="13" fillId="3" borderId="0" xfId="0" applyFont="1" applyFill="1" applyBorder="1" applyAlignment="1">
      <alignment horizontal="left" vertical="top"/>
    </xf>
    <xf numFmtId="0" fontId="0" fillId="3" borderId="0" xfId="0" applyNumberFormat="1" applyFont="1" applyFill="1" applyBorder="1"/>
    <xf numFmtId="0" fontId="0" fillId="3" borderId="0" xfId="0" applyFont="1" applyFill="1" applyBorder="1"/>
    <xf numFmtId="0" fontId="18" fillId="3" borderId="0" xfId="0" applyFont="1" applyFill="1" applyAlignment="1"/>
    <xf numFmtId="0" fontId="18" fillId="3" borderId="0" xfId="0" applyFont="1" applyFill="1" applyAlignment="1">
      <alignment horizontal="left" vertical="top"/>
    </xf>
    <xf numFmtId="0" fontId="18" fillId="3" borderId="0" xfId="0" applyFont="1" applyFill="1" applyBorder="1" applyAlignment="1">
      <alignment horizontal="left" vertical="top"/>
    </xf>
    <xf numFmtId="0" fontId="9" fillId="4" borderId="0" xfId="0" applyFont="1" applyFill="1" applyBorder="1" applyAlignment="1"/>
    <xf numFmtId="0" fontId="3" fillId="3" borderId="0" xfId="0" applyFont="1" applyFill="1" applyBorder="1" applyAlignment="1"/>
    <xf numFmtId="0" fontId="3" fillId="5" borderId="0" xfId="0" applyFont="1" applyFill="1" applyBorder="1" applyAlignment="1"/>
    <xf numFmtId="0" fontId="23" fillId="0" borderId="1" xfId="0" applyFont="1" applyBorder="1" applyAlignment="1"/>
    <xf numFmtId="0" fontId="23" fillId="5" borderId="0" xfId="0" applyFont="1" applyFill="1" applyBorder="1" applyAlignment="1"/>
    <xf numFmtId="0" fontId="23" fillId="3" borderId="0" xfId="0" applyFont="1" applyFill="1" applyBorder="1"/>
    <xf numFmtId="0" fontId="23" fillId="3" borderId="0" xfId="0" applyFont="1" applyFill="1" applyBorder="1" applyProtection="1">
      <protection locked="0"/>
    </xf>
    <xf numFmtId="0" fontId="23" fillId="3" borderId="0" xfId="0" applyFont="1" applyFill="1" applyBorder="1" applyAlignment="1"/>
    <xf numFmtId="0" fontId="23" fillId="3" borderId="0" xfId="0" applyFont="1" applyFill="1" applyBorder="1" applyAlignment="1" applyProtection="1">
      <protection locked="0"/>
    </xf>
    <xf numFmtId="0" fontId="23" fillId="3" borderId="2" xfId="0" applyFont="1" applyFill="1" applyBorder="1" applyAlignment="1"/>
    <xf numFmtId="0" fontId="23" fillId="0" borderId="0" xfId="0" applyFont="1" applyFill="1" applyBorder="1"/>
    <xf numFmtId="0" fontId="23" fillId="0" borderId="2" xfId="0" applyFont="1" applyFill="1" applyBorder="1"/>
    <xf numFmtId="0" fontId="23" fillId="6" borderId="0" xfId="0" applyFont="1" applyFill="1" applyBorder="1"/>
    <xf numFmtId="0" fontId="23" fillId="6" borderId="2" xfId="0" applyFont="1" applyFill="1" applyBorder="1"/>
    <xf numFmtId="0" fontId="23" fillId="7" borderId="0" xfId="0" applyFont="1" applyFill="1" applyBorder="1"/>
    <xf numFmtId="0" fontId="23" fillId="7" borderId="0" xfId="0" applyFont="1" applyFill="1" applyBorder="1" applyProtection="1">
      <protection locked="0"/>
    </xf>
    <xf numFmtId="0" fontId="23" fillId="7" borderId="2" xfId="0" applyFont="1" applyFill="1" applyBorder="1"/>
    <xf numFmtId="0" fontId="23" fillId="3" borderId="2" xfId="0" applyFont="1" applyFill="1" applyBorder="1"/>
    <xf numFmtId="0" fontId="23" fillId="0" borderId="0" xfId="0" applyFont="1" applyFill="1" applyBorder="1" applyAlignment="1"/>
    <xf numFmtId="0" fontId="3" fillId="3" borderId="3" xfId="0" applyFont="1" applyFill="1" applyBorder="1" applyAlignment="1"/>
    <xf numFmtId="0" fontId="3" fillId="3" borderId="1" xfId="0" applyFont="1" applyFill="1" applyBorder="1" applyAlignment="1"/>
    <xf numFmtId="0" fontId="3" fillId="8" borderId="0" xfId="0" applyFont="1" applyFill="1" applyBorder="1" applyAlignment="1" applyProtection="1">
      <alignment horizontal="left"/>
    </xf>
    <xf numFmtId="0" fontId="27" fillId="3" borderId="0" xfId="0" applyFont="1" applyFill="1" applyBorder="1" applyAlignment="1" applyProtection="1">
      <alignment horizontal="left"/>
    </xf>
    <xf numFmtId="0" fontId="9" fillId="9" borderId="4" xfId="0" applyFont="1" applyFill="1" applyBorder="1"/>
    <xf numFmtId="0" fontId="23" fillId="9" borderId="0" xfId="0" applyFont="1" applyFill="1" applyBorder="1"/>
    <xf numFmtId="0" fontId="23" fillId="9" borderId="2" xfId="0" applyFont="1" applyFill="1" applyBorder="1"/>
    <xf numFmtId="0" fontId="23" fillId="2" borderId="0" xfId="0" applyFont="1" applyFill="1" applyBorder="1"/>
    <xf numFmtId="0" fontId="23" fillId="2" borderId="2" xfId="0" applyFont="1" applyFill="1" applyBorder="1"/>
    <xf numFmtId="164" fontId="0" fillId="3" borderId="0" xfId="0" applyNumberFormat="1" applyFont="1" applyFill="1"/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29" fillId="10" borderId="7" xfId="0" applyFont="1" applyFill="1" applyBorder="1" applyAlignment="1">
      <alignment horizontal="center"/>
    </xf>
    <xf numFmtId="0" fontId="31" fillId="10" borderId="8" xfId="1" applyNumberFormat="1" applyFont="1" applyFill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29" fillId="2" borderId="7" xfId="0" applyFont="1" applyFill="1" applyBorder="1" applyAlignment="1">
      <alignment horizontal="center"/>
    </xf>
    <xf numFmtId="0" fontId="29" fillId="2" borderId="8" xfId="0" applyFont="1" applyFill="1" applyBorder="1" applyAlignment="1" applyProtection="1">
      <alignment horizontal="center"/>
      <protection locked="0"/>
    </xf>
    <xf numFmtId="0" fontId="29" fillId="10" borderId="9" xfId="0" applyFont="1" applyFill="1" applyBorder="1" applyAlignment="1">
      <alignment horizontal="center"/>
    </xf>
    <xf numFmtId="0" fontId="31" fillId="10" borderId="10" xfId="1" applyNumberFormat="1" applyFont="1" applyFill="1" applyBorder="1" applyAlignment="1" applyProtection="1">
      <alignment horizontal="center"/>
      <protection locked="0"/>
    </xf>
    <xf numFmtId="0" fontId="32" fillId="3" borderId="11" xfId="3" applyNumberFormat="1" applyFont="1" applyFill="1" applyBorder="1" applyAlignment="1">
      <alignment horizontal="left" vertical="top"/>
    </xf>
    <xf numFmtId="0" fontId="32" fillId="3" borderId="12" xfId="3" applyNumberFormat="1" applyFont="1" applyFill="1" applyBorder="1" applyAlignment="1">
      <alignment horizontal="left" vertical="top"/>
    </xf>
    <xf numFmtId="0" fontId="0" fillId="0" borderId="0" xfId="0" applyBorder="1"/>
    <xf numFmtId="0" fontId="33" fillId="3" borderId="11" xfId="3" applyNumberFormat="1" applyFont="1" applyFill="1" applyBorder="1" applyAlignment="1">
      <alignment horizontal="left" vertical="top"/>
    </xf>
    <xf numFmtId="0" fontId="33" fillId="3" borderId="13" xfId="3" applyNumberFormat="1" applyFont="1" applyFill="1" applyBorder="1" applyAlignment="1">
      <alignment horizontal="left" vertical="top"/>
    </xf>
    <xf numFmtId="0" fontId="34" fillId="0" borderId="0" xfId="0" applyFont="1"/>
    <xf numFmtId="165" fontId="32" fillId="3" borderId="11" xfId="3" applyNumberFormat="1" applyFont="1" applyFill="1" applyBorder="1" applyAlignment="1">
      <alignment horizontal="right" vertical="top"/>
    </xf>
    <xf numFmtId="1" fontId="32" fillId="3" borderId="11" xfId="3" applyNumberFormat="1" applyFont="1" applyFill="1" applyBorder="1" applyAlignment="1">
      <alignment horizontal="right" vertical="top"/>
    </xf>
    <xf numFmtId="1" fontId="1" fillId="11" borderId="11" xfId="3" applyNumberFormat="1" applyFont="1" applyFill="1" applyBorder="1" applyAlignment="1">
      <alignment horizontal="right" vertical="top"/>
    </xf>
    <xf numFmtId="1" fontId="32" fillId="11" borderId="11" xfId="3" applyNumberFormat="1" applyFont="1" applyFill="1" applyBorder="1" applyAlignment="1">
      <alignment horizontal="right" vertical="top"/>
    </xf>
    <xf numFmtId="1" fontId="1" fillId="4" borderId="11" xfId="3" applyNumberFormat="1" applyFont="1" applyFill="1" applyBorder="1" applyAlignment="1">
      <alignment horizontal="right" vertical="top"/>
    </xf>
    <xf numFmtId="165" fontId="32" fillId="4" borderId="11" xfId="3" applyNumberFormat="1" applyFont="1" applyFill="1" applyBorder="1" applyAlignment="1">
      <alignment horizontal="right" vertical="top"/>
    </xf>
    <xf numFmtId="1" fontId="32" fillId="3" borderId="0" xfId="3" applyNumberFormat="1" applyFont="1" applyFill="1" applyBorder="1" applyAlignment="1">
      <alignment horizontal="right" vertical="top"/>
    </xf>
    <xf numFmtId="0" fontId="0" fillId="11" borderId="0" xfId="0" applyFill="1"/>
    <xf numFmtId="0" fontId="0" fillId="0" borderId="0" xfId="0" applyFill="1"/>
    <xf numFmtId="0" fontId="0" fillId="0" borderId="0" xfId="0" applyFill="1" applyBorder="1"/>
    <xf numFmtId="165" fontId="32" fillId="11" borderId="11" xfId="3" applyNumberFormat="1" applyFont="1" applyFill="1" applyBorder="1" applyAlignment="1">
      <alignment horizontal="right" vertical="top"/>
    </xf>
    <xf numFmtId="165" fontId="1" fillId="11" borderId="11" xfId="3" applyNumberFormat="1" applyFont="1" applyFill="1" applyBorder="1" applyAlignment="1">
      <alignment horizontal="right" vertical="top"/>
    </xf>
    <xf numFmtId="0" fontId="0" fillId="11" borderId="0" xfId="0" applyFont="1" applyFill="1"/>
    <xf numFmtId="0" fontId="0" fillId="0" borderId="0" xfId="0" applyFont="1" applyFill="1"/>
    <xf numFmtId="0" fontId="0" fillId="0" borderId="0" xfId="0" applyFont="1" applyFill="1" applyBorder="1"/>
    <xf numFmtId="0" fontId="32" fillId="12" borderId="11" xfId="3" applyNumberFormat="1" applyFont="1" applyFill="1" applyBorder="1" applyAlignment="1">
      <alignment horizontal="left" vertical="top"/>
    </xf>
    <xf numFmtId="165" fontId="32" fillId="12" borderId="11" xfId="3" applyNumberFormat="1" applyFont="1" applyFill="1" applyBorder="1" applyAlignment="1">
      <alignment horizontal="right" vertical="top"/>
    </xf>
    <xf numFmtId="1" fontId="32" fillId="12" borderId="11" xfId="3" applyNumberFormat="1" applyFont="1" applyFill="1" applyBorder="1" applyAlignment="1">
      <alignment horizontal="right" vertical="top"/>
    </xf>
    <xf numFmtId="0" fontId="0" fillId="12" borderId="0" xfId="0" applyFill="1"/>
    <xf numFmtId="165" fontId="35" fillId="12" borderId="11" xfId="3" applyNumberFormat="1" applyFont="1" applyFill="1" applyBorder="1" applyAlignment="1">
      <alignment horizontal="right" vertical="top"/>
    </xf>
    <xf numFmtId="1" fontId="35" fillId="12" borderId="11" xfId="3" applyNumberFormat="1" applyFont="1" applyFill="1" applyBorder="1" applyAlignment="1">
      <alignment horizontal="right" vertical="top"/>
    </xf>
    <xf numFmtId="165" fontId="33" fillId="3" borderId="11" xfId="3" applyNumberFormat="1" applyFont="1" applyFill="1" applyBorder="1" applyAlignment="1">
      <alignment horizontal="right" vertical="top"/>
    </xf>
    <xf numFmtId="1" fontId="33" fillId="3" borderId="11" xfId="3" applyNumberFormat="1" applyFont="1" applyFill="1" applyBorder="1" applyAlignment="1">
      <alignment horizontal="right" vertical="top"/>
    </xf>
    <xf numFmtId="1" fontId="35" fillId="3" borderId="11" xfId="3" applyNumberFormat="1" applyFont="1" applyFill="1" applyBorder="1" applyAlignment="1">
      <alignment horizontal="right" vertical="top"/>
    </xf>
    <xf numFmtId="165" fontId="0" fillId="0" borderId="0" xfId="0" applyNumberFormat="1"/>
    <xf numFmtId="2" fontId="36" fillId="0" borderId="0" xfId="0" applyNumberFormat="1" applyFont="1" applyFill="1" applyBorder="1"/>
    <xf numFmtId="2" fontId="34" fillId="0" borderId="0" xfId="0" applyNumberFormat="1" applyFont="1" applyFill="1" applyBorder="1"/>
    <xf numFmtId="165" fontId="34" fillId="0" borderId="0" xfId="0" applyNumberFormat="1" applyFont="1" applyFill="1" applyBorder="1"/>
    <xf numFmtId="165" fontId="36" fillId="0" borderId="0" xfId="0" applyNumberFormat="1" applyFont="1" applyFill="1" applyBorder="1"/>
    <xf numFmtId="2" fontId="0" fillId="0" borderId="0" xfId="0" applyNumberFormat="1"/>
    <xf numFmtId="165" fontId="37" fillId="0" borderId="0" xfId="0" applyNumberFormat="1" applyFont="1" applyBorder="1"/>
    <xf numFmtId="2" fontId="37" fillId="0" borderId="14" xfId="0" applyNumberFormat="1" applyFont="1" applyBorder="1"/>
    <xf numFmtId="165" fontId="37" fillId="0" borderId="14" xfId="0" applyNumberFormat="1" applyFont="1" applyBorder="1"/>
    <xf numFmtId="2" fontId="37" fillId="0" borderId="14" xfId="0" applyNumberFormat="1" applyFont="1" applyFill="1" applyBorder="1"/>
    <xf numFmtId="2" fontId="37" fillId="0" borderId="15" xfId="0" applyNumberFormat="1" applyFont="1" applyBorder="1"/>
    <xf numFmtId="2" fontId="37" fillId="0" borderId="0" xfId="0" applyNumberFormat="1" applyFont="1" applyBorder="1"/>
    <xf numFmtId="2" fontId="37" fillId="0" borderId="0" xfId="0" applyNumberFormat="1" applyFont="1" applyFill="1" applyBorder="1"/>
    <xf numFmtId="0" fontId="0" fillId="3" borderId="16" xfId="0" applyFill="1" applyBorder="1"/>
    <xf numFmtId="165" fontId="0" fillId="3" borderId="0" xfId="0" applyNumberFormat="1" applyFill="1" applyBorder="1"/>
    <xf numFmtId="0" fontId="0" fillId="13" borderId="0" xfId="0" applyFill="1" applyBorder="1"/>
    <xf numFmtId="0" fontId="0" fillId="13" borderId="17" xfId="0" applyFill="1" applyBorder="1"/>
    <xf numFmtId="165" fontId="0" fillId="13" borderId="0" xfId="0" applyNumberFormat="1" applyFill="1" applyBorder="1"/>
    <xf numFmtId="0" fontId="38" fillId="6" borderId="0" xfId="0" applyFont="1" applyFill="1" applyBorder="1" applyAlignment="1">
      <alignment horizontal="center"/>
    </xf>
    <xf numFmtId="0" fontId="0" fillId="7" borderId="0" xfId="0" applyFill="1" applyBorder="1"/>
    <xf numFmtId="0" fontId="39" fillId="7" borderId="0" xfId="0" applyFont="1" applyFill="1" applyBorder="1" applyAlignment="1">
      <alignment horizontal="center"/>
    </xf>
    <xf numFmtId="0" fontId="38" fillId="7" borderId="0" xfId="0" applyFont="1" applyFill="1" applyBorder="1" applyAlignment="1">
      <alignment horizontal="center"/>
    </xf>
    <xf numFmtId="166" fontId="39" fillId="7" borderId="17" xfId="0" applyNumberFormat="1" applyFont="1" applyFill="1" applyBorder="1" applyAlignment="1">
      <alignment horizontal="center"/>
    </xf>
    <xf numFmtId="0" fontId="0" fillId="3" borderId="18" xfId="0" applyFill="1" applyBorder="1"/>
    <xf numFmtId="0" fontId="37" fillId="0" borderId="0" xfId="0" applyFont="1" applyBorder="1"/>
    <xf numFmtId="0" fontId="37" fillId="0" borderId="14" xfId="0" applyFont="1" applyBorder="1"/>
    <xf numFmtId="0" fontId="37" fillId="0" borderId="14" xfId="0" applyFont="1" applyFill="1" applyBorder="1"/>
    <xf numFmtId="0" fontId="38" fillId="6" borderId="17" xfId="0" applyFont="1" applyFill="1" applyBorder="1" applyAlignment="1">
      <alignment horizontal="center"/>
    </xf>
    <xf numFmtId="165" fontId="38" fillId="6" borderId="0" xfId="0" applyNumberFormat="1" applyFont="1" applyFill="1" applyBorder="1" applyAlignment="1">
      <alignment horizontal="center"/>
    </xf>
    <xf numFmtId="0" fontId="0" fillId="7" borderId="17" xfId="0" applyFill="1" applyBorder="1"/>
    <xf numFmtId="165" fontId="0" fillId="7" borderId="0" xfId="0" applyNumberFormat="1" applyFill="1" applyBorder="1"/>
    <xf numFmtId="0" fontId="39" fillId="7" borderId="17" xfId="0" applyFont="1" applyFill="1" applyBorder="1" applyAlignment="1">
      <alignment horizontal="center"/>
    </xf>
    <xf numFmtId="165" fontId="39" fillId="7" borderId="0" xfId="0" applyNumberFormat="1" applyFont="1" applyFill="1" applyBorder="1" applyAlignment="1">
      <alignment horizontal="center"/>
    </xf>
    <xf numFmtId="0" fontId="38" fillId="7" borderId="17" xfId="0" applyFont="1" applyFill="1" applyBorder="1" applyAlignment="1">
      <alignment horizontal="center"/>
    </xf>
    <xf numFmtId="165" fontId="38" fillId="7" borderId="0" xfId="0" applyNumberFormat="1" applyFont="1" applyFill="1" applyBorder="1" applyAlignment="1">
      <alignment horizontal="center"/>
    </xf>
    <xf numFmtId="0" fontId="0" fillId="3" borderId="17" xfId="0" applyFill="1" applyBorder="1"/>
    <xf numFmtId="165" fontId="0" fillId="0" borderId="0" xfId="0" applyNumberFormat="1" applyBorder="1"/>
    <xf numFmtId="0" fontId="40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19" xfId="0" applyNumberFormat="1" applyBorder="1" applyAlignment="1">
      <alignment vertical="top" wrapText="1"/>
    </xf>
    <xf numFmtId="0" fontId="0" fillId="0" borderId="20" xfId="0" applyNumberFormat="1" applyBorder="1" applyAlignment="1">
      <alignment vertical="top" wrapText="1"/>
    </xf>
    <xf numFmtId="0" fontId="0" fillId="0" borderId="21" xfId="0" applyNumberFormat="1" applyBorder="1" applyAlignment="1">
      <alignment vertical="top" wrapText="1"/>
    </xf>
    <xf numFmtId="0" fontId="0" fillId="0" borderId="22" xfId="0" applyNumberFormat="1" applyBorder="1" applyAlignment="1">
      <alignment vertical="top" wrapText="1"/>
    </xf>
    <xf numFmtId="0" fontId="0" fillId="0" borderId="23" xfId="0" applyNumberFormat="1" applyBorder="1" applyAlignment="1">
      <alignment vertical="top" wrapText="1"/>
    </xf>
    <xf numFmtId="0" fontId="40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20" xfId="0" applyNumberFormat="1" applyBorder="1" applyAlignment="1">
      <alignment horizontal="center" vertical="top" wrapText="1"/>
    </xf>
    <xf numFmtId="0" fontId="0" fillId="0" borderId="24" xfId="0" applyNumberFormat="1" applyBorder="1" applyAlignment="1">
      <alignment horizontal="center" vertical="top" wrapText="1"/>
    </xf>
    <xf numFmtId="0" fontId="7" fillId="0" borderId="0" xfId="2" quotePrefix="1" applyNumberFormat="1" applyAlignment="1">
      <alignment horizontal="center" vertical="top" wrapText="1"/>
    </xf>
    <xf numFmtId="0" fontId="0" fillId="0" borderId="25" xfId="0" applyNumberFormat="1" applyBorder="1" applyAlignment="1">
      <alignment horizontal="center" vertical="top" wrapText="1"/>
    </xf>
    <xf numFmtId="0" fontId="0" fillId="0" borderId="23" xfId="0" applyNumberFormat="1" applyBorder="1" applyAlignment="1">
      <alignment horizontal="center" vertical="top" wrapText="1"/>
    </xf>
    <xf numFmtId="0" fontId="7" fillId="0" borderId="23" xfId="2" quotePrefix="1" applyNumberFormat="1" applyBorder="1" applyAlignment="1">
      <alignment horizontal="center" vertical="top" wrapText="1"/>
    </xf>
    <xf numFmtId="0" fontId="0" fillId="0" borderId="26" xfId="0" applyNumberFormat="1" applyBorder="1" applyAlignment="1">
      <alignment horizontal="center" vertical="top" wrapText="1"/>
    </xf>
    <xf numFmtId="0" fontId="3" fillId="14" borderId="27" xfId="0" applyFont="1" applyFill="1" applyBorder="1" applyAlignment="1">
      <alignment horizontal="left"/>
    </xf>
    <xf numFmtId="0" fontId="4" fillId="3" borderId="28" xfId="0" applyFont="1" applyFill="1" applyBorder="1" applyAlignment="1" applyProtection="1">
      <alignment horizontal="left"/>
      <protection locked="0"/>
    </xf>
    <xf numFmtId="0" fontId="3" fillId="14" borderId="3" xfId="0" applyFont="1" applyFill="1" applyBorder="1" applyAlignment="1">
      <alignment horizontal="left"/>
    </xf>
    <xf numFmtId="0" fontId="4" fillId="0" borderId="29" xfId="0" applyFont="1" applyBorder="1" applyAlignment="1" applyProtection="1">
      <protection locked="0"/>
    </xf>
    <xf numFmtId="0" fontId="3" fillId="3" borderId="30" xfId="0" applyFont="1" applyFill="1" applyBorder="1" applyAlignment="1">
      <alignment horizontal="left"/>
    </xf>
    <xf numFmtId="0" fontId="4" fillId="0" borderId="31" xfId="0" applyFont="1" applyFill="1" applyBorder="1" applyAlignment="1" applyProtection="1">
      <alignment horizontal="left" vertical="top"/>
      <protection locked="0"/>
    </xf>
    <xf numFmtId="0" fontId="4" fillId="0" borderId="30" xfId="0" applyFont="1" applyFill="1" applyBorder="1" applyAlignment="1" applyProtection="1">
      <alignment horizontal="left" vertical="top"/>
      <protection locked="0"/>
    </xf>
    <xf numFmtId="0" fontId="4" fillId="0" borderId="32" xfId="0" applyFont="1" applyFill="1" applyBorder="1" applyAlignment="1" applyProtection="1">
      <alignment horizontal="left" vertical="top"/>
      <protection locked="0"/>
    </xf>
    <xf numFmtId="0" fontId="4" fillId="3" borderId="29" xfId="0" applyFont="1" applyFill="1" applyBorder="1" applyAlignment="1" applyProtection="1">
      <alignment horizontal="left"/>
      <protection locked="0"/>
    </xf>
    <xf numFmtId="0" fontId="6" fillId="3" borderId="1" xfId="0" applyFont="1" applyFill="1" applyBorder="1" applyAlignment="1">
      <alignment horizontal="left"/>
    </xf>
    <xf numFmtId="0" fontId="7" fillId="3" borderId="30" xfId="2" applyNumberFormat="1" applyFont="1" applyFill="1" applyBorder="1" applyAlignment="1" applyProtection="1">
      <alignment horizontal="left"/>
      <protection locked="0"/>
    </xf>
    <xf numFmtId="0" fontId="4" fillId="0" borderId="33" xfId="0" applyFont="1" applyFill="1" applyBorder="1" applyAlignment="1" applyProtection="1">
      <alignment horizontal="left"/>
      <protection locked="0"/>
    </xf>
    <xf numFmtId="0" fontId="8" fillId="0" borderId="30" xfId="2" applyNumberFormat="1" applyFont="1" applyFill="1" applyBorder="1" applyAlignment="1" applyProtection="1">
      <alignment horizontal="left" vertical="top"/>
      <protection locked="0"/>
    </xf>
    <xf numFmtId="0" fontId="9" fillId="0" borderId="4" xfId="0" applyFont="1" applyBorder="1" applyAlignment="1"/>
    <xf numFmtId="0" fontId="10" fillId="9" borderId="32" xfId="0" applyFont="1" applyFill="1" applyBorder="1" applyAlignment="1"/>
    <xf numFmtId="0" fontId="3" fillId="2" borderId="34" xfId="0" applyFont="1" applyFill="1" applyBorder="1" applyAlignment="1" applyProtection="1"/>
    <xf numFmtId="0" fontId="3" fillId="0" borderId="0" xfId="0" applyFont="1" applyBorder="1" applyAlignment="1" applyProtection="1">
      <alignment horizontal="left"/>
      <protection locked="0"/>
    </xf>
    <xf numFmtId="0" fontId="11" fillId="0" borderId="2" xfId="0" applyFont="1" applyBorder="1" applyAlignment="1">
      <alignment vertical="top" wrapText="1"/>
    </xf>
    <xf numFmtId="0" fontId="10" fillId="9" borderId="35" xfId="0" applyFont="1" applyFill="1" applyBorder="1" applyAlignment="1"/>
    <xf numFmtId="0" fontId="10" fillId="3" borderId="35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9" borderId="0" xfId="0" applyFont="1" applyFill="1" applyBorder="1" applyAlignment="1"/>
    <xf numFmtId="0" fontId="14" fillId="9" borderId="0" xfId="0" applyFont="1" applyFill="1" applyBorder="1" applyAlignment="1">
      <alignment horizontal="left"/>
    </xf>
    <xf numFmtId="0" fontId="14" fillId="9" borderId="36" xfId="0" applyFont="1" applyFill="1" applyBorder="1" applyAlignment="1">
      <alignment horizontal="left"/>
    </xf>
    <xf numFmtId="0" fontId="14" fillId="9" borderId="36" xfId="0" applyFont="1" applyFill="1" applyBorder="1" applyAlignment="1" applyProtection="1">
      <protection locked="0"/>
    </xf>
    <xf numFmtId="0" fontId="3" fillId="0" borderId="36" xfId="0" applyFont="1" applyBorder="1" applyAlignment="1" applyProtection="1">
      <alignment horizontal="left"/>
      <protection locked="0"/>
    </xf>
    <xf numFmtId="0" fontId="15" fillId="0" borderId="36" xfId="0" applyFont="1" applyBorder="1" applyAlignment="1" applyProtection="1">
      <alignment horizontal="left"/>
      <protection locked="0"/>
    </xf>
    <xf numFmtId="0" fontId="16" fillId="8" borderId="37" xfId="0" applyFont="1" applyFill="1" applyBorder="1" applyAlignment="1">
      <alignment horizontal="center"/>
    </xf>
    <xf numFmtId="0" fontId="17" fillId="8" borderId="38" xfId="0" applyFont="1" applyFill="1" applyBorder="1" applyAlignment="1" applyProtection="1">
      <alignment horizontal="left" vertical="top"/>
      <protection locked="0"/>
    </xf>
    <xf numFmtId="0" fontId="18" fillId="3" borderId="0" xfId="0" applyFont="1" applyFill="1" applyBorder="1" applyAlignment="1">
      <alignment wrapText="1"/>
    </xf>
    <xf numFmtId="0" fontId="18" fillId="3" borderId="0" xfId="0" applyFont="1" applyFill="1" applyBorder="1" applyAlignment="1">
      <alignment horizontal="left" vertical="top" wrapText="1"/>
    </xf>
    <xf numFmtId="0" fontId="19" fillId="8" borderId="37" xfId="0" applyFont="1" applyFill="1" applyBorder="1" applyAlignment="1"/>
    <xf numFmtId="0" fontId="9" fillId="4" borderId="4" xfId="0" applyFont="1" applyFill="1" applyBorder="1" applyAlignment="1"/>
    <xf numFmtId="0" fontId="9" fillId="4" borderId="2" xfId="0" applyFont="1" applyFill="1" applyBorder="1" applyAlignment="1"/>
    <xf numFmtId="0" fontId="20" fillId="0" borderId="4" xfId="0" applyFont="1" applyFill="1" applyBorder="1" applyAlignment="1">
      <alignment horizontal="center"/>
    </xf>
    <xf numFmtId="0" fontId="21" fillId="0" borderId="33" xfId="0" applyFont="1" applyBorder="1" applyAlignment="1"/>
    <xf numFmtId="0" fontId="22" fillId="0" borderId="39" xfId="0" applyFont="1" applyBorder="1" applyAlignment="1">
      <alignment horizontal="center"/>
    </xf>
    <xf numFmtId="0" fontId="22" fillId="0" borderId="33" xfId="0" applyFont="1" applyBorder="1" applyAlignment="1">
      <alignment horizontal="center"/>
    </xf>
    <xf numFmtId="0" fontId="22" fillId="0" borderId="31" xfId="0" applyFont="1" applyBorder="1" applyAlignment="1"/>
    <xf numFmtId="0" fontId="3" fillId="0" borderId="3" xfId="0" applyFont="1" applyFill="1" applyBorder="1" applyAlignment="1">
      <alignment horizontal="right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40" xfId="0" applyFont="1" applyBorder="1" applyAlignment="1">
      <alignment horizontal="center"/>
    </xf>
    <xf numFmtId="0" fontId="3" fillId="0" borderId="1" xfId="0" applyFont="1" applyBorder="1" applyAlignment="1"/>
    <xf numFmtId="0" fontId="23" fillId="0" borderId="30" xfId="0" applyFont="1" applyBorder="1" applyAlignment="1"/>
    <xf numFmtId="0" fontId="3" fillId="0" borderId="3" xfId="0" applyFont="1" applyBorder="1" applyAlignment="1">
      <alignment horizontal="right"/>
    </xf>
    <xf numFmtId="0" fontId="23" fillId="3" borderId="1" xfId="0" applyFont="1" applyFill="1" applyBorder="1" applyAlignment="1" applyProtection="1">
      <alignment horizontal="left"/>
      <protection locked="0"/>
    </xf>
    <xf numFmtId="0" fontId="23" fillId="0" borderId="40" xfId="0" applyFont="1" applyBorder="1" applyAlignment="1"/>
    <xf numFmtId="0" fontId="23" fillId="3" borderId="41" xfId="0" applyFont="1" applyFill="1" applyBorder="1" applyAlignment="1" applyProtection="1">
      <protection locked="0"/>
    </xf>
    <xf numFmtId="0" fontId="20" fillId="5" borderId="0" xfId="0" applyFont="1" applyFill="1" applyBorder="1" applyAlignment="1">
      <alignment horizontal="left" textRotation="90"/>
    </xf>
    <xf numFmtId="0" fontId="24" fillId="0" borderId="1" xfId="0" applyFont="1" applyFill="1" applyBorder="1" applyAlignment="1" applyProtection="1">
      <alignment horizontal="left"/>
      <protection locked="0"/>
    </xf>
    <xf numFmtId="0" fontId="24" fillId="0" borderId="42" xfId="0" applyFont="1" applyFill="1" applyBorder="1" applyAlignment="1" applyProtection="1">
      <alignment horizontal="left"/>
      <protection locked="0"/>
    </xf>
    <xf numFmtId="0" fontId="24" fillId="0" borderId="41" xfId="0" applyFont="1" applyFill="1" applyBorder="1" applyAlignment="1" applyProtection="1">
      <alignment horizontal="left"/>
      <protection locked="0"/>
    </xf>
    <xf numFmtId="0" fontId="23" fillId="6" borderId="1" xfId="0" applyFont="1" applyFill="1" applyBorder="1" applyAlignment="1" applyProtection="1">
      <alignment horizontal="left"/>
      <protection locked="0"/>
    </xf>
    <xf numFmtId="0" fontId="25" fillId="6" borderId="40" xfId="0" applyFont="1" applyFill="1" applyBorder="1" applyAlignment="1">
      <alignment horizontal="center"/>
    </xf>
    <xf numFmtId="0" fontId="23" fillId="6" borderId="41" xfId="0" applyFont="1" applyFill="1" applyBorder="1" applyAlignment="1" applyProtection="1">
      <protection locked="0"/>
    </xf>
    <xf numFmtId="0" fontId="23" fillId="7" borderId="1" xfId="0" applyFont="1" applyFill="1" applyBorder="1" applyAlignment="1" applyProtection="1">
      <alignment horizontal="left"/>
      <protection locked="0"/>
    </xf>
    <xf numFmtId="0" fontId="25" fillId="7" borderId="40" xfId="0" applyFont="1" applyFill="1" applyBorder="1" applyAlignment="1">
      <alignment horizontal="center"/>
    </xf>
    <xf numFmtId="0" fontId="23" fillId="7" borderId="41" xfId="0" applyFont="1" applyFill="1" applyBorder="1" applyAlignment="1" applyProtection="1">
      <protection locked="0"/>
    </xf>
    <xf numFmtId="0" fontId="23" fillId="7" borderId="42" xfId="0" applyFont="1" applyFill="1" applyBorder="1" applyAlignment="1">
      <alignment horizontal="center"/>
    </xf>
    <xf numFmtId="0" fontId="23" fillId="7" borderId="1" xfId="0" applyFont="1" applyFill="1" applyBorder="1" applyAlignment="1">
      <alignment horizontal="center"/>
    </xf>
    <xf numFmtId="0" fontId="23" fillId="7" borderId="42" xfId="0" applyFont="1" applyFill="1" applyBorder="1" applyAlignment="1">
      <alignment horizontal="left" vertical="center"/>
    </xf>
    <xf numFmtId="0" fontId="23" fillId="3" borderId="35" xfId="0" applyFont="1" applyFill="1" applyBorder="1" applyAlignment="1" applyProtection="1">
      <alignment horizontal="left"/>
      <protection locked="0"/>
    </xf>
    <xf numFmtId="0" fontId="23" fillId="0" borderId="42" xfId="0" applyFont="1" applyBorder="1" applyAlignment="1"/>
    <xf numFmtId="0" fontId="23" fillId="0" borderId="41" xfId="0" applyFont="1" applyBorder="1" applyAlignment="1" applyProtection="1">
      <protection locked="0"/>
    </xf>
    <xf numFmtId="0" fontId="23" fillId="5" borderId="43" xfId="0" applyFont="1" applyFill="1" applyBorder="1" applyAlignment="1" applyProtection="1">
      <protection locked="0"/>
    </xf>
    <xf numFmtId="0" fontId="23" fillId="5" borderId="0" xfId="0" applyFont="1" applyFill="1" applyBorder="1" applyAlignment="1"/>
    <xf numFmtId="0" fontId="23" fillId="3" borderId="0" xfId="0" applyFont="1" applyFill="1" applyBorder="1" applyAlignment="1"/>
    <xf numFmtId="0" fontId="23" fillId="5" borderId="44" xfId="0" applyFont="1" applyFill="1" applyBorder="1" applyAlignment="1" applyProtection="1">
      <alignment horizontal="left"/>
      <protection locked="0"/>
    </xf>
    <xf numFmtId="0" fontId="23" fillId="5" borderId="0" xfId="0" applyFont="1" applyFill="1" applyBorder="1" applyAlignment="1" applyProtection="1">
      <alignment horizontal="left"/>
      <protection locked="0"/>
    </xf>
    <xf numFmtId="0" fontId="23" fillId="5" borderId="45" xfId="0" applyFont="1" applyFill="1" applyBorder="1" applyAlignment="1"/>
    <xf numFmtId="0" fontId="23" fillId="0" borderId="37" xfId="0" applyFont="1" applyBorder="1" applyAlignment="1">
      <alignment horizontal="right"/>
    </xf>
    <xf numFmtId="0" fontId="9" fillId="4" borderId="4" xfId="0" applyFont="1" applyFill="1" applyBorder="1" applyAlignment="1" applyProtection="1"/>
    <xf numFmtId="0" fontId="9" fillId="4" borderId="2" xfId="0" applyFont="1" applyFill="1" applyBorder="1" applyAlignment="1">
      <alignment wrapText="1"/>
    </xf>
    <xf numFmtId="0" fontId="3" fillId="0" borderId="4" xfId="0" applyFont="1" applyFill="1" applyBorder="1" applyAlignment="1" applyProtection="1"/>
    <xf numFmtId="0" fontId="23" fillId="0" borderId="2" xfId="0" applyFont="1" applyBorder="1" applyAlignment="1"/>
    <xf numFmtId="0" fontId="22" fillId="4" borderId="0" xfId="0" applyFont="1" applyFill="1" applyBorder="1" applyAlignment="1" applyProtection="1">
      <alignment horizontal="left"/>
      <protection locked="0"/>
    </xf>
    <xf numFmtId="0" fontId="26" fillId="0" borderId="4" xfId="0" applyFont="1" applyFill="1" applyBorder="1" applyAlignment="1" applyProtection="1"/>
    <xf numFmtId="0" fontId="3" fillId="0" borderId="0" xfId="0" applyNumberFormat="1" applyFont="1" applyBorder="1" applyAlignment="1" applyProtection="1">
      <alignment horizontal="left"/>
      <protection locked="0"/>
    </xf>
    <xf numFmtId="0" fontId="26" fillId="0" borderId="37" xfId="0" applyFont="1" applyFill="1" applyBorder="1" applyAlignment="1" applyProtection="1"/>
    <xf numFmtId="0" fontId="28" fillId="7" borderId="46" xfId="0" applyFont="1" applyFill="1" applyBorder="1" applyAlignment="1"/>
    <xf numFmtId="0" fontId="28" fillId="7" borderId="11" xfId="0" applyFont="1" applyFill="1" applyBorder="1" applyAlignment="1" applyProtection="1">
      <alignment horizontal="center" vertical="center"/>
      <protection locked="0"/>
    </xf>
    <xf numFmtId="0" fontId="9" fillId="2" borderId="6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31" fillId="10" borderId="8" xfId="1" applyNumberFormat="1" applyFont="1" applyFill="1" applyBorder="1" applyAlignment="1" applyProtection="1">
      <alignment horizontal="center"/>
      <protection locked="0"/>
    </xf>
    <xf numFmtId="0" fontId="31" fillId="10" borderId="8" xfId="1" applyNumberFormat="1" applyFont="1" applyFill="1" applyBorder="1" applyAlignment="1" applyProtection="1"/>
    <xf numFmtId="0" fontId="31" fillId="10" borderId="2" xfId="1" applyNumberFormat="1" applyFont="1" applyFill="1" applyBorder="1" applyAlignment="1" applyProtection="1">
      <alignment horizontal="left"/>
      <protection locked="0"/>
    </xf>
    <xf numFmtId="0" fontId="29" fillId="2" borderId="8" xfId="0" applyFont="1" applyFill="1" applyBorder="1" applyAlignment="1" applyProtection="1">
      <alignment horizontal="center"/>
      <protection locked="0"/>
    </xf>
    <xf numFmtId="0" fontId="29" fillId="2" borderId="8" xfId="0" applyFont="1" applyFill="1" applyBorder="1" applyAlignment="1"/>
    <xf numFmtId="0" fontId="29" fillId="2" borderId="2" xfId="0" applyFont="1" applyFill="1" applyBorder="1" applyAlignment="1" applyProtection="1">
      <alignment horizontal="left"/>
      <protection locked="0"/>
    </xf>
    <xf numFmtId="0" fontId="31" fillId="10" borderId="10" xfId="1" applyNumberFormat="1" applyFont="1" applyFill="1" applyBorder="1" applyAlignment="1" applyProtection="1">
      <alignment horizontal="center"/>
      <protection locked="0"/>
    </xf>
    <xf numFmtId="0" fontId="31" fillId="10" borderId="10" xfId="1" applyNumberFormat="1" applyFont="1" applyFill="1" applyBorder="1" applyAlignment="1" applyProtection="1"/>
    <xf numFmtId="0" fontId="31" fillId="10" borderId="47" xfId="1" applyNumberFormat="1" applyFont="1" applyFill="1" applyBorder="1" applyAlignment="1" applyProtection="1">
      <alignment horizontal="left"/>
      <protection locked="0"/>
    </xf>
  </cellXfs>
  <cellStyles count="4">
    <cellStyle name="Excel_BuiltIn_Хороший" xfId="1"/>
    <cellStyle name="Гиперссылка" xfId="2" builtinId="8"/>
    <cellStyle name="Обычный" xfId="0" builtinId="0"/>
    <cellStyle name="Обычный_Лист1" xfId="3"/>
  </cellStyles>
  <dxfs count="92">
    <dxf>
      <font>
        <b val="0"/>
        <condense val="0"/>
        <extend val="0"/>
        <color indexed="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47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47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0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47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1"/>
      </font>
      <fill>
        <patternFill patternType="solid">
          <fgColor indexed="21"/>
          <bgColor indexed="57"/>
        </patternFill>
      </fill>
    </dxf>
    <dxf>
      <font>
        <b val="0"/>
        <condense val="0"/>
        <extend val="0"/>
        <color indexed="51"/>
      </font>
      <fill>
        <patternFill patternType="solid">
          <fgColor indexed="21"/>
          <bgColor indexed="57"/>
        </patternFill>
      </fill>
    </dxf>
    <dxf>
      <font>
        <b val="0"/>
        <condense val="0"/>
        <extend val="0"/>
        <color indexed="22"/>
      </font>
      <fill>
        <patternFill patternType="solid">
          <fgColor indexed="58"/>
          <bgColor indexed="8"/>
        </patternFill>
      </fill>
    </dxf>
    <dxf>
      <font>
        <b val="0"/>
        <condense val="0"/>
        <extend val="0"/>
        <color indexed="17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3"/>
      </font>
      <fill>
        <patternFill patternType="solid">
          <fgColor indexed="60"/>
          <bgColor indexed="10"/>
        </patternFill>
      </fill>
    </dxf>
    <dxf>
      <fill>
        <patternFill patternType="solid">
          <fgColor indexed="30"/>
          <bgColor indexed="48"/>
        </patternFill>
      </fill>
    </dxf>
    <dxf>
      <font>
        <b val="0"/>
        <condense val="0"/>
        <extend val="0"/>
        <color indexed="13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22"/>
      </font>
      <fill>
        <patternFill patternType="solid">
          <fgColor indexed="58"/>
          <bgColor indexed="8"/>
        </patternFill>
      </fill>
    </dxf>
    <dxf>
      <font>
        <b val="0"/>
        <condense val="0"/>
        <extend val="0"/>
        <color indexed="17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3"/>
      </font>
      <fill>
        <patternFill patternType="solid">
          <fgColor indexed="60"/>
          <bgColor indexed="10"/>
        </patternFill>
      </fill>
    </dxf>
    <dxf>
      <fill>
        <patternFill patternType="solid">
          <fgColor indexed="30"/>
          <bgColor indexed="48"/>
        </patternFill>
      </fill>
    </dxf>
    <dxf>
      <font>
        <b val="0"/>
        <condense val="0"/>
        <extend val="0"/>
        <color indexed="13"/>
      </font>
      <fill>
        <patternFill patternType="solid">
          <fgColor indexed="21"/>
          <bgColor indexed="17"/>
        </patternFill>
      </fill>
    </dxf>
    <dxf>
      <fill>
        <patternFill patternType="solid">
          <fgColor indexed="52"/>
          <bgColor indexed="53"/>
        </patternFill>
      </fill>
    </dxf>
    <dxf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color indexed="22"/>
      </font>
      <fill>
        <patternFill patternType="solid">
          <fgColor indexed="58"/>
          <bgColor indexed="8"/>
        </patternFill>
      </fill>
    </dxf>
    <dxf>
      <font>
        <b val="0"/>
        <condense val="0"/>
        <extend val="0"/>
        <color indexed="17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3"/>
      </font>
      <fill>
        <patternFill patternType="solid">
          <fgColor indexed="60"/>
          <bgColor indexed="10"/>
        </patternFill>
      </fill>
    </dxf>
    <dxf>
      <fill>
        <patternFill patternType="solid">
          <fgColor indexed="30"/>
          <bgColor indexed="48"/>
        </patternFill>
      </fill>
    </dxf>
    <dxf>
      <font>
        <b val="0"/>
        <condense val="0"/>
        <extend val="0"/>
        <color indexed="13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22"/>
      </font>
      <fill>
        <patternFill patternType="solid">
          <fgColor indexed="58"/>
          <bgColor indexed="8"/>
        </patternFill>
      </fill>
    </dxf>
    <dxf>
      <font>
        <b val="0"/>
        <condense val="0"/>
        <extend val="0"/>
        <color indexed="17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3"/>
      </font>
      <fill>
        <patternFill patternType="solid">
          <fgColor indexed="60"/>
          <bgColor indexed="10"/>
        </patternFill>
      </fill>
    </dxf>
    <dxf>
      <fill>
        <patternFill patternType="solid">
          <fgColor indexed="30"/>
          <bgColor indexed="48"/>
        </patternFill>
      </fill>
    </dxf>
    <dxf>
      <font>
        <b val="0"/>
        <condense val="0"/>
        <extend val="0"/>
        <color indexed="13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22"/>
      </font>
      <fill>
        <patternFill patternType="solid">
          <fgColor indexed="58"/>
          <bgColor indexed="8"/>
        </patternFill>
      </fill>
    </dxf>
    <dxf>
      <font>
        <b val="0"/>
        <condense val="0"/>
        <extend val="0"/>
        <color indexed="17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13"/>
      </font>
      <fill>
        <patternFill patternType="solid">
          <fgColor indexed="60"/>
          <bgColor indexed="10"/>
        </patternFill>
      </fill>
    </dxf>
    <dxf>
      <fill>
        <patternFill patternType="solid">
          <fgColor indexed="30"/>
          <bgColor indexed="48"/>
        </patternFill>
      </fill>
    </dxf>
    <dxf>
      <font>
        <b val="0"/>
        <condense val="0"/>
        <extend val="0"/>
        <color indexed="13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8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8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22"/>
      </font>
      <fill>
        <patternFill patternType="solid">
          <fgColor indexed="58"/>
          <bgColor indexed="8"/>
        </patternFill>
      </fill>
    </dxf>
    <dxf>
      <font>
        <b val="0"/>
        <condense val="0"/>
        <extend val="0"/>
        <color indexed="17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52"/>
          <bgColor indexed="53"/>
        </patternFill>
      </fill>
    </dxf>
    <dxf>
      <fill>
        <patternFill patternType="solid">
          <fgColor indexed="52"/>
          <bgColor indexed="53"/>
        </patternFill>
      </fill>
    </dxf>
    <dxf>
      <fill>
        <patternFill patternType="solid">
          <fgColor indexed="52"/>
          <bgColor indexed="53"/>
        </patternFill>
      </fill>
    </dxf>
    <dxf>
      <fill>
        <patternFill patternType="solid">
          <fgColor indexed="52"/>
          <bgColor indexed="53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3"/>
      </font>
      <fill>
        <patternFill patternType="solid">
          <fgColor indexed="60"/>
          <bgColor indexed="10"/>
        </patternFill>
      </fill>
    </dxf>
    <dxf>
      <fill>
        <patternFill patternType="solid">
          <fgColor indexed="30"/>
          <bgColor indexed="48"/>
        </patternFill>
      </fill>
    </dxf>
    <dxf>
      <font>
        <b val="0"/>
        <condense val="0"/>
        <extend val="0"/>
        <color indexed="13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8"/>
      </font>
    </dxf>
    <dxf>
      <font>
        <b val="0"/>
        <condense val="0"/>
        <extend val="0"/>
        <color indexed="47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8"/>
      </font>
    </dxf>
    <dxf>
      <font>
        <b val="0"/>
        <condense val="0"/>
        <extend val="0"/>
        <color indexed="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0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0"/>
          <bgColor indexed="48"/>
        </patternFill>
      </fill>
    </dxf>
    <dxf>
      <fill>
        <patternFill patternType="solid">
          <fgColor indexed="21"/>
          <bgColor indexed="57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none">
          <fgColor indexed="64"/>
          <bgColor indexed="65"/>
        </patternFill>
      </fill>
      <border>
        <left/>
        <right/>
        <top/>
        <bottom/>
      </border>
    </dxf>
    <dxf>
      <font>
        <b val="0"/>
        <condense val="0"/>
        <extend val="0"/>
        <color indexed="9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>
        <left/>
        <right/>
        <top/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52"/>
          <bgColor indexed="53"/>
        </patternFill>
      </fill>
    </dxf>
    <dxf>
      <fill>
        <patternFill patternType="solid">
          <fgColor indexed="52"/>
          <bgColor indexed="53"/>
        </patternFill>
      </fill>
    </dxf>
    <dxf>
      <fill>
        <patternFill patternType="solid">
          <fgColor indexed="52"/>
          <bgColor indexed="53"/>
        </patternFill>
      </fill>
    </dxf>
    <dxf>
      <fill>
        <patternFill patternType="solid">
          <fgColor indexed="52"/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41"/>
  <sheetViews>
    <sheetView tabSelected="1" zoomScale="115" zoomScaleNormal="115" zoomScaleSheetLayoutView="100" workbookViewId="0">
      <selection activeCell="AC83" sqref="AC83"/>
    </sheetView>
  </sheetViews>
  <sheetFormatPr defaultColWidth="9.109375" defaultRowHeight="13.2" outlineLevelRow="1" x14ac:dyDescent="0.25"/>
  <cols>
    <col min="1" max="1" width="5.88671875" style="1" customWidth="1"/>
    <col min="2" max="2" width="5.33203125" style="1" customWidth="1"/>
    <col min="3" max="3" width="11.33203125" style="1" customWidth="1"/>
    <col min="4" max="4" width="10.6640625" style="1" customWidth="1"/>
    <col min="5" max="5" width="15.6640625" style="1" customWidth="1"/>
    <col min="6" max="6" width="14.44140625" style="1" customWidth="1"/>
    <col min="7" max="7" width="1.6640625" style="1" customWidth="1"/>
    <col min="8" max="8" width="4.5546875" style="1" customWidth="1"/>
    <col min="9" max="10" width="5.6640625" style="1" customWidth="1"/>
    <col min="11" max="11" width="3.6640625" style="1" customWidth="1"/>
    <col min="12" max="12" width="5.6640625" style="1" customWidth="1"/>
    <col min="13" max="13" width="8.6640625" style="1" customWidth="1"/>
    <col min="14" max="16" width="3.6640625" style="1" customWidth="1"/>
    <col min="17" max="17" width="2.33203125" style="1" customWidth="1"/>
    <col min="18" max="18" width="3.6640625" style="1" customWidth="1"/>
    <col min="19" max="19" width="2.33203125" style="1" customWidth="1"/>
    <col min="20" max="20" width="3.6640625" style="1" customWidth="1"/>
    <col min="21" max="21" width="2.33203125" style="1" customWidth="1"/>
    <col min="22" max="22" width="3.6640625" style="1" customWidth="1"/>
    <col min="23" max="23" width="2.33203125" style="1" customWidth="1"/>
    <col min="24" max="24" width="3.6640625" style="1" customWidth="1"/>
    <col min="25" max="25" width="2.33203125" style="1" customWidth="1"/>
    <col min="26" max="26" width="3.6640625" style="1" customWidth="1"/>
    <col min="27" max="27" width="2.33203125" style="1" customWidth="1"/>
    <col min="28" max="28" width="7.5546875" style="1" customWidth="1"/>
    <col min="29" max="29" width="9.109375" style="1"/>
    <col min="30" max="32" width="9.109375" style="1" hidden="1" customWidth="1"/>
    <col min="33" max="33" width="9.33203125" style="1" hidden="1" customWidth="1"/>
    <col min="34" max="34" width="9.109375" style="1" hidden="1" customWidth="1"/>
    <col min="35" max="37" width="10.5546875" style="1" hidden="1" customWidth="1"/>
    <col min="38" max="54" width="9" style="1" hidden="1" customWidth="1"/>
    <col min="55" max="16384" width="9.109375" style="1"/>
  </cols>
  <sheetData>
    <row r="1" spans="1:41" ht="13.8" x14ac:dyDescent="0.3">
      <c r="A1" s="2" t="s">
        <v>0</v>
      </c>
    </row>
    <row r="2" spans="1:41" x14ac:dyDescent="0.25">
      <c r="A2" s="134" t="s">
        <v>1</v>
      </c>
      <c r="B2" s="134"/>
      <c r="C2" s="134"/>
      <c r="D2" s="134"/>
      <c r="E2" s="134"/>
      <c r="F2" s="134"/>
      <c r="G2" s="134"/>
      <c r="H2" s="134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</row>
    <row r="3" spans="1:41" x14ac:dyDescent="0.25">
      <c r="A3" s="136" t="s">
        <v>2</v>
      </c>
      <c r="B3" s="136"/>
      <c r="C3" s="136"/>
      <c r="D3" s="136"/>
      <c r="E3" s="136"/>
      <c r="F3" s="136"/>
      <c r="G3" s="136"/>
      <c r="H3" s="136"/>
      <c r="I3" s="137" t="s">
        <v>4</v>
      </c>
      <c r="J3" s="137"/>
      <c r="K3" s="137"/>
      <c r="L3" s="137"/>
      <c r="M3" s="137"/>
      <c r="N3" s="137"/>
      <c r="O3" s="137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I3" s="1" t="s">
        <v>4</v>
      </c>
      <c r="AJ3" s="3" t="s">
        <v>5</v>
      </c>
      <c r="AK3" s="3" t="s">
        <v>3</v>
      </c>
      <c r="AL3" s="3" t="s">
        <v>6</v>
      </c>
    </row>
    <row r="4" spans="1:41" x14ac:dyDescent="0.25">
      <c r="A4" s="136" t="str">
        <f>IF($I$3&lt;&gt;"Физическое лицо","Название фирмы плательщика (если различно с заказчиком)","ФИО плательщика (если различно с заказчиком)")</f>
        <v>Название фирмы плательщика (если различно с заказчиком)</v>
      </c>
      <c r="B4" s="136"/>
      <c r="C4" s="136"/>
      <c r="D4" s="136"/>
      <c r="E4" s="136"/>
      <c r="F4" s="136"/>
      <c r="G4" s="136"/>
      <c r="H4" s="136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</row>
    <row r="5" spans="1:41" x14ac:dyDescent="0.25">
      <c r="A5" s="136" t="str">
        <f>IF($I$3="Физическое лицо","Серия, номер паспорта. Кем и когда выдан",IF($I$3="Индивидуальный предприниматель","ИНН","ИНН/КПП"))</f>
        <v>ИНН/КПП</v>
      </c>
      <c r="B5" s="136"/>
      <c r="C5" s="136"/>
      <c r="D5" s="136"/>
      <c r="E5" s="136"/>
      <c r="F5" s="136"/>
      <c r="G5" s="136"/>
      <c r="H5" s="136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</row>
    <row r="6" spans="1:41" x14ac:dyDescent="0.25">
      <c r="A6" s="136" t="str">
        <f>IF(OR($I$3="Юридическое лицо",$I$3="Индивидуальный предприниматель",I$3="необходимо заполнить"),"Адрес (юридический)","")</f>
        <v>Адрес (юридический)</v>
      </c>
      <c r="B6" s="136"/>
      <c r="C6" s="136"/>
      <c r="D6" s="136"/>
      <c r="E6" s="136"/>
      <c r="F6" s="136"/>
      <c r="G6" s="136"/>
      <c r="H6" s="136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</row>
    <row r="7" spans="1:41" x14ac:dyDescent="0.25">
      <c r="A7" s="136" t="s">
        <v>7</v>
      </c>
      <c r="B7" s="136"/>
      <c r="C7" s="136"/>
      <c r="D7" s="136"/>
      <c r="E7" s="136"/>
      <c r="F7" s="136"/>
      <c r="G7" s="136"/>
      <c r="H7" s="136"/>
      <c r="I7" s="142" t="s">
        <v>8</v>
      </c>
      <c r="J7" s="142"/>
      <c r="K7" s="142"/>
      <c r="L7" s="142"/>
      <c r="M7" s="142"/>
      <c r="N7" s="142"/>
      <c r="O7" s="142"/>
      <c r="P7" s="143" t="str">
        <f>(IF(AND($I$7&lt;&gt;0,$I$7&lt;&gt;"необходимо заполнить"),IF($I$7="Факс","Номер факса","email"),""))</f>
        <v>email</v>
      </c>
      <c r="Q7" s="143"/>
      <c r="R7" s="143"/>
      <c r="S7" s="144"/>
      <c r="T7" s="144"/>
      <c r="U7" s="144"/>
      <c r="V7" s="144"/>
      <c r="W7" s="144"/>
      <c r="X7" s="144"/>
      <c r="Y7" s="144"/>
      <c r="Z7" s="144"/>
      <c r="AA7" s="144"/>
      <c r="AB7" s="144"/>
      <c r="AI7" s="1" t="s">
        <v>4</v>
      </c>
      <c r="AJ7" s="3" t="s">
        <v>8</v>
      </c>
      <c r="AK7" s="3" t="s">
        <v>9</v>
      </c>
    </row>
    <row r="8" spans="1:41" x14ac:dyDescent="0.25">
      <c r="A8" s="136" t="s">
        <v>10</v>
      </c>
      <c r="B8" s="136"/>
      <c r="C8" s="136"/>
      <c r="D8" s="136"/>
      <c r="E8" s="136"/>
      <c r="F8" s="136"/>
      <c r="G8" s="136"/>
      <c r="H8" s="136"/>
      <c r="I8" s="142" t="s">
        <v>4</v>
      </c>
      <c r="J8" s="142"/>
      <c r="K8" s="142"/>
      <c r="L8" s="142"/>
      <c r="M8" s="142"/>
      <c r="N8" s="142"/>
      <c r="O8" s="142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I8" s="1" t="s">
        <v>4</v>
      </c>
      <c r="AJ8" s="3" t="s">
        <v>12</v>
      </c>
      <c r="AK8" s="3" t="s">
        <v>13</v>
      </c>
      <c r="AL8" s="1" t="s">
        <v>11</v>
      </c>
      <c r="AM8" s="1" t="s">
        <v>14</v>
      </c>
    </row>
    <row r="9" spans="1:41" x14ac:dyDescent="0.25">
      <c r="A9" s="136" t="str">
        <f>IF($I$8&lt;&gt;"Самовывоз","Способ доставки","")</f>
        <v>Способ доставки</v>
      </c>
      <c r="B9" s="136"/>
      <c r="C9" s="136"/>
      <c r="D9" s="136"/>
      <c r="E9" s="136"/>
      <c r="F9" s="136"/>
      <c r="G9" s="136"/>
      <c r="H9" s="136"/>
      <c r="I9" s="145" t="s">
        <v>195</v>
      </c>
      <c r="J9" s="145"/>
      <c r="K9" s="145"/>
      <c r="L9" s="145"/>
      <c r="M9" s="145"/>
      <c r="N9" s="145"/>
      <c r="O9" s="145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I9" s="1" t="s">
        <v>4</v>
      </c>
      <c r="AJ9" s="3" t="str">
        <f>IF($I$8&lt;&gt;"Самовывоз","Автотрейдинг","")</f>
        <v>Автотрейдинг</v>
      </c>
      <c r="AK9" s="3" t="str">
        <f>IF($I$8&lt;&gt;"Самовывоз","Почта России","")</f>
        <v>Почта России</v>
      </c>
      <c r="AL9" s="3" t="str">
        <f>IF($I$8&lt;&gt;"Самовывоз","Экспресс доставка","")</f>
        <v>Экспресс доставка</v>
      </c>
      <c r="AM9" s="3" t="str">
        <f>IF($I$8&lt;&gt;"Самовывоз","Доставка в пределах МКАД (Москва)","")</f>
        <v>Доставка в пределах МКАД (Москва)</v>
      </c>
      <c r="AN9" s="3" t="str">
        <f>IF($I$8&lt;&gt;"Самовывоз","Доставка в пределах КАД (Питер)","")</f>
        <v>Доставка в пределах КАД (Питер)</v>
      </c>
      <c r="AO9" s="3"/>
    </row>
    <row r="10" spans="1:41" x14ac:dyDescent="0.25">
      <c r="A10" s="136" t="str">
        <f>IF($I$8&lt;&gt;"Самовывоз","Адрес доставки заказа, примечания по доставке","")</f>
        <v>Адрес доставки заказа, примечания по доставке</v>
      </c>
      <c r="B10" s="136"/>
      <c r="C10" s="136"/>
      <c r="D10" s="136"/>
      <c r="E10" s="136"/>
      <c r="F10" s="136"/>
      <c r="G10" s="136"/>
      <c r="H10" s="136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</row>
    <row r="11" spans="1:41" x14ac:dyDescent="0.25">
      <c r="A11" s="136"/>
      <c r="B11" s="136"/>
      <c r="C11" s="136"/>
      <c r="D11" s="136"/>
      <c r="E11" s="136"/>
      <c r="F11" s="136"/>
      <c r="G11" s="136"/>
      <c r="H11" s="136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41" x14ac:dyDescent="0.25">
      <c r="A12" s="136" t="str">
        <f>IF($I$8&lt;&gt;"Самовывоз","Контакт по доставке                               (ФИО, email, тел)","")</f>
        <v>Контакт по доставке                               (ФИО, email, тел)</v>
      </c>
      <c r="B12" s="136"/>
      <c r="C12" s="136"/>
      <c r="D12" s="136"/>
      <c r="E12" s="136"/>
      <c r="F12" s="136"/>
      <c r="G12" s="136"/>
      <c r="H12" s="13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</row>
    <row r="13" spans="1:41" x14ac:dyDescent="0.25">
      <c r="A13" s="136" t="s">
        <v>15</v>
      </c>
      <c r="B13" s="136"/>
      <c r="C13" s="136"/>
      <c r="D13" s="136"/>
      <c r="E13" s="136"/>
      <c r="F13" s="136"/>
      <c r="G13" s="136"/>
      <c r="H13" s="136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</row>
    <row r="14" spans="1:41" ht="14.25" customHeight="1" x14ac:dyDescent="0.3">
      <c r="A14" s="147" t="s">
        <v>16</v>
      </c>
      <c r="B14" s="147"/>
      <c r="C14" s="147"/>
      <c r="D14" s="147"/>
      <c r="E14" s="147"/>
      <c r="F14" s="147"/>
      <c r="G14" s="147"/>
      <c r="H14" s="147"/>
      <c r="I14" s="148" t="s">
        <v>17</v>
      </c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</row>
    <row r="15" spans="1:41" ht="12.75" customHeight="1" x14ac:dyDescent="0.25">
      <c r="A15" s="149" t="s">
        <v>18</v>
      </c>
      <c r="B15" s="149"/>
      <c r="C15" s="149"/>
      <c r="D15" s="149"/>
      <c r="E15" s="149"/>
      <c r="F15" s="149"/>
      <c r="G15" s="149"/>
      <c r="H15" s="149"/>
      <c r="I15" s="150"/>
      <c r="J15" s="150"/>
      <c r="K15" s="150"/>
      <c r="L15" s="150"/>
      <c r="M15" s="150"/>
      <c r="N15" s="150"/>
      <c r="O15" s="150"/>
      <c r="P15" s="151" t="str">
        <f>IF($I$17="Срочное производство",$AI$28,(IF($I$17="Сверхсрочное изготовление",$AN$28,(IF($I$17="Серийное производство",$AS$28,"")))))</f>
        <v xml:space="preserve">Срок производства ОПП и ДПП без маски — 2 рабочих дня, с маской — 3 дня. 
Срок производства многослойных печатных плат – 5-7 рабочих дней
1. Наличие электротестирования, иммерсионного золочения, нестандартной паяльной маски увеличивает срок изготовления на 1—2 рабочих дня. 
2. Дни приема и доставки заказа не учитываются. 
3. Изготовление плат по 5-му классу точности добавляет к сроку изготовления 1—2 рабочих дня.
Отдельно оплачивается:
• Иммерсионное золочение и иммерсионное сереберение
• Нестандартная (черная, красная, синяя или супербелая) защитная маска +1500 руб.
• Покрытие ламелей: Au — 0,30 руб./мм², Ni — 0,05 руб./мм².
• Проверка платы электротестовым оборудованием на КЗ и обрыв — 40 руб./дм².
• Изготовление и электротестирование 1 дм² плат с параметрами зазор и/или проводник менее 0,2 мм, и/или минимальное переходное отверстие менее 0,4 мм, коэффициент = 1,2.
• Изготовление и электротестирование 1 дм² ДПП с параметрами зазор и/или проводник менее 0,15 мм, и/или минимальное переходное отверстие менее 0,3 мм, коэффициент = 1,5.
</v>
      </c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</row>
    <row r="16" spans="1:41" ht="13.8" x14ac:dyDescent="0.3">
      <c r="A16" s="149" t="s">
        <v>19</v>
      </c>
      <c r="B16" s="149"/>
      <c r="C16" s="149"/>
      <c r="D16" s="149"/>
      <c r="E16" s="149"/>
      <c r="F16" s="149"/>
      <c r="G16" s="149"/>
      <c r="H16" s="149"/>
      <c r="I16" s="152" t="s">
        <v>20</v>
      </c>
      <c r="J16" s="152"/>
      <c r="K16" s="152"/>
      <c r="L16" s="152"/>
      <c r="M16" s="152"/>
      <c r="N16" s="152"/>
      <c r="O16" s="152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I16" s="5" t="s">
        <v>20</v>
      </c>
      <c r="AJ16" s="5" t="s">
        <v>21</v>
      </c>
      <c r="AK16" s="5" t="s">
        <v>22</v>
      </c>
      <c r="AL16" s="5" t="s">
        <v>23</v>
      </c>
    </row>
    <row r="17" spans="1:63" ht="13.8" x14ac:dyDescent="0.3">
      <c r="A17" s="149" t="s">
        <v>24</v>
      </c>
      <c r="B17" s="149"/>
      <c r="C17" s="149"/>
      <c r="D17" s="149"/>
      <c r="E17" s="149"/>
      <c r="F17" s="149"/>
      <c r="G17" s="149"/>
      <c r="H17" s="149"/>
      <c r="I17" s="152" t="s">
        <v>25</v>
      </c>
      <c r="J17" s="152"/>
      <c r="K17" s="152"/>
      <c r="L17" s="152"/>
      <c r="M17" s="152"/>
      <c r="N17" s="152"/>
      <c r="O17" s="152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I17" s="5" t="str">
        <f>IF($AG$19&lt;3,"Сверхсрочное изготовление","")</f>
        <v/>
      </c>
      <c r="AJ17" s="6" t="s">
        <v>25</v>
      </c>
      <c r="AK17" s="7" t="s">
        <v>26</v>
      </c>
      <c r="AL17" s="1" t="s">
        <v>27</v>
      </c>
    </row>
    <row r="18" spans="1:63" ht="12.75" customHeight="1" x14ac:dyDescent="0.3">
      <c r="A18" s="149" t="s">
        <v>28</v>
      </c>
      <c r="B18" s="149"/>
      <c r="C18" s="149"/>
      <c r="D18" s="149"/>
      <c r="E18" s="149"/>
      <c r="F18" s="149"/>
      <c r="G18" s="149"/>
      <c r="H18" s="149"/>
      <c r="I18" s="153"/>
      <c r="J18" s="153"/>
      <c r="K18" s="153"/>
      <c r="L18" s="153"/>
      <c r="M18" s="153"/>
      <c r="N18" s="153"/>
      <c r="O18" s="153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</row>
    <row r="19" spans="1:63" ht="12.75" customHeight="1" x14ac:dyDescent="0.3">
      <c r="A19" s="149" t="s">
        <v>29</v>
      </c>
      <c r="B19" s="149"/>
      <c r="C19" s="149"/>
      <c r="D19" s="149"/>
      <c r="E19" s="149"/>
      <c r="F19" s="149"/>
      <c r="G19" s="149"/>
      <c r="H19" s="149"/>
      <c r="I19" s="154">
        <v>4</v>
      </c>
      <c r="J19" s="154"/>
      <c r="K19" s="154"/>
      <c r="L19" s="154"/>
      <c r="M19" s="154"/>
      <c r="N19" s="154"/>
      <c r="O19" s="154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G19" s="1">
        <f>IF($I$19=10,10,(IF($I$19=8,8,(IF($I$19=6,6,(IF($I$19=4,4,IF($I$19=2,2,IF($I$19=1,1,0)))))))))</f>
        <v>4</v>
      </c>
      <c r="AI19" s="5" t="s">
        <v>4</v>
      </c>
      <c r="AJ19" s="1" t="s">
        <v>30</v>
      </c>
      <c r="AK19" s="1">
        <v>1</v>
      </c>
      <c r="AL19" s="1">
        <v>2</v>
      </c>
      <c r="AM19" s="1">
        <f>IF(Лист1!$I$17&lt;&gt;"Сверхсрочное изготовление",4,"")</f>
        <v>4</v>
      </c>
      <c r="AN19" s="1">
        <f>IF(Лист1!$I$17&lt;&gt;"Сверхсрочное изготовление",6,"")</f>
        <v>6</v>
      </c>
      <c r="AO19" s="1">
        <f>IF(Лист1!$I$17&lt;&gt;"Сверхсрочное изготовление",8,"")</f>
        <v>8</v>
      </c>
      <c r="AP19" s="1">
        <f>IF(Лист1!$I$17&lt;&gt;"Сверхсрочное изготовление",10,"")</f>
        <v>10</v>
      </c>
      <c r="AQ19" s="1" t="str">
        <f>IF(Лист1!$I$17&lt;&gt;"Сверхсрочное изготовление","многослойной согласно приложеннию","")</f>
        <v>многослойной согласно приложеннию</v>
      </c>
    </row>
    <row r="20" spans="1:63" ht="13.8" x14ac:dyDescent="0.3">
      <c r="A20" s="149" t="s">
        <v>31</v>
      </c>
      <c r="B20" s="149"/>
      <c r="C20" s="149"/>
      <c r="D20" s="149"/>
      <c r="E20" s="149"/>
      <c r="F20" s="149"/>
      <c r="G20" s="149"/>
      <c r="H20" s="149"/>
      <c r="I20" s="155" t="s">
        <v>32</v>
      </c>
      <c r="J20" s="155"/>
      <c r="K20" s="155"/>
      <c r="L20" s="155"/>
      <c r="M20" s="155"/>
      <c r="N20" s="155"/>
      <c r="O20" s="155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</row>
    <row r="21" spans="1:63" ht="13.8" x14ac:dyDescent="0.3">
      <c r="A21" s="149" t="s">
        <v>33</v>
      </c>
      <c r="B21" s="149"/>
      <c r="C21" s="149"/>
      <c r="D21" s="149"/>
      <c r="E21" s="149"/>
      <c r="F21" s="149"/>
      <c r="G21" s="149"/>
      <c r="H21" s="149"/>
      <c r="I21" s="154">
        <v>1.5</v>
      </c>
      <c r="J21" s="154"/>
      <c r="K21" s="154"/>
      <c r="L21" s="154"/>
      <c r="M21" s="154"/>
      <c r="N21" s="154"/>
      <c r="O21" s="154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</row>
    <row r="22" spans="1:63" ht="13.8" x14ac:dyDescent="0.3">
      <c r="A22" s="149" t="s">
        <v>34</v>
      </c>
      <c r="B22" s="149"/>
      <c r="C22" s="149"/>
      <c r="D22" s="149"/>
      <c r="E22" s="149"/>
      <c r="F22" s="149"/>
      <c r="G22" s="149"/>
      <c r="H22" s="149"/>
      <c r="I22" s="154">
        <v>18</v>
      </c>
      <c r="J22" s="154"/>
      <c r="K22" s="154"/>
      <c r="L22" s="154"/>
      <c r="M22" s="154"/>
      <c r="N22" s="154"/>
      <c r="O22" s="154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</row>
    <row r="23" spans="1:63" x14ac:dyDescent="0.25">
      <c r="A23" s="149" t="s">
        <v>35</v>
      </c>
      <c r="B23" s="149"/>
      <c r="C23" s="149"/>
      <c r="D23" s="149"/>
      <c r="E23" s="149"/>
      <c r="F23" s="149"/>
      <c r="G23" s="149"/>
      <c r="H23" s="149"/>
      <c r="I23" s="156" t="s">
        <v>36</v>
      </c>
      <c r="J23" s="156"/>
      <c r="K23" s="156"/>
      <c r="L23" s="156"/>
      <c r="M23" s="156"/>
      <c r="N23" s="156"/>
      <c r="O23" s="156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I23" s="8" t="s">
        <v>36</v>
      </c>
      <c r="AJ23" s="8" t="s">
        <v>37</v>
      </c>
      <c r="AK23" s="1" t="s">
        <v>38</v>
      </c>
      <c r="AL23" s="8" t="s">
        <v>39</v>
      </c>
      <c r="AM23" s="8" t="s">
        <v>40</v>
      </c>
    </row>
    <row r="24" spans="1:63" x14ac:dyDescent="0.25">
      <c r="A24" s="149" t="s">
        <v>41</v>
      </c>
      <c r="B24" s="149"/>
      <c r="C24" s="149"/>
      <c r="D24" s="149"/>
      <c r="E24" s="149"/>
      <c r="F24" s="149"/>
      <c r="G24" s="149"/>
      <c r="H24" s="149"/>
      <c r="I24" s="157" t="s">
        <v>42</v>
      </c>
      <c r="J24" s="157"/>
      <c r="K24" s="157"/>
      <c r="L24" s="158" t="s">
        <v>43</v>
      </c>
      <c r="M24" s="158"/>
      <c r="N24" s="158"/>
      <c r="O24" s="158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G24" s="1">
        <f>IF($I$24="маска с 2 сторон",3,(IF($I$24="маска сверху",2,(IF($I$24="маска снизу",1,(IF($I$24="без маски",0,0)))))))</f>
        <v>3</v>
      </c>
      <c r="AI24" s="9" t="s">
        <v>42</v>
      </c>
      <c r="AJ24" s="9" t="s">
        <v>44</v>
      </c>
      <c r="AK24" s="9" t="s">
        <v>45</v>
      </c>
      <c r="AL24" s="9" t="s">
        <v>46</v>
      </c>
      <c r="AR24" s="9" t="str">
        <f>IF(Лист1!$L$25="зеленого цвета","","зеленого(типового)цвета")</f>
        <v>зеленого(типового)цвета</v>
      </c>
      <c r="AS24" s="9" t="str">
        <f>IF(AND(Лист1!$I$25&lt;&gt;0,Лист1!$L$25="белого(типового)цвета"),"","белого цвета")</f>
        <v/>
      </c>
      <c r="AT24" s="9" t="s">
        <v>47</v>
      </c>
      <c r="AU24" s="9" t="s">
        <v>48</v>
      </c>
      <c r="AV24" s="9" t="s">
        <v>49</v>
      </c>
      <c r="AW24" s="9" t="s">
        <v>50</v>
      </c>
      <c r="AX24" s="9" t="s">
        <v>51</v>
      </c>
      <c r="AY24" s="9" t="s">
        <v>52</v>
      </c>
    </row>
    <row r="25" spans="1:63" x14ac:dyDescent="0.25">
      <c r="A25" s="149" t="s">
        <v>53</v>
      </c>
      <c r="B25" s="149"/>
      <c r="C25" s="149"/>
      <c r="D25" s="149"/>
      <c r="E25" s="149"/>
      <c r="F25" s="149"/>
      <c r="G25" s="149"/>
      <c r="H25" s="149"/>
      <c r="I25" s="159" t="s">
        <v>56</v>
      </c>
      <c r="J25" s="159"/>
      <c r="K25" s="159"/>
      <c r="L25" s="160" t="s">
        <v>55</v>
      </c>
      <c r="M25" s="160"/>
      <c r="N25" s="160"/>
      <c r="O25" s="160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G25" s="1">
        <f>IF($I$25="маркировка с 2 сторон",3,(IF($I$25="маркировка только сверху",2,(IF($I$25="маркировка только снизу",1,(IF($I$25="Маркировка отсутствует",0,0)))))))</f>
        <v>3</v>
      </c>
      <c r="AI25" s="9" t="s">
        <v>56</v>
      </c>
      <c r="AJ25" s="9" t="s">
        <v>54</v>
      </c>
      <c r="AK25" s="9" t="s">
        <v>57</v>
      </c>
      <c r="AL25" s="9" t="s">
        <v>58</v>
      </c>
      <c r="AR25" s="9" t="str">
        <f>IF(Лист1!$L$24="белого цвета","","белого(типового)цвета")</f>
        <v>белого(типового)цвета</v>
      </c>
      <c r="AS25" s="9" t="str">
        <f>IF(Лист1!$L$24="зеленого(типового)цвета","","зеленого цвета")</f>
        <v/>
      </c>
      <c r="AT25" s="9" t="str">
        <f>IF(Лист1!$I$17="Срочного производства","","синего цвета")</f>
        <v>синего цвета</v>
      </c>
      <c r="AU25" s="9" t="str">
        <f>IF(Лист1!$I$17="Срочного производства","","красного цвета")</f>
        <v>красного цвета</v>
      </c>
      <c r="AV25" s="9" t="str">
        <f>IF(Лист1!$I$17="Срочного производства","","желтого цвета")</f>
        <v>желтого цвета</v>
      </c>
      <c r="AW25" s="9" t="str">
        <f>IF(Лист1!$I$17="Срочного производства","","черного цвета")</f>
        <v>черного цвета</v>
      </c>
    </row>
    <row r="26" spans="1:63" ht="13.8" x14ac:dyDescent="0.3">
      <c r="A26" s="149" t="s">
        <v>59</v>
      </c>
      <c r="B26" s="149"/>
      <c r="C26" s="149"/>
      <c r="D26" s="149"/>
      <c r="E26" s="149"/>
      <c r="F26" s="149"/>
      <c r="G26" s="149"/>
      <c r="H26" s="149"/>
      <c r="I26" s="153" t="s">
        <v>60</v>
      </c>
      <c r="J26" s="153"/>
      <c r="K26" s="153"/>
      <c r="L26" s="153"/>
      <c r="M26" s="153"/>
      <c r="N26" s="153"/>
      <c r="O26" s="153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I26" s="1" t="s">
        <v>61</v>
      </c>
      <c r="AJ26" s="1" t="s">
        <v>60</v>
      </c>
    </row>
    <row r="27" spans="1:63" ht="21" x14ac:dyDescent="0.4">
      <c r="A27" s="161" t="s">
        <v>62</v>
      </c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BH27" s="9"/>
      <c r="BI27" s="9"/>
      <c r="BJ27" s="9"/>
      <c r="BK27" s="9"/>
    </row>
    <row r="28" spans="1:63" ht="12.75" customHeight="1" x14ac:dyDescent="0.25">
      <c r="A28" s="162"/>
      <c r="B28" s="162"/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  <c r="AA28" s="162"/>
      <c r="AB28" s="162"/>
      <c r="AI28" s="163" t="s">
        <v>63</v>
      </c>
      <c r="AJ28" s="163"/>
      <c r="AK28" s="163"/>
      <c r="AL28" s="163"/>
      <c r="AN28" s="164" t="s">
        <v>64</v>
      </c>
      <c r="AO28" s="164"/>
      <c r="AP28" s="164"/>
      <c r="AQ28" s="164"/>
      <c r="AR28" s="10"/>
      <c r="AS28" s="164" t="s">
        <v>65</v>
      </c>
      <c r="AT28" s="164"/>
      <c r="AU28" s="164"/>
      <c r="AV28" s="164"/>
      <c r="AX28" s="164" t="s">
        <v>66</v>
      </c>
      <c r="AY28" s="164"/>
      <c r="AZ28" s="164"/>
      <c r="BA28" s="164"/>
      <c r="BC28" s="164"/>
      <c r="BD28" s="164"/>
      <c r="BE28" s="164"/>
      <c r="BF28" s="164"/>
      <c r="BG28" s="11"/>
      <c r="BH28" s="12"/>
      <c r="BI28" s="12"/>
      <c r="BJ28" s="12"/>
      <c r="BK28" s="12"/>
    </row>
    <row r="29" spans="1:63" x14ac:dyDescent="0.25">
      <c r="A29" s="162"/>
      <c r="B29" s="162"/>
      <c r="C29" s="162"/>
      <c r="D29" s="162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B29" s="162"/>
      <c r="AI29" s="163"/>
      <c r="AJ29" s="163"/>
      <c r="AK29" s="163"/>
      <c r="AL29" s="163"/>
      <c r="AN29" s="164"/>
      <c r="AO29" s="164"/>
      <c r="AP29" s="164"/>
      <c r="AQ29" s="164"/>
      <c r="AR29" s="10"/>
      <c r="AS29" s="164"/>
      <c r="AT29" s="164"/>
      <c r="AU29" s="164"/>
      <c r="AV29" s="164"/>
      <c r="AX29" s="164"/>
      <c r="AY29" s="164"/>
      <c r="AZ29" s="164"/>
      <c r="BA29" s="164"/>
      <c r="BC29" s="164"/>
      <c r="BD29" s="164"/>
      <c r="BE29" s="164"/>
      <c r="BF29" s="164"/>
      <c r="BG29" s="11"/>
      <c r="BH29" s="12"/>
      <c r="BI29" s="12"/>
      <c r="BJ29" s="12"/>
      <c r="BK29" s="12"/>
    </row>
    <row r="30" spans="1:63" x14ac:dyDescent="0.25">
      <c r="A30" s="162"/>
      <c r="B30" s="162"/>
      <c r="C30" s="162"/>
      <c r="D30" s="162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2"/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  <c r="AA30" s="162"/>
      <c r="AB30" s="162"/>
      <c r="AI30" s="163"/>
      <c r="AJ30" s="163"/>
      <c r="AK30" s="163"/>
      <c r="AL30" s="163"/>
      <c r="AN30" s="164"/>
      <c r="AO30" s="164"/>
      <c r="AP30" s="164"/>
      <c r="AQ30" s="164"/>
      <c r="AR30" s="10"/>
      <c r="AS30" s="164"/>
      <c r="AT30" s="164"/>
      <c r="AU30" s="164"/>
      <c r="AV30" s="164"/>
      <c r="AX30" s="164"/>
      <c r="AY30" s="164"/>
      <c r="AZ30" s="164"/>
      <c r="BA30" s="164"/>
      <c r="BC30" s="164"/>
      <c r="BD30" s="164"/>
      <c r="BE30" s="164"/>
      <c r="BF30" s="164"/>
      <c r="BG30" s="11"/>
      <c r="BH30" s="12"/>
      <c r="BI30" s="12"/>
      <c r="BJ30" s="12"/>
      <c r="BK30" s="12"/>
    </row>
    <row r="31" spans="1:63" x14ac:dyDescent="0.25">
      <c r="A31" s="162"/>
      <c r="B31" s="162"/>
      <c r="C31" s="162"/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I31" s="163"/>
      <c r="AJ31" s="163"/>
      <c r="AK31" s="163"/>
      <c r="AL31" s="163"/>
      <c r="AN31" s="164"/>
      <c r="AO31" s="164"/>
      <c r="AP31" s="164"/>
      <c r="AQ31" s="164"/>
      <c r="AR31" s="10"/>
      <c r="AS31" s="164"/>
      <c r="AT31" s="164"/>
      <c r="AU31" s="164"/>
      <c r="AV31" s="164"/>
      <c r="AX31" s="164"/>
      <c r="AY31" s="164"/>
      <c r="AZ31" s="164"/>
      <c r="BA31" s="164"/>
      <c r="BC31" s="164"/>
      <c r="BD31" s="164"/>
      <c r="BE31" s="164"/>
      <c r="BF31" s="164"/>
      <c r="BG31" s="11"/>
      <c r="BH31" s="12"/>
      <c r="BI31" s="12"/>
      <c r="BJ31" s="12"/>
      <c r="BK31" s="12"/>
    </row>
    <row r="32" spans="1:63" x14ac:dyDescent="0.25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I32" s="163"/>
      <c r="AJ32" s="163"/>
      <c r="AK32" s="163"/>
      <c r="AL32" s="163"/>
      <c r="AN32" s="164"/>
      <c r="AO32" s="164"/>
      <c r="AP32" s="164"/>
      <c r="AQ32" s="164"/>
      <c r="AR32" s="10"/>
      <c r="AS32" s="164"/>
      <c r="AT32" s="164"/>
      <c r="AU32" s="164"/>
      <c r="AV32" s="164"/>
      <c r="AX32" s="164"/>
      <c r="AY32" s="164"/>
      <c r="AZ32" s="164"/>
      <c r="BA32" s="164"/>
      <c r="BC32" s="164"/>
      <c r="BD32" s="164"/>
      <c r="BE32" s="164"/>
      <c r="BF32" s="164"/>
      <c r="BG32" s="11"/>
      <c r="BH32" s="12"/>
      <c r="BI32" s="12"/>
      <c r="BJ32" s="12"/>
      <c r="BK32" s="12"/>
    </row>
    <row r="33" spans="1:63" x14ac:dyDescent="0.25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I33" s="163"/>
      <c r="AJ33" s="163"/>
      <c r="AK33" s="163"/>
      <c r="AL33" s="163"/>
      <c r="AN33" s="164"/>
      <c r="AO33" s="164"/>
      <c r="AP33" s="164"/>
      <c r="AQ33" s="164"/>
      <c r="AR33" s="10"/>
      <c r="AS33" s="164"/>
      <c r="AT33" s="164"/>
      <c r="AU33" s="164"/>
      <c r="AV33" s="164"/>
      <c r="AX33" s="164"/>
      <c r="AY33" s="164"/>
      <c r="AZ33" s="164"/>
      <c r="BA33" s="164"/>
      <c r="BC33" s="164"/>
      <c r="BD33" s="164"/>
      <c r="BE33" s="164"/>
      <c r="BF33" s="164"/>
      <c r="BG33" s="11"/>
      <c r="BH33" s="12"/>
      <c r="BI33" s="12"/>
      <c r="BJ33" s="12"/>
      <c r="BK33" s="12"/>
    </row>
    <row r="34" spans="1:63" x14ac:dyDescent="0.25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I34" s="163"/>
      <c r="AJ34" s="163"/>
      <c r="AK34" s="163"/>
      <c r="AL34" s="163"/>
      <c r="AN34" s="164"/>
      <c r="AO34" s="164"/>
      <c r="AP34" s="164"/>
      <c r="AQ34" s="164"/>
      <c r="AR34" s="10"/>
      <c r="AS34" s="164"/>
      <c r="AT34" s="164"/>
      <c r="AU34" s="164"/>
      <c r="AV34" s="164"/>
      <c r="AX34" s="164"/>
      <c r="AY34" s="164"/>
      <c r="AZ34" s="164"/>
      <c r="BA34" s="164"/>
      <c r="BC34" s="164"/>
      <c r="BD34" s="164"/>
      <c r="BE34" s="164"/>
      <c r="BF34" s="164"/>
      <c r="BG34" s="11"/>
      <c r="BH34" s="12"/>
      <c r="BI34" s="12"/>
      <c r="BJ34" s="12"/>
      <c r="BK34" s="12"/>
    </row>
    <row r="35" spans="1:63" ht="4.5" customHeight="1" x14ac:dyDescent="0.25">
      <c r="A35" s="165"/>
      <c r="B35" s="165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65"/>
      <c r="AA35" s="165"/>
      <c r="AB35" s="165"/>
      <c r="AI35" s="163"/>
      <c r="AJ35" s="163"/>
      <c r="AK35" s="163"/>
      <c r="AL35" s="163"/>
      <c r="AN35" s="164"/>
      <c r="AO35" s="164"/>
      <c r="AP35" s="164"/>
      <c r="AQ35" s="164"/>
      <c r="AR35" s="10"/>
      <c r="AS35" s="164"/>
      <c r="AT35" s="164"/>
      <c r="AU35" s="164"/>
      <c r="AV35" s="164"/>
      <c r="AX35" s="164"/>
      <c r="AY35" s="164"/>
      <c r="AZ35" s="164"/>
      <c r="BA35" s="164"/>
      <c r="BC35" s="164"/>
      <c r="BD35" s="164"/>
      <c r="BE35" s="164"/>
      <c r="BF35" s="164"/>
      <c r="BG35" s="11"/>
      <c r="BH35" s="12"/>
      <c r="BI35" s="12"/>
      <c r="BJ35" s="12"/>
      <c r="BK35" s="12"/>
    </row>
    <row r="36" spans="1:63" ht="13.8" x14ac:dyDescent="0.3">
      <c r="A36" s="166" t="s">
        <v>67</v>
      </c>
      <c r="B36" s="166"/>
      <c r="C36" s="166"/>
      <c r="D36" s="166"/>
      <c r="E36" s="166"/>
      <c r="F36" s="166"/>
      <c r="G36" s="13"/>
      <c r="H36" s="13"/>
      <c r="I36" s="167" t="s">
        <v>68</v>
      </c>
      <c r="J36" s="167"/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167"/>
      <c r="AA36" s="167"/>
      <c r="AB36" s="167"/>
      <c r="AI36" s="163"/>
      <c r="AJ36" s="163"/>
      <c r="AK36" s="163"/>
      <c r="AL36" s="163"/>
      <c r="AN36" s="164"/>
      <c r="AO36" s="164"/>
      <c r="AP36" s="164"/>
      <c r="AQ36" s="164"/>
      <c r="AR36" s="10"/>
      <c r="AS36" s="164"/>
      <c r="AT36" s="164"/>
      <c r="AU36" s="164"/>
      <c r="AV36" s="164"/>
      <c r="AX36" s="164"/>
      <c r="AY36" s="164"/>
      <c r="AZ36" s="164"/>
      <c r="BA36" s="164"/>
      <c r="BC36" s="164"/>
      <c r="BD36" s="164"/>
      <c r="BE36" s="164"/>
      <c r="BF36" s="164"/>
      <c r="BG36" s="11"/>
      <c r="BH36" s="12"/>
      <c r="BI36" s="12"/>
      <c r="BJ36" s="12"/>
      <c r="BK36" s="12"/>
    </row>
    <row r="37" spans="1:63" ht="14.4" outlineLevel="1" x14ac:dyDescent="0.3">
      <c r="A37" s="168"/>
      <c r="B37" s="168"/>
      <c r="C37" s="168"/>
      <c r="D37" s="169" t="s">
        <v>69</v>
      </c>
      <c r="E37" s="169"/>
      <c r="F37" s="169"/>
      <c r="G37" s="169"/>
      <c r="H37" s="169"/>
      <c r="I37" s="170" t="s">
        <v>70</v>
      </c>
      <c r="J37" s="170"/>
      <c r="K37" s="170"/>
      <c r="L37" s="171" t="s">
        <v>71</v>
      </c>
      <c r="M37" s="171"/>
      <c r="N37" s="172" t="s">
        <v>72</v>
      </c>
      <c r="O37" s="172"/>
      <c r="P37" s="172"/>
      <c r="Q37" s="172"/>
      <c r="R37" s="172"/>
      <c r="S37" s="172"/>
      <c r="T37" s="172"/>
      <c r="U37" s="172"/>
      <c r="V37" s="172"/>
      <c r="W37" s="172"/>
      <c r="X37" s="172"/>
      <c r="Y37" s="172"/>
      <c r="Z37" s="172"/>
      <c r="AA37" s="172"/>
      <c r="AB37" s="172"/>
      <c r="AC37" s="14"/>
      <c r="AD37" s="14"/>
      <c r="AE37" s="14"/>
      <c r="AI37" s="163"/>
      <c r="AJ37" s="163"/>
      <c r="AK37" s="163"/>
      <c r="AL37" s="163"/>
      <c r="AN37" s="164"/>
      <c r="AO37" s="164"/>
      <c r="AP37" s="164"/>
      <c r="AQ37" s="164"/>
      <c r="AR37" s="10"/>
      <c r="AS37" s="164"/>
      <c r="AT37" s="164"/>
      <c r="AU37" s="164"/>
      <c r="AV37" s="164"/>
      <c r="AX37" s="164"/>
      <c r="AY37" s="164"/>
      <c r="AZ37" s="164"/>
      <c r="BA37" s="164"/>
      <c r="BC37" s="164"/>
      <c r="BD37" s="164"/>
      <c r="BE37" s="164"/>
      <c r="BF37" s="164"/>
      <c r="BG37" s="11"/>
      <c r="BH37" s="12"/>
      <c r="BI37" s="12"/>
      <c r="BJ37" s="12"/>
      <c r="BK37" s="12"/>
    </row>
    <row r="38" spans="1:63" ht="11.1" customHeight="1" outlineLevel="1" x14ac:dyDescent="0.3">
      <c r="A38" s="173" t="s">
        <v>73</v>
      </c>
      <c r="B38" s="173"/>
      <c r="C38" s="173"/>
      <c r="D38" s="174" t="s">
        <v>212</v>
      </c>
      <c r="E38" s="174"/>
      <c r="F38" s="174"/>
      <c r="G38" s="174"/>
      <c r="H38" s="174"/>
      <c r="I38" s="175"/>
      <c r="J38" s="175"/>
      <c r="K38" s="175"/>
      <c r="L38" s="176"/>
      <c r="M38" s="176"/>
      <c r="N38" s="15"/>
      <c r="O38" s="16"/>
      <c r="P38" s="17"/>
      <c r="Q38" s="177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4"/>
      <c r="AD38" s="14"/>
      <c r="AE38" s="14"/>
      <c r="AI38" s="163"/>
      <c r="AJ38" s="163"/>
      <c r="AK38" s="163"/>
      <c r="AL38" s="163"/>
      <c r="AN38" s="164"/>
      <c r="AO38" s="164"/>
      <c r="AP38" s="164"/>
      <c r="AQ38" s="164"/>
      <c r="AR38" s="10"/>
      <c r="AS38" s="164"/>
      <c r="AT38" s="164"/>
      <c r="AU38" s="164"/>
      <c r="AV38" s="164"/>
      <c r="AX38" s="164"/>
      <c r="AY38" s="164"/>
      <c r="AZ38" s="164"/>
      <c r="BA38" s="164"/>
      <c r="BC38" s="164"/>
      <c r="BD38" s="164"/>
      <c r="BE38" s="164"/>
      <c r="BF38" s="164"/>
      <c r="BG38" s="11"/>
      <c r="BH38" s="12"/>
      <c r="BI38" s="12"/>
      <c r="BJ38" s="12"/>
      <c r="BK38" s="12"/>
    </row>
    <row r="39" spans="1:63" ht="11.1" customHeight="1" outlineLevel="1" x14ac:dyDescent="0.3">
      <c r="A39" s="178" t="s">
        <v>74</v>
      </c>
      <c r="B39" s="178"/>
      <c r="C39" s="178"/>
      <c r="D39" s="179" t="s">
        <v>213</v>
      </c>
      <c r="E39" s="179"/>
      <c r="F39" s="179"/>
      <c r="G39" s="179"/>
      <c r="H39" s="179"/>
      <c r="I39" s="180"/>
      <c r="J39" s="180"/>
      <c r="K39" s="180"/>
      <c r="L39" s="181"/>
      <c r="M39" s="181"/>
      <c r="N39" s="182" t="s">
        <v>75</v>
      </c>
      <c r="O39" s="18"/>
      <c r="P39" s="182" t="s">
        <v>76</v>
      </c>
      <c r="Q39" s="18"/>
      <c r="R39" s="19"/>
      <c r="S39" s="18"/>
      <c r="T39" s="19"/>
      <c r="U39" s="18"/>
      <c r="V39" s="19"/>
      <c r="W39" s="18"/>
      <c r="X39" s="18"/>
      <c r="Y39" s="19"/>
      <c r="Z39" s="20"/>
      <c r="AA39" s="21"/>
      <c r="AB39" s="22"/>
      <c r="AI39" s="163"/>
      <c r="AJ39" s="163"/>
      <c r="AK39" s="163"/>
      <c r="AL39" s="163"/>
      <c r="AN39" s="164"/>
      <c r="AO39" s="164"/>
      <c r="AP39" s="164"/>
      <c r="AQ39" s="164"/>
      <c r="AR39" s="10"/>
      <c r="AS39" s="164"/>
      <c r="AT39" s="164"/>
      <c r="AU39" s="164"/>
      <c r="AV39" s="164"/>
      <c r="AX39" s="164"/>
      <c r="AY39" s="164"/>
      <c r="AZ39" s="164"/>
      <c r="BA39" s="164"/>
      <c r="BC39" s="164"/>
      <c r="BD39" s="164"/>
      <c r="BE39" s="164"/>
      <c r="BF39" s="164"/>
      <c r="BG39" s="11"/>
      <c r="BH39" s="12"/>
      <c r="BI39" s="12"/>
      <c r="BJ39" s="12"/>
      <c r="BK39" s="12"/>
    </row>
    <row r="40" spans="1:63" ht="11.1" customHeight="1" outlineLevel="1" x14ac:dyDescent="0.3">
      <c r="A40" s="178" t="s">
        <v>77</v>
      </c>
      <c r="B40" s="178"/>
      <c r="C40" s="178"/>
      <c r="D40" s="183" t="s">
        <v>214</v>
      </c>
      <c r="E40" s="183"/>
      <c r="F40" s="183"/>
      <c r="G40" s="183"/>
      <c r="H40" s="183"/>
      <c r="I40" s="184"/>
      <c r="J40" s="184"/>
      <c r="K40" s="184"/>
      <c r="L40" s="185"/>
      <c r="M40" s="185"/>
      <c r="N40" s="182"/>
      <c r="O40" s="23"/>
      <c r="P40" s="182"/>
      <c r="Q40" s="23"/>
      <c r="R40" s="18"/>
      <c r="S40" s="23"/>
      <c r="T40" s="18"/>
      <c r="U40" s="23"/>
      <c r="V40" s="18"/>
      <c r="W40" s="23"/>
      <c r="X40" s="23"/>
      <c r="Y40" s="23"/>
      <c r="Z40" s="23"/>
      <c r="AA40" s="23"/>
      <c r="AB40" s="24"/>
      <c r="AI40" s="163"/>
      <c r="AJ40" s="163"/>
      <c r="AK40" s="163"/>
      <c r="AL40" s="163"/>
      <c r="AN40" s="164"/>
      <c r="AO40" s="164"/>
      <c r="AP40" s="164"/>
      <c r="AQ40" s="164"/>
      <c r="AR40" s="10"/>
      <c r="AS40" s="164"/>
      <c r="AT40" s="164"/>
      <c r="AU40" s="164"/>
      <c r="AV40" s="164"/>
      <c r="AX40" s="164"/>
      <c r="AY40" s="164"/>
      <c r="AZ40" s="164"/>
      <c r="BA40" s="164"/>
      <c r="BC40" s="164"/>
      <c r="BD40" s="164"/>
      <c r="BE40" s="164"/>
      <c r="BF40" s="164"/>
      <c r="BG40" s="11"/>
      <c r="BH40" s="12"/>
      <c r="BI40" s="12"/>
      <c r="BJ40" s="12"/>
      <c r="BK40" s="12"/>
    </row>
    <row r="41" spans="1:63" ht="11.1" customHeight="1" outlineLevel="1" x14ac:dyDescent="0.3">
      <c r="A41" s="173" t="s">
        <v>78</v>
      </c>
      <c r="B41" s="173"/>
      <c r="C41" s="173"/>
      <c r="D41" s="186" t="s">
        <v>215</v>
      </c>
      <c r="E41" s="186"/>
      <c r="F41" s="186"/>
      <c r="G41" s="186"/>
      <c r="H41" s="186"/>
      <c r="I41" s="187" t="str">
        <f>IF(AND($I$22=18,$I$21&gt;=0.1,$I$21&lt;=3,_all3="FR4 типовой"),(INDEX(Лист4!$I$1:$AG$421,x+3,y)),IF(AND($I$22=35,$I$21&gt;=0.1,$I$21&lt;=3,_all3="FR4 типовой"),(INDEX(Лист4!$I$1:$AG$421,x+29,y)),IF($I$19&lt;3,INDEX(Лист4!$I$1:$AG$421,x+3,y),"")))</f>
        <v>фольга 18мкм</v>
      </c>
      <c r="J41" s="187"/>
      <c r="K41" s="187"/>
      <c r="L41" s="188"/>
      <c r="M41" s="188"/>
      <c r="N41" s="182"/>
      <c r="O41" s="25"/>
      <c r="P41" s="182"/>
      <c r="Q41" s="25"/>
      <c r="R41" s="18"/>
      <c r="S41" s="25"/>
      <c r="T41" s="18"/>
      <c r="U41" s="25"/>
      <c r="V41" s="18"/>
      <c r="W41" s="25"/>
      <c r="X41" s="25"/>
      <c r="Y41" s="25"/>
      <c r="Z41" s="25"/>
      <c r="AA41" s="25"/>
      <c r="AB41" s="26"/>
      <c r="AI41" s="163"/>
      <c r="AJ41" s="163"/>
      <c r="AK41" s="163"/>
      <c r="AL41" s="163"/>
      <c r="AN41" s="164"/>
      <c r="AO41" s="164"/>
      <c r="AP41" s="164"/>
      <c r="AQ41" s="164"/>
      <c r="AR41" s="10"/>
      <c r="AS41" s="164"/>
      <c r="AT41" s="164"/>
      <c r="AU41" s="164"/>
      <c r="AV41" s="164"/>
      <c r="AX41" s="164"/>
      <c r="AY41" s="164"/>
      <c r="AZ41" s="164"/>
      <c r="BA41" s="164"/>
      <c r="BC41" s="164"/>
      <c r="BD41" s="164"/>
      <c r="BE41" s="164"/>
      <c r="BF41" s="164"/>
      <c r="BG41" s="11"/>
      <c r="BH41" s="12"/>
      <c r="BI41" s="12"/>
      <c r="BJ41" s="12"/>
      <c r="BK41" s="12"/>
    </row>
    <row r="42" spans="1:63" ht="11.1" customHeight="1" outlineLevel="1" x14ac:dyDescent="0.3">
      <c r="A42" s="173"/>
      <c r="B42" s="173"/>
      <c r="C42" s="173"/>
      <c r="D42" s="189"/>
      <c r="E42" s="189"/>
      <c r="F42" s="189"/>
      <c r="G42" s="189"/>
      <c r="H42" s="189"/>
      <c r="I42" s="190">
        <f>IF(AND($I$22=18,$I$21&gt;=0.1,$I$21&lt;=3,_all3="FR4 типовой"),(INDEX(Лист4!$I$1:$AG$421,x+4,y)),IF(AND($I$22=35,$I$21&gt;=0.1,$I$21&lt;=3,_all3="FR4 типовой"),(INDEX(Лист4!$I$1:$AG$421,x+30,y)),IF($I$19&lt;3,INDEX(Лист4!$I$1:$AG$421,x+4,y),"")))</f>
        <v>0</v>
      </c>
      <c r="J42" s="190"/>
      <c r="K42" s="190"/>
      <c r="L42" s="191"/>
      <c r="M42" s="191"/>
      <c r="N42" s="182"/>
      <c r="O42" s="27"/>
      <c r="P42" s="182"/>
      <c r="Q42" s="27"/>
      <c r="R42" s="18"/>
      <c r="S42" s="27"/>
      <c r="T42" s="18"/>
      <c r="U42" s="27"/>
      <c r="V42" s="18"/>
      <c r="W42" s="27"/>
      <c r="X42" s="27"/>
      <c r="Y42" s="28"/>
      <c r="Z42" s="27"/>
      <c r="AA42" s="28"/>
      <c r="AB42" s="29"/>
      <c r="AI42" s="163"/>
      <c r="AJ42" s="163"/>
      <c r="AK42" s="163"/>
      <c r="AL42" s="163"/>
      <c r="AN42" s="164"/>
      <c r="AO42" s="164"/>
      <c r="AP42" s="164"/>
      <c r="AQ42" s="164"/>
      <c r="AR42" s="10"/>
      <c r="AS42" s="164"/>
      <c r="AT42" s="164"/>
      <c r="AU42" s="164"/>
      <c r="AV42" s="164"/>
      <c r="AX42" s="164"/>
      <c r="AY42" s="164"/>
      <c r="AZ42" s="164"/>
      <c r="BA42" s="164"/>
      <c r="BC42" s="164"/>
      <c r="BD42" s="164"/>
      <c r="BE42" s="164"/>
      <c r="BF42" s="164"/>
      <c r="BG42" s="11"/>
      <c r="BH42" s="12"/>
      <c r="BI42" s="12"/>
      <c r="BJ42" s="12"/>
      <c r="BK42" s="12"/>
    </row>
    <row r="43" spans="1:63" ht="11.1" customHeight="1" outlineLevel="1" x14ac:dyDescent="0.3">
      <c r="A43" s="173" t="s">
        <v>79</v>
      </c>
      <c r="B43" s="173"/>
      <c r="C43" s="173"/>
      <c r="D43" s="192"/>
      <c r="E43" s="192"/>
      <c r="F43" s="192"/>
      <c r="G43" s="192"/>
      <c r="H43" s="192"/>
      <c r="I43" s="190">
        <f>IF(AND($I$22=18,$I$21&gt;=0.1,$I$21&lt;=3,_all3="FR4 типовой"),(INDEX(Лист4!$I$1:$AG$421,x+5,y)),IF(AND($I$22=35,$I$21&gt;=0.1,$I$21&lt;=3,_all3="FR4 типовой"),(INDEX(Лист4!$I$1:$AG$421,x+31,y)),IF($I$19&lt;3,INDEX(Лист4!$I$1:$AG$421,x+5,y),"")))</f>
        <v>0</v>
      </c>
      <c r="J43" s="190"/>
      <c r="K43" s="190"/>
      <c r="L43" s="191"/>
      <c r="M43" s="191"/>
      <c r="N43" s="182"/>
      <c r="O43" s="27"/>
      <c r="P43" s="182"/>
      <c r="Q43" s="27"/>
      <c r="R43" s="18"/>
      <c r="S43" s="27"/>
      <c r="T43" s="18"/>
      <c r="U43" s="27"/>
      <c r="V43" s="18"/>
      <c r="W43" s="27"/>
      <c r="X43" s="27"/>
      <c r="Y43" s="27"/>
      <c r="Z43" s="27"/>
      <c r="AA43" s="27"/>
      <c r="AB43" s="29"/>
      <c r="AI43" s="163"/>
      <c r="AJ43" s="163"/>
      <c r="AK43" s="163"/>
      <c r="AL43" s="163"/>
      <c r="AN43" s="164"/>
      <c r="AO43" s="164"/>
      <c r="AP43" s="164"/>
      <c r="AQ43" s="164"/>
      <c r="AR43" s="10"/>
      <c r="AS43" s="164"/>
      <c r="AT43" s="164"/>
      <c r="AU43" s="164"/>
      <c r="AV43" s="164"/>
      <c r="AX43" s="164"/>
      <c r="AY43" s="164"/>
      <c r="AZ43" s="164"/>
      <c r="BA43" s="164"/>
      <c r="BC43" s="164"/>
      <c r="BD43" s="164"/>
      <c r="BE43" s="164"/>
      <c r="BF43" s="164"/>
      <c r="BG43" s="11"/>
      <c r="BH43" s="12"/>
      <c r="BI43" s="12"/>
      <c r="BJ43" s="12"/>
      <c r="BK43" s="12"/>
    </row>
    <row r="44" spans="1:63" ht="11.1" customHeight="1" outlineLevel="1" x14ac:dyDescent="0.3">
      <c r="A44" s="173"/>
      <c r="B44" s="173"/>
      <c r="C44" s="173"/>
      <c r="D44" s="193"/>
      <c r="E44" s="193"/>
      <c r="F44" s="193"/>
      <c r="G44" s="193"/>
      <c r="H44" s="193"/>
      <c r="I44" s="190" t="str">
        <f>IF(AND($I$22=18,$I$21&gt;=0.1,$I$21&lt;=3,_all3="FR4 типовой"),(INDEX(Лист4!$I$1:$AG$421,x+6,y)),IF(AND($I$22=35,$I$21&gt;=0.1,$I$21&lt;=3,_all3="FR4 типовой"),(INDEX(Лист4!$I$1:$AG$421,x+32,y)),IF($I$19&lt;3,INDEX(Лист4!$I$1:$AG$421,x+6,y),"")))</f>
        <v>препрег 0,3мм</v>
      </c>
      <c r="J44" s="190"/>
      <c r="K44" s="190"/>
      <c r="L44" s="191"/>
      <c r="M44" s="191"/>
      <c r="N44" s="182"/>
      <c r="O44" s="27"/>
      <c r="P44" s="182"/>
      <c r="Q44" s="27"/>
      <c r="R44" s="18"/>
      <c r="S44" s="27"/>
      <c r="T44" s="18"/>
      <c r="U44" s="27"/>
      <c r="V44" s="18"/>
      <c r="W44" s="27"/>
      <c r="X44" s="27"/>
      <c r="Y44" s="28"/>
      <c r="Z44" s="27"/>
      <c r="AA44" s="28"/>
      <c r="AB44" s="29"/>
      <c r="BH44" s="9"/>
      <c r="BI44" s="9"/>
      <c r="BJ44" s="9"/>
      <c r="BK44" s="9"/>
    </row>
    <row r="45" spans="1:63" ht="11.1" customHeight="1" outlineLevel="1" x14ac:dyDescent="0.3">
      <c r="A45" s="173" t="s">
        <v>79</v>
      </c>
      <c r="B45" s="173"/>
      <c r="C45" s="173"/>
      <c r="D45" s="194"/>
      <c r="E45" s="194"/>
      <c r="F45" s="194"/>
      <c r="G45" s="194"/>
      <c r="H45" s="194"/>
      <c r="I45" s="190">
        <f>IF(AND($I$22=18,$I$21&gt;=0.1,$I$21&lt;=3,_all3="FR4 типовой"),(INDEX(Лист4!$I$1:$AG$421,x+7,y)),IF(AND($I$22=35,$I$21&gt;=0.1,$I$21&lt;=3,_all3="FR4 типовой"),(INDEX(Лист4!$I$1:$AG$421,x+33,y)),IF($I$19&lt;3,INDEX(Лист4!$I$1:$AG$421,x+7,y),"")))</f>
        <v>0</v>
      </c>
      <c r="J45" s="190"/>
      <c r="K45" s="190"/>
      <c r="L45" s="191"/>
      <c r="M45" s="191"/>
      <c r="N45" s="182"/>
      <c r="O45" s="27"/>
      <c r="P45" s="182"/>
      <c r="Q45" s="27"/>
      <c r="R45" s="18"/>
      <c r="S45" s="27"/>
      <c r="T45" s="18"/>
      <c r="U45" s="27"/>
      <c r="V45" s="18"/>
      <c r="W45" s="27"/>
      <c r="X45" s="27"/>
      <c r="Y45" s="27"/>
      <c r="Z45" s="27"/>
      <c r="AA45" s="27"/>
      <c r="AB45" s="29"/>
    </row>
    <row r="46" spans="1:63" ht="11.1" customHeight="1" outlineLevel="1" x14ac:dyDescent="0.3">
      <c r="A46" s="173"/>
      <c r="B46" s="173"/>
      <c r="C46" s="173"/>
      <c r="D46" s="193"/>
      <c r="E46" s="193"/>
      <c r="F46" s="193"/>
      <c r="G46" s="193"/>
      <c r="H46" s="193"/>
      <c r="I46" s="190">
        <f>IF(AND($I$22=18,$I$21&gt;=0.1,$I$21&lt;=3,_all3="FR4 типовой"),(INDEX(Лист4!$I$1:$AG$421,x+8,y)),IF(AND($I$22=35,$I$21&gt;=0.1,$I$21&lt;=3,_all3="FR4 типовой"),(INDEX(Лист4!$I$1:$AG$421,x+34,y)),IF($I$19&lt;3,INDEX(Лист4!$I$1:$AG$421,x+8,y),"")))</f>
        <v>0</v>
      </c>
      <c r="J46" s="190"/>
      <c r="K46" s="190"/>
      <c r="L46" s="191"/>
      <c r="M46" s="191"/>
      <c r="N46" s="182"/>
      <c r="O46" s="27"/>
      <c r="P46" s="182"/>
      <c r="Q46" s="27"/>
      <c r="R46" s="18"/>
      <c r="S46" s="27"/>
      <c r="T46" s="18"/>
      <c r="U46" s="27"/>
      <c r="V46" s="18"/>
      <c r="W46" s="27"/>
      <c r="X46" s="27"/>
      <c r="Y46" s="28"/>
      <c r="Z46" s="27"/>
      <c r="AA46" s="28"/>
      <c r="AB46" s="29"/>
    </row>
    <row r="47" spans="1:63" ht="11.1" customHeight="1" outlineLevel="1" x14ac:dyDescent="0.3">
      <c r="A47" s="173" t="s">
        <v>79</v>
      </c>
      <c r="B47" s="173"/>
      <c r="C47" s="173"/>
      <c r="D47" s="189"/>
      <c r="E47" s="189"/>
      <c r="F47" s="189"/>
      <c r="G47" s="189"/>
      <c r="H47" s="189"/>
      <c r="I47" s="190">
        <f>IF(AND($I$22=18,$I$21&gt;=0.1,$I$21&lt;=3,_all3="FR4 типовой"),(INDEX(Лист4!$I$1:$AG$421,x+9,y)),IF(AND($I$22=35,$I$21&gt;=0.1,$I$21&lt;=3,_all3="FR4 типовой"),(INDEX(Лист4!$I$1:$AG$421,x+35,y)),IF($I$19&lt;3,INDEX(Лист4!$I$1:$AG$421,x+9,y),"")))</f>
        <v>0</v>
      </c>
      <c r="J47" s="190"/>
      <c r="K47" s="190"/>
      <c r="L47" s="191"/>
      <c r="M47" s="191"/>
      <c r="N47" s="182"/>
      <c r="O47" s="27"/>
      <c r="P47" s="182"/>
      <c r="Q47" s="27"/>
      <c r="R47" s="18"/>
      <c r="S47" s="27"/>
      <c r="T47" s="18"/>
      <c r="U47" s="27"/>
      <c r="V47" s="18"/>
      <c r="W47" s="27"/>
      <c r="X47" s="27"/>
      <c r="Y47" s="27"/>
      <c r="Z47" s="27"/>
      <c r="AA47" s="27"/>
      <c r="AB47" s="29"/>
    </row>
    <row r="48" spans="1:63" ht="11.1" customHeight="1" outlineLevel="1" x14ac:dyDescent="0.3">
      <c r="A48" s="173"/>
      <c r="B48" s="173"/>
      <c r="C48" s="173"/>
      <c r="D48" s="193"/>
      <c r="E48" s="193"/>
      <c r="F48" s="193"/>
      <c r="G48" s="193"/>
      <c r="H48" s="193"/>
      <c r="I48" s="190">
        <f>IF(AND($I$22=18,$I$21&gt;=0.1,$I$21&lt;=3,_all3="FR4 типовой"),(INDEX(Лист4!$I$1:$AG$421,x+10,y)),IF(AND($I$22=35,$I$21&gt;=0.1,$I$21&lt;=3,_all3="FR4 типовой"),(INDEX(Лист4!$I$1:$AG$421,x+36,y)),IF($I$19&lt;3,INDEX(Лист4!$I$1:$AG$421,x+10,y),"")))</f>
        <v>0</v>
      </c>
      <c r="J48" s="190"/>
      <c r="K48" s="190"/>
      <c r="L48" s="191"/>
      <c r="M48" s="191"/>
      <c r="N48" s="182"/>
      <c r="O48" s="27"/>
      <c r="P48" s="182"/>
      <c r="Q48" s="27"/>
      <c r="R48" s="18"/>
      <c r="S48" s="27"/>
      <c r="T48" s="18"/>
      <c r="U48" s="27"/>
      <c r="V48" s="18"/>
      <c r="W48" s="27"/>
      <c r="X48" s="27"/>
      <c r="Y48" s="28"/>
      <c r="Z48" s="27"/>
      <c r="AA48" s="28"/>
      <c r="AB48" s="29"/>
    </row>
    <row r="49" spans="1:28" ht="11.1" customHeight="1" outlineLevel="1" x14ac:dyDescent="0.3">
      <c r="A49" s="173" t="s">
        <v>79</v>
      </c>
      <c r="B49" s="173"/>
      <c r="C49" s="173"/>
      <c r="D49" s="189" t="s">
        <v>216</v>
      </c>
      <c r="E49" s="189"/>
      <c r="F49" s="189"/>
      <c r="G49" s="189"/>
      <c r="H49" s="189"/>
      <c r="I49" s="190" t="str">
        <f>IF(AND($I$22=18,$I$21&gt;=0.1,$I$21&lt;=3,_all3="FR4 типовой"),(INDEX(Лист4!$I$1:$AG$421,x+11,y)),IF(AND($I$22=35,$I$21&gt;=0.1,$I$21&lt;=3,_all3="FR4 типовой"),(INDEX(Лист4!$I$1:$AG$421,x+37,y)),IF($I$19&lt;3,INDEX(Лист4!$I$1:$AG$421,x+11,y),"")))</f>
        <v>фольга 18мкм</v>
      </c>
      <c r="J49" s="190"/>
      <c r="K49" s="190"/>
      <c r="L49" s="191"/>
      <c r="M49" s="191"/>
      <c r="N49" s="182"/>
      <c r="O49" s="27"/>
      <c r="P49" s="182"/>
      <c r="Q49" s="27"/>
      <c r="R49" s="18"/>
      <c r="S49" s="27"/>
      <c r="T49" s="18"/>
      <c r="U49" s="27"/>
      <c r="V49" s="18"/>
      <c r="W49" s="27"/>
      <c r="X49" s="27"/>
      <c r="Y49" s="27"/>
      <c r="Z49" s="27"/>
      <c r="AA49" s="27"/>
      <c r="AB49" s="29"/>
    </row>
    <row r="50" spans="1:28" ht="11.1" customHeight="1" outlineLevel="1" x14ac:dyDescent="0.3">
      <c r="A50" s="173"/>
      <c r="B50" s="173"/>
      <c r="C50" s="173"/>
      <c r="D50" s="189"/>
      <c r="E50" s="189"/>
      <c r="F50" s="189"/>
      <c r="G50" s="189"/>
      <c r="H50" s="189"/>
      <c r="I50" s="190" t="str">
        <f>IF(AND($I$22=18,$I$21&gt;=0.1,$I$21&lt;=3,_all3="FR4 типовой"),(INDEX(Лист4!$I$1:$AG$421,x+12,y)),IF(AND($I$22=35,$I$21&gt;=0.1,$I$21&lt;=3,_all3="FR4 типовой"),(INDEX(Лист4!$I$1:$AG$421,x+38,y)),IF($I$19&lt;3,INDEX(Лист4!$I$1:$AG$421,x+12,y),"")))</f>
        <v>FR4 0,7мм</v>
      </c>
      <c r="J50" s="190"/>
      <c r="K50" s="190"/>
      <c r="L50" s="191"/>
      <c r="M50" s="191"/>
      <c r="N50" s="182"/>
      <c r="O50" s="27"/>
      <c r="P50" s="182"/>
      <c r="Q50" s="27"/>
      <c r="R50" s="18"/>
      <c r="S50" s="27"/>
      <c r="T50" s="18"/>
      <c r="U50" s="27"/>
      <c r="V50" s="18"/>
      <c r="W50" s="27"/>
      <c r="X50" s="27"/>
      <c r="Y50" s="28"/>
      <c r="Z50" s="27"/>
      <c r="AA50" s="28"/>
      <c r="AB50" s="29"/>
    </row>
    <row r="51" spans="1:28" ht="11.1" customHeight="1" outlineLevel="1" x14ac:dyDescent="0.3">
      <c r="A51" s="173" t="s">
        <v>79</v>
      </c>
      <c r="B51" s="173"/>
      <c r="C51" s="173"/>
      <c r="D51" s="189" t="s">
        <v>217</v>
      </c>
      <c r="E51" s="189"/>
      <c r="F51" s="189"/>
      <c r="G51" s="189"/>
      <c r="H51" s="189"/>
      <c r="I51" s="190" t="str">
        <f>IF(AND($I$22=18,$I$21&gt;=0.1,$I$21&lt;=3,_all3="FR4 типовой"),(INDEX(Лист4!$I$1:$AG$421,x+13,y)),IF(AND($I$22=35,$I$21&gt;=0.1,$I$21&lt;=3,_all3="FR4 типовой"),(INDEX(Лист4!$I$1:$AG$421,x+39,y)),IF($I$19&lt;3,INDEX(Лист4!$I$1:$AG$421,x+13,y),"")))</f>
        <v>фольга 18мкм</v>
      </c>
      <c r="J51" s="190"/>
      <c r="K51" s="190"/>
      <c r="L51" s="191"/>
      <c r="M51" s="191"/>
      <c r="N51" s="182"/>
      <c r="O51" s="27"/>
      <c r="P51" s="182"/>
      <c r="Q51" s="27"/>
      <c r="R51" s="18"/>
      <c r="S51" s="27"/>
      <c r="T51" s="18"/>
      <c r="U51" s="27"/>
      <c r="V51" s="18"/>
      <c r="W51" s="27"/>
      <c r="X51" s="27"/>
      <c r="Y51" s="27"/>
      <c r="Z51" s="27"/>
      <c r="AA51" s="27"/>
      <c r="AB51" s="29"/>
    </row>
    <row r="52" spans="1:28" ht="11.1" customHeight="1" outlineLevel="1" x14ac:dyDescent="0.3">
      <c r="A52" s="173"/>
      <c r="B52" s="173"/>
      <c r="C52" s="173"/>
      <c r="D52" s="189"/>
      <c r="E52" s="189"/>
      <c r="F52" s="189"/>
      <c r="G52" s="189"/>
      <c r="H52" s="189"/>
      <c r="I52" s="190">
        <f>IF(AND($I$22=18,$I$21&gt;=0.1,$I$21&lt;=3,_all3="FR4 типовой"),(INDEX(Лист4!$I$1:$AG$421,x+14,y)),IF(AND($I$22=35,$I$21&gt;=0.1,$I$21&lt;=3,_all3="FR4 типовой"),(INDEX(Лист4!$I$1:$AG$421,x+40,y)),IF($I$19&lt;3,INDEX(Лист4!$I$1:$AG$421,x+14,y),"")))</f>
        <v>0</v>
      </c>
      <c r="J52" s="190"/>
      <c r="K52" s="190"/>
      <c r="L52" s="191"/>
      <c r="M52" s="191"/>
      <c r="N52" s="182"/>
      <c r="O52" s="27"/>
      <c r="P52" s="182"/>
      <c r="Q52" s="27"/>
      <c r="R52" s="18"/>
      <c r="S52" s="27"/>
      <c r="T52" s="18"/>
      <c r="U52" s="27"/>
      <c r="V52" s="18"/>
      <c r="W52" s="27"/>
      <c r="X52" s="27"/>
      <c r="Y52" s="28"/>
      <c r="Z52" s="27"/>
      <c r="AA52" s="28"/>
      <c r="AB52" s="29"/>
    </row>
    <row r="53" spans="1:28" ht="11.1" customHeight="1" outlineLevel="1" x14ac:dyDescent="0.3">
      <c r="A53" s="173" t="s">
        <v>79</v>
      </c>
      <c r="B53" s="173"/>
      <c r="C53" s="173"/>
      <c r="D53" s="189"/>
      <c r="E53" s="189"/>
      <c r="F53" s="189"/>
      <c r="G53" s="189"/>
      <c r="H53" s="189"/>
      <c r="I53" s="190">
        <f>IF(AND($I$22=18,$I$21&gt;=0.1,$I$21&lt;=3,_all3="FR4 типовой"),(INDEX(Лист4!$I$1:$AG$421,x+15,y)),IF(AND($I$22=35,$I$21&gt;=0.1,$I$21&lt;=3,_all3="FR4 типовой"),(INDEX(Лист4!$I$1:$AG$421,x+41,y)),IF($I$19&lt;3,INDEX(Лист4!$I$1:$AG$421,x+15,y),"")))</f>
        <v>0</v>
      </c>
      <c r="J53" s="190"/>
      <c r="K53" s="190"/>
      <c r="L53" s="191"/>
      <c r="M53" s="191"/>
      <c r="N53" s="182"/>
      <c r="O53" s="27"/>
      <c r="P53" s="182"/>
      <c r="Q53" s="27"/>
      <c r="R53" s="18"/>
      <c r="S53" s="27"/>
      <c r="T53" s="18"/>
      <c r="U53" s="27"/>
      <c r="V53" s="18"/>
      <c r="W53" s="27"/>
      <c r="X53" s="27"/>
      <c r="Y53" s="27"/>
      <c r="Z53" s="27"/>
      <c r="AA53" s="27"/>
      <c r="AB53" s="29"/>
    </row>
    <row r="54" spans="1:28" ht="11.1" customHeight="1" outlineLevel="1" x14ac:dyDescent="0.3">
      <c r="A54" s="173"/>
      <c r="B54" s="173"/>
      <c r="C54" s="173"/>
      <c r="D54" s="189"/>
      <c r="E54" s="189"/>
      <c r="F54" s="189"/>
      <c r="G54" s="189"/>
      <c r="H54" s="189"/>
      <c r="I54" s="190">
        <f>IF(AND($I$22=18,$I$21&gt;=0.1,$I$21&lt;=3,_all3="FR4 типовой"),(INDEX(Лист4!$I$1:$AG$421,x+16,y)),IF(AND($I$22=35,$I$21&gt;=0.1,$I$21&lt;=3,_all3="FR4 типовой"),(INDEX(Лист4!$I$1:$AG$421,x+42,y)),IF($I$19&lt;3,INDEX(Лист4!$I$1:$AG$421,x+16,y),"")))</f>
        <v>0</v>
      </c>
      <c r="J54" s="190"/>
      <c r="K54" s="190"/>
      <c r="L54" s="191"/>
      <c r="M54" s="191"/>
      <c r="N54" s="182"/>
      <c r="O54" s="27"/>
      <c r="P54" s="182"/>
      <c r="Q54" s="27"/>
      <c r="R54" s="18"/>
      <c r="S54" s="27"/>
      <c r="T54" s="18"/>
      <c r="U54" s="27"/>
      <c r="V54" s="18"/>
      <c r="W54" s="27"/>
      <c r="X54" s="27"/>
      <c r="Y54" s="28"/>
      <c r="Z54" s="27"/>
      <c r="AA54" s="28"/>
      <c r="AB54" s="29"/>
    </row>
    <row r="55" spans="1:28" ht="11.1" customHeight="1" outlineLevel="1" x14ac:dyDescent="0.3">
      <c r="A55" s="173" t="s">
        <v>79</v>
      </c>
      <c r="B55" s="173"/>
      <c r="C55" s="173"/>
      <c r="D55" s="189"/>
      <c r="E55" s="189"/>
      <c r="F55" s="189"/>
      <c r="G55" s="189"/>
      <c r="H55" s="189"/>
      <c r="I55" s="190">
        <f>IF(AND($I$22=18,$I$21&gt;=0.1,$I$21&lt;=3,_all3="FR4 типовой"),(INDEX(Лист4!$I$1:$AG$421,x+17,y)),IF(AND($I$22=35,$I$21&gt;=0.1,$I$21&lt;=3,_all3="FR4 типовой"),(INDEX(Лист4!$I$1:$AG$421,x+43,y)),IF($I$19&lt;3,INDEX(Лист4!$I$1:$AG$421,x+17,y),"")))</f>
        <v>0</v>
      </c>
      <c r="J55" s="190"/>
      <c r="K55" s="190"/>
      <c r="L55" s="191"/>
      <c r="M55" s="191"/>
      <c r="N55" s="182"/>
      <c r="O55" s="27"/>
      <c r="P55" s="182"/>
      <c r="Q55" s="27"/>
      <c r="R55" s="18"/>
      <c r="S55" s="27"/>
      <c r="T55" s="18"/>
      <c r="U55" s="27"/>
      <c r="V55" s="18"/>
      <c r="W55" s="27"/>
      <c r="X55" s="27"/>
      <c r="Y55" s="27"/>
      <c r="Z55" s="27"/>
      <c r="AA55" s="27"/>
      <c r="AB55" s="29"/>
    </row>
    <row r="56" spans="1:28" ht="11.1" customHeight="1" outlineLevel="1" x14ac:dyDescent="0.3">
      <c r="A56" s="173"/>
      <c r="B56" s="173"/>
      <c r="C56" s="173"/>
      <c r="D56" s="189"/>
      <c r="E56" s="189"/>
      <c r="F56" s="189"/>
      <c r="G56" s="189"/>
      <c r="H56" s="189"/>
      <c r="I56" s="190" t="str">
        <f>IF(AND($I$22=18,$I$21&gt;=0.1,$I$21&lt;=3,_all3="FR4 типовой"),(INDEX(Лист4!$I$1:$AG$421,x+18,y)),IF(AND($I$22=35,$I$21&gt;=0.1,$I$21&lt;=3,_all3="FR4 типовой"),(INDEX(Лист4!$I$1:$AG$421,x+44,y)),IF($I$19&lt;3,INDEX(Лист4!$I$1:$AG$421,x+18,y),"")))</f>
        <v>препрег 0,3мм</v>
      </c>
      <c r="J56" s="190"/>
      <c r="K56" s="190"/>
      <c r="L56" s="191"/>
      <c r="M56" s="191"/>
      <c r="N56" s="182"/>
      <c r="O56" s="27"/>
      <c r="P56" s="182"/>
      <c r="Q56" s="27"/>
      <c r="R56" s="18"/>
      <c r="S56" s="27"/>
      <c r="T56" s="18"/>
      <c r="U56" s="27"/>
      <c r="V56" s="18"/>
      <c r="W56" s="27"/>
      <c r="X56" s="27"/>
      <c r="Y56" s="28"/>
      <c r="Z56" s="27"/>
      <c r="AA56" s="28"/>
      <c r="AB56" s="29"/>
    </row>
    <row r="57" spans="1:28" ht="11.1" customHeight="1" outlineLevel="1" x14ac:dyDescent="0.3">
      <c r="A57" s="173" t="s">
        <v>79</v>
      </c>
      <c r="B57" s="173"/>
      <c r="C57" s="173"/>
      <c r="D57" s="189"/>
      <c r="E57" s="189"/>
      <c r="F57" s="189"/>
      <c r="G57" s="189"/>
      <c r="H57" s="189"/>
      <c r="I57" s="190">
        <f>IF(AND($I$22=18,$I$21&gt;=0.1,$I$21&lt;=3,_all3="FR4 типовой"),(INDEX(Лист4!$I$1:$AG$421,x+19,y)),IF(AND($I$22=35,$I$21&gt;=0.1,$I$21&lt;=3,_all3="FR4 типовой"),(INDEX(Лист4!$I$1:$AG$421,x+45,y)),IF($I$19&lt;3,INDEX(Лист4!$I$1:$AG$421,x+19,y),"")))</f>
        <v>0</v>
      </c>
      <c r="J57" s="190"/>
      <c r="K57" s="190"/>
      <c r="L57" s="191"/>
      <c r="M57" s="191"/>
      <c r="N57" s="182"/>
      <c r="O57" s="27"/>
      <c r="P57" s="182"/>
      <c r="Q57" s="27"/>
      <c r="R57" s="18"/>
      <c r="S57" s="27"/>
      <c r="T57" s="18"/>
      <c r="U57" s="27"/>
      <c r="V57" s="18"/>
      <c r="W57" s="27"/>
      <c r="X57" s="27"/>
      <c r="Y57" s="27"/>
      <c r="Z57" s="27"/>
      <c r="AA57" s="27"/>
      <c r="AB57" s="29"/>
    </row>
    <row r="58" spans="1:28" ht="11.1" customHeight="1" outlineLevel="1" x14ac:dyDescent="0.3">
      <c r="A58" s="173"/>
      <c r="B58" s="173"/>
      <c r="C58" s="173"/>
      <c r="D58" s="189"/>
      <c r="E58" s="189"/>
      <c r="F58" s="189"/>
      <c r="G58" s="189"/>
      <c r="H58" s="189"/>
      <c r="I58" s="190">
        <f>IF(AND($I$22=18,$I$21&gt;=0.1,$I$21&lt;=3,_all3="FR4 типовой"),(INDEX(Лист4!$I$1:$AG$421,x+20,y)),IF(AND($I$22=35,$I$21&gt;=0.1,$I$21&lt;=3,_all3="FR4 типовой"),(INDEX(Лист4!$I$1:$AG$421,x+46,y)),IF($I$19&lt;3,INDEX(Лист4!$I$1:$AG$421,x+20,y),"")))</f>
        <v>0</v>
      </c>
      <c r="J58" s="190"/>
      <c r="K58" s="190"/>
      <c r="L58" s="191"/>
      <c r="M58" s="191"/>
      <c r="N58" s="182"/>
      <c r="O58" s="27"/>
      <c r="P58" s="182"/>
      <c r="Q58" s="27"/>
      <c r="R58" s="18"/>
      <c r="S58" s="27"/>
      <c r="T58" s="18"/>
      <c r="U58" s="27"/>
      <c r="V58" s="18"/>
      <c r="W58" s="27"/>
      <c r="X58" s="27"/>
      <c r="Y58" s="28"/>
      <c r="Z58" s="27"/>
      <c r="AA58" s="28"/>
      <c r="AB58" s="29"/>
    </row>
    <row r="59" spans="1:28" ht="11.1" customHeight="1" outlineLevel="1" x14ac:dyDescent="0.3">
      <c r="A59" s="173" t="s">
        <v>80</v>
      </c>
      <c r="B59" s="173"/>
      <c r="C59" s="173"/>
      <c r="D59" s="186" t="s">
        <v>218</v>
      </c>
      <c r="E59" s="186"/>
      <c r="F59" s="186"/>
      <c r="G59" s="186"/>
      <c r="H59" s="186"/>
      <c r="I59" s="187" t="str">
        <f>IF(AND($I$22=18,$I$21&gt;=0.1,$I$21&lt;=3,_all3="FR4 типовой"),(INDEX(Лист4!$I$1:$AG$421,x+21,y)),IF(AND($I$22=35,$I$21&gt;=0.1,$I$21&lt;=3,_all3="FR4 типовой"),(INDEX(Лист4!$I$1:$AG$421,x+47,y)),IF($I$19&lt;3,INDEX(Лист4!$I$1:$AG$421,x+21,y),"")))</f>
        <v>фольга 18мкм</v>
      </c>
      <c r="J59" s="187"/>
      <c r="K59" s="187"/>
      <c r="L59" s="188"/>
      <c r="M59" s="188"/>
      <c r="N59" s="182"/>
      <c r="O59" s="25"/>
      <c r="P59" s="182"/>
      <c r="Q59" s="25"/>
      <c r="R59" s="18"/>
      <c r="S59" s="25"/>
      <c r="T59" s="18"/>
      <c r="U59" s="25"/>
      <c r="V59" s="18"/>
      <c r="W59" s="25"/>
      <c r="X59" s="25"/>
      <c r="Y59" s="25"/>
      <c r="Z59" s="25"/>
      <c r="AA59" s="25"/>
      <c r="AB59" s="26"/>
    </row>
    <row r="60" spans="1:28" ht="11.1" customHeight="1" outlineLevel="1" x14ac:dyDescent="0.3">
      <c r="A60" s="178" t="s">
        <v>81</v>
      </c>
      <c r="B60" s="178"/>
      <c r="C60" s="178"/>
      <c r="D60" s="183" t="s">
        <v>219</v>
      </c>
      <c r="E60" s="183"/>
      <c r="F60" s="183"/>
      <c r="G60" s="183"/>
      <c r="H60" s="183"/>
      <c r="I60" s="184"/>
      <c r="J60" s="184"/>
      <c r="K60" s="184"/>
      <c r="L60" s="185"/>
      <c r="M60" s="185"/>
      <c r="N60" s="182"/>
      <c r="O60" s="23"/>
      <c r="P60" s="182"/>
      <c r="Q60" s="23"/>
      <c r="R60" s="18"/>
      <c r="S60" s="23"/>
      <c r="T60" s="18"/>
      <c r="U60" s="23"/>
      <c r="V60" s="18"/>
      <c r="W60" s="23"/>
      <c r="X60" s="23"/>
      <c r="Y60" s="23"/>
      <c r="Z60" s="23"/>
      <c r="AA60" s="23"/>
      <c r="AB60" s="24"/>
    </row>
    <row r="61" spans="1:28" ht="10.5" customHeight="1" outlineLevel="1" x14ac:dyDescent="0.3">
      <c r="A61" s="178" t="s">
        <v>82</v>
      </c>
      <c r="B61" s="178"/>
      <c r="C61" s="178"/>
      <c r="D61" s="195" t="s">
        <v>220</v>
      </c>
      <c r="E61" s="195"/>
      <c r="F61" s="195"/>
      <c r="G61" s="195"/>
      <c r="H61" s="195"/>
      <c r="I61" s="196"/>
      <c r="J61" s="196"/>
      <c r="K61" s="196"/>
      <c r="L61" s="197"/>
      <c r="M61" s="197"/>
      <c r="N61" s="182"/>
      <c r="O61" s="18"/>
      <c r="P61" s="182"/>
      <c r="Q61" s="18"/>
      <c r="R61" s="19"/>
      <c r="S61" s="18"/>
      <c r="T61" s="19"/>
      <c r="U61" s="18"/>
      <c r="V61" s="19"/>
      <c r="W61" s="18"/>
      <c r="X61" s="18"/>
      <c r="Y61" s="19"/>
      <c r="Z61" s="18"/>
      <c r="AA61" s="19"/>
      <c r="AB61" s="30"/>
    </row>
    <row r="62" spans="1:28" ht="11.1" customHeight="1" outlineLevel="1" x14ac:dyDescent="0.3">
      <c r="A62" s="178" t="s">
        <v>83</v>
      </c>
      <c r="B62" s="178"/>
      <c r="C62" s="178"/>
      <c r="D62" s="198" t="s">
        <v>221</v>
      </c>
      <c r="E62" s="198"/>
      <c r="F62" s="198"/>
      <c r="G62" s="198"/>
      <c r="H62" s="198"/>
      <c r="I62" s="17"/>
      <c r="J62" s="17"/>
      <c r="K62" s="17"/>
      <c r="L62" s="17"/>
      <c r="M62" s="17"/>
      <c r="N62" s="17"/>
      <c r="O62" s="31"/>
      <c r="P62" s="17"/>
      <c r="Q62" s="20"/>
      <c r="R62" s="199"/>
      <c r="S62" s="20"/>
      <c r="T62" s="199"/>
      <c r="U62" s="20"/>
      <c r="V62" s="199"/>
      <c r="W62" s="20"/>
      <c r="X62" s="20"/>
      <c r="Y62" s="20"/>
      <c r="Z62" s="20"/>
      <c r="AA62" s="20"/>
      <c r="AB62" s="22"/>
    </row>
    <row r="63" spans="1:28" ht="7.5" customHeight="1" outlineLevel="1" x14ac:dyDescent="0.3">
      <c r="A63" s="32"/>
      <c r="B63" s="33"/>
      <c r="C63" s="33"/>
      <c r="D63" s="20"/>
      <c r="E63" s="20"/>
      <c r="F63" s="200"/>
      <c r="G63" s="200"/>
      <c r="H63" s="200"/>
      <c r="I63" s="20"/>
      <c r="J63" s="20"/>
      <c r="K63" s="20"/>
      <c r="L63" s="20"/>
      <c r="M63" s="20"/>
      <c r="N63" s="20"/>
      <c r="O63" s="20"/>
      <c r="P63" s="17"/>
      <c r="Q63" s="20"/>
      <c r="R63" s="199"/>
      <c r="S63" s="20"/>
      <c r="T63" s="199"/>
      <c r="U63" s="20"/>
      <c r="V63" s="199"/>
      <c r="W63" s="20"/>
      <c r="X63" s="20"/>
      <c r="Y63" s="20"/>
      <c r="Z63" s="20"/>
      <c r="AA63" s="20"/>
      <c r="AB63" s="22"/>
    </row>
    <row r="64" spans="1:28" ht="11.1" customHeight="1" outlineLevel="1" x14ac:dyDescent="0.3">
      <c r="A64" s="173" t="s">
        <v>84</v>
      </c>
      <c r="B64" s="173"/>
      <c r="C64" s="173"/>
      <c r="D64" s="201"/>
      <c r="E64" s="201"/>
      <c r="F64" s="201"/>
      <c r="G64" s="201"/>
      <c r="H64" s="201"/>
      <c r="I64" s="17"/>
      <c r="J64" s="17"/>
      <c r="K64" s="17"/>
      <c r="L64" s="17"/>
      <c r="M64" s="17"/>
      <c r="N64" s="17"/>
      <c r="O64" s="17"/>
      <c r="P64" s="17"/>
      <c r="Q64" s="20"/>
      <c r="R64" s="199"/>
      <c r="S64" s="20"/>
      <c r="T64" s="199"/>
      <c r="U64" s="20"/>
      <c r="V64" s="199"/>
      <c r="W64" s="20"/>
      <c r="X64" s="20"/>
      <c r="Y64" s="20"/>
      <c r="Z64" s="20"/>
      <c r="AA64" s="20"/>
      <c r="AB64" s="22"/>
    </row>
    <row r="65" spans="1:38" ht="7.5" customHeight="1" outlineLevel="1" x14ac:dyDescent="0.3">
      <c r="A65" s="32"/>
      <c r="B65" s="33"/>
      <c r="C65" s="33"/>
      <c r="D65" s="20"/>
      <c r="E65" s="20"/>
      <c r="F65" s="200"/>
      <c r="G65" s="200"/>
      <c r="H65" s="200"/>
      <c r="I65" s="20"/>
      <c r="J65" s="20"/>
      <c r="K65" s="20"/>
      <c r="L65" s="20"/>
      <c r="M65" s="20"/>
      <c r="N65" s="20"/>
      <c r="O65" s="20"/>
      <c r="P65" s="20"/>
      <c r="Q65" s="20"/>
      <c r="R65" s="199"/>
      <c r="S65" s="20"/>
      <c r="T65" s="199"/>
      <c r="U65" s="20"/>
      <c r="V65" s="199"/>
      <c r="W65" s="20"/>
      <c r="X65" s="20"/>
      <c r="Y65" s="20"/>
      <c r="Z65" s="20"/>
      <c r="AA65" s="20"/>
      <c r="AB65" s="22"/>
    </row>
    <row r="66" spans="1:38" ht="11.1" customHeight="1" outlineLevel="1" x14ac:dyDescent="0.3">
      <c r="A66" s="178" t="s">
        <v>85</v>
      </c>
      <c r="B66" s="178"/>
      <c r="C66" s="178"/>
      <c r="D66" s="202"/>
      <c r="E66" s="202"/>
      <c r="F66" s="202"/>
      <c r="G66" s="202"/>
      <c r="H66" s="202"/>
      <c r="I66" s="203"/>
      <c r="J66" s="203"/>
      <c r="K66" s="203"/>
      <c r="L66" s="203"/>
      <c r="M66" s="203"/>
      <c r="N66" s="203"/>
      <c r="O66" s="203"/>
      <c r="P66" s="203"/>
      <c r="Q66" s="203"/>
      <c r="R66" s="203"/>
      <c r="S66" s="20"/>
      <c r="T66" s="199"/>
      <c r="U66" s="20"/>
      <c r="V66" s="199"/>
      <c r="W66" s="20"/>
      <c r="X66" s="20"/>
      <c r="Y66" s="20"/>
      <c r="Z66" s="20"/>
      <c r="AA66" s="20"/>
      <c r="AB66" s="22"/>
    </row>
    <row r="67" spans="1:38" ht="7.5" customHeight="1" outlineLevel="1" x14ac:dyDescent="0.3">
      <c r="A67" s="32"/>
      <c r="B67" s="33"/>
      <c r="C67" s="33"/>
      <c r="D67" s="20"/>
      <c r="E67" s="20"/>
      <c r="F67" s="200"/>
      <c r="G67" s="200"/>
      <c r="H67" s="20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199"/>
      <c r="U67" s="20"/>
      <c r="V67" s="199"/>
      <c r="W67" s="20"/>
      <c r="X67" s="20"/>
      <c r="Y67" s="20"/>
      <c r="Z67" s="20"/>
      <c r="AA67" s="20"/>
      <c r="AB67" s="22"/>
    </row>
    <row r="68" spans="1:38" ht="11.1" customHeight="1" outlineLevel="1" x14ac:dyDescent="0.3">
      <c r="A68" s="178" t="s">
        <v>86</v>
      </c>
      <c r="B68" s="178"/>
      <c r="C68" s="178"/>
      <c r="D68" s="201"/>
      <c r="E68" s="201"/>
      <c r="F68" s="201"/>
      <c r="G68" s="201"/>
      <c r="H68" s="201"/>
      <c r="I68" s="203"/>
      <c r="J68" s="203"/>
      <c r="K68" s="203"/>
      <c r="L68" s="203"/>
      <c r="M68" s="203"/>
      <c r="N68" s="203"/>
      <c r="O68" s="203"/>
      <c r="P68" s="203"/>
      <c r="Q68" s="203"/>
      <c r="R68" s="203"/>
      <c r="S68" s="203"/>
      <c r="T68" s="199"/>
      <c r="U68" s="20"/>
      <c r="V68" s="199"/>
      <c r="W68" s="20"/>
      <c r="X68" s="20"/>
      <c r="Y68" s="20"/>
      <c r="Z68" s="20"/>
      <c r="AA68" s="20"/>
      <c r="AB68" s="22"/>
    </row>
    <row r="69" spans="1:38" ht="7.5" customHeight="1" outlineLevel="1" x14ac:dyDescent="0.3">
      <c r="A69" s="32"/>
      <c r="B69" s="33"/>
      <c r="C69" s="33"/>
      <c r="D69" s="20"/>
      <c r="E69" s="20"/>
      <c r="F69" s="200"/>
      <c r="G69" s="200"/>
      <c r="H69" s="20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199"/>
      <c r="W69" s="20"/>
      <c r="X69" s="20"/>
      <c r="Y69" s="20"/>
      <c r="Z69" s="20"/>
      <c r="AA69" s="20"/>
      <c r="AB69" s="22"/>
    </row>
    <row r="70" spans="1:38" ht="11.1" customHeight="1" outlineLevel="1" x14ac:dyDescent="0.3">
      <c r="A70" s="178" t="s">
        <v>87</v>
      </c>
      <c r="B70" s="178"/>
      <c r="C70" s="178"/>
      <c r="D70" s="201"/>
      <c r="E70" s="201"/>
      <c r="F70" s="201"/>
      <c r="G70" s="201"/>
      <c r="H70" s="201"/>
      <c r="I70" s="203"/>
      <c r="J70" s="203"/>
      <c r="K70" s="203"/>
      <c r="L70" s="203"/>
      <c r="M70" s="203"/>
      <c r="N70" s="203"/>
      <c r="O70" s="203"/>
      <c r="P70" s="203"/>
      <c r="Q70" s="203"/>
      <c r="R70" s="203"/>
      <c r="S70" s="203"/>
      <c r="T70" s="203"/>
      <c r="U70" s="203"/>
      <c r="V70" s="203"/>
      <c r="W70" s="20"/>
      <c r="X70" s="20"/>
      <c r="Y70" s="20"/>
      <c r="Z70" s="20"/>
      <c r="AA70" s="20"/>
      <c r="AB70" s="22"/>
    </row>
    <row r="71" spans="1:38" ht="12" customHeight="1" x14ac:dyDescent="0.3">
      <c r="A71" s="204"/>
      <c r="B71" s="204"/>
      <c r="C71" s="204"/>
      <c r="D71" s="204"/>
      <c r="E71" s="204"/>
      <c r="F71" s="204"/>
      <c r="G71" s="204"/>
      <c r="H71" s="204"/>
      <c r="I71" s="204"/>
      <c r="J71" s="204"/>
      <c r="K71" s="204"/>
      <c r="L71" s="204"/>
      <c r="M71" s="204"/>
      <c r="N71" s="204"/>
      <c r="O71" s="204"/>
      <c r="P71" s="204"/>
      <c r="Q71" s="204"/>
      <c r="R71" s="204"/>
      <c r="S71" s="204"/>
      <c r="T71" s="204"/>
      <c r="U71" s="204"/>
      <c r="V71" s="204"/>
      <c r="W71" s="204"/>
      <c r="X71" s="204"/>
      <c r="Y71" s="204"/>
      <c r="Z71" s="204"/>
      <c r="AA71" s="204"/>
      <c r="AB71" s="204"/>
    </row>
    <row r="72" spans="1:38" ht="12.75" customHeight="1" x14ac:dyDescent="0.3">
      <c r="A72" s="205" t="s">
        <v>88</v>
      </c>
      <c r="B72" s="205"/>
      <c r="C72" s="205"/>
      <c r="D72" s="205"/>
      <c r="E72" s="205"/>
      <c r="F72" s="205"/>
      <c r="G72" s="205"/>
      <c r="H72" s="205"/>
      <c r="I72" s="206" t="s">
        <v>17</v>
      </c>
      <c r="J72" s="206"/>
      <c r="K72" s="206"/>
      <c r="L72" s="206"/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</row>
    <row r="73" spans="1:38" outlineLevel="1" x14ac:dyDescent="0.25">
      <c r="A73" s="207" t="s">
        <v>89</v>
      </c>
      <c r="B73" s="207"/>
      <c r="C73" s="207"/>
      <c r="D73" s="207"/>
      <c r="E73" s="207"/>
      <c r="F73" s="207"/>
      <c r="G73" s="207"/>
      <c r="H73" s="207"/>
      <c r="I73" s="150" t="s">
        <v>90</v>
      </c>
      <c r="J73" s="150"/>
      <c r="K73" s="150"/>
      <c r="L73" s="150"/>
      <c r="M73" s="150"/>
      <c r="N73" s="150"/>
      <c r="O73" s="150"/>
      <c r="P73" s="208"/>
      <c r="Q73" s="208"/>
      <c r="R73" s="208"/>
      <c r="S73" s="208"/>
      <c r="T73" s="208"/>
      <c r="U73" s="208"/>
      <c r="V73" s="208"/>
      <c r="W73" s="208"/>
      <c r="X73" s="208"/>
      <c r="Y73" s="208"/>
      <c r="Z73" s="208"/>
      <c r="AA73" s="208"/>
      <c r="AB73" s="208"/>
      <c r="AI73" s="1" t="s">
        <v>90</v>
      </c>
      <c r="AJ73" s="1" t="s">
        <v>91</v>
      </c>
    </row>
    <row r="74" spans="1:38" outlineLevel="1" x14ac:dyDescent="0.25">
      <c r="A74" s="207" t="s">
        <v>92</v>
      </c>
      <c r="B74" s="207"/>
      <c r="C74" s="207"/>
      <c r="D74" s="207"/>
      <c r="E74" s="207"/>
      <c r="F74" s="207"/>
      <c r="G74" s="207"/>
      <c r="H74" s="207"/>
      <c r="I74" s="209" t="s">
        <v>93</v>
      </c>
      <c r="J74" s="209"/>
      <c r="K74" s="209"/>
      <c r="L74" s="209"/>
      <c r="M74" s="209"/>
      <c r="N74" s="209"/>
      <c r="O74" s="209"/>
      <c r="P74" s="208"/>
      <c r="Q74" s="208"/>
      <c r="R74" s="208"/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I74" s="8" t="s">
        <v>93</v>
      </c>
      <c r="AJ74" s="8" t="s">
        <v>94</v>
      </c>
      <c r="AK74" s="8" t="s">
        <v>95</v>
      </c>
      <c r="AL74" s="8"/>
    </row>
    <row r="75" spans="1:38" outlineLevel="1" x14ac:dyDescent="0.25">
      <c r="A75" s="207" t="s">
        <v>96</v>
      </c>
      <c r="B75" s="207"/>
      <c r="C75" s="207"/>
      <c r="D75" s="207"/>
      <c r="E75" s="207"/>
      <c r="F75" s="207"/>
      <c r="G75" s="207"/>
      <c r="H75" s="207"/>
      <c r="I75" s="150"/>
      <c r="J75" s="150"/>
      <c r="K75" s="150"/>
      <c r="L75" s="150"/>
      <c r="M75" s="150"/>
      <c r="N75" s="150"/>
      <c r="O75" s="150"/>
      <c r="P75" s="208"/>
      <c r="Q75" s="208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I75" s="1" t="s">
        <v>97</v>
      </c>
      <c r="AJ75" s="1" t="s">
        <v>98</v>
      </c>
    </row>
    <row r="76" spans="1:38" outlineLevel="1" x14ac:dyDescent="0.25">
      <c r="A76" s="207" t="s">
        <v>99</v>
      </c>
      <c r="B76" s="207"/>
      <c r="C76" s="207"/>
      <c r="D76" s="207"/>
      <c r="E76" s="207"/>
      <c r="F76" s="207"/>
      <c r="G76" s="207"/>
      <c r="H76" s="207"/>
      <c r="I76" s="209" t="s">
        <v>100</v>
      </c>
      <c r="J76" s="209"/>
      <c r="K76" s="209"/>
      <c r="L76" s="209"/>
      <c r="M76" s="209"/>
      <c r="N76" s="209"/>
      <c r="O76" s="209"/>
      <c r="P76" s="208"/>
      <c r="Q76" s="208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I76" s="8" t="s">
        <v>101</v>
      </c>
      <c r="AJ76" s="1" t="s">
        <v>100</v>
      </c>
      <c r="AK76" s="1" t="s">
        <v>102</v>
      </c>
    </row>
    <row r="77" spans="1:38" outlineLevel="1" x14ac:dyDescent="0.25">
      <c r="A77" s="207" t="s">
        <v>103</v>
      </c>
      <c r="B77" s="207"/>
      <c r="C77" s="207"/>
      <c r="D77" s="207"/>
      <c r="E77" s="207"/>
      <c r="F77" s="207"/>
      <c r="G77" s="207"/>
      <c r="H77" s="207"/>
      <c r="I77" s="150"/>
      <c r="J77" s="150"/>
      <c r="K77" s="150"/>
      <c r="L77" s="150"/>
      <c r="M77" s="150"/>
      <c r="N77" s="150"/>
      <c r="O77" s="150"/>
      <c r="P77" s="208"/>
      <c r="Q77" s="208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I77" s="1" t="s">
        <v>90</v>
      </c>
      <c r="AJ77" s="1" t="s">
        <v>91</v>
      </c>
    </row>
    <row r="78" spans="1:38" outlineLevel="1" x14ac:dyDescent="0.25">
      <c r="A78" s="207" t="s">
        <v>104</v>
      </c>
      <c r="B78" s="207"/>
      <c r="C78" s="207"/>
      <c r="D78" s="207"/>
      <c r="E78" s="207"/>
      <c r="F78" s="207"/>
      <c r="G78" s="207"/>
      <c r="H78" s="207"/>
      <c r="I78" s="150"/>
      <c r="J78" s="150"/>
      <c r="K78" s="150"/>
      <c r="L78" s="150"/>
      <c r="M78" s="150"/>
      <c r="N78" s="150"/>
      <c r="O78" s="150"/>
      <c r="P78" s="208"/>
      <c r="Q78" s="208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I78" s="1" t="s">
        <v>90</v>
      </c>
      <c r="AJ78" s="1" t="s">
        <v>91</v>
      </c>
    </row>
    <row r="79" spans="1:38" outlineLevel="1" x14ac:dyDescent="0.25">
      <c r="A79" s="207" t="s">
        <v>105</v>
      </c>
      <c r="B79" s="207"/>
      <c r="C79" s="207"/>
      <c r="D79" s="207"/>
      <c r="E79" s="207"/>
      <c r="F79" s="207"/>
      <c r="G79" s="207"/>
      <c r="H79" s="207"/>
      <c r="I79" s="150"/>
      <c r="J79" s="150"/>
      <c r="K79" s="150"/>
      <c r="L79" s="150"/>
      <c r="M79" s="150"/>
      <c r="N79" s="150"/>
      <c r="O79" s="150"/>
      <c r="P79" s="208"/>
      <c r="Q79" s="208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I79" s="1" t="s">
        <v>90</v>
      </c>
      <c r="AJ79" s="1" t="s">
        <v>91</v>
      </c>
    </row>
    <row r="80" spans="1:38" outlineLevel="1" x14ac:dyDescent="0.25">
      <c r="A80" s="207" t="s">
        <v>106</v>
      </c>
      <c r="B80" s="207"/>
      <c r="C80" s="207"/>
      <c r="D80" s="207"/>
      <c r="E80" s="207"/>
      <c r="F80" s="207"/>
      <c r="G80" s="207"/>
      <c r="H80" s="207"/>
      <c r="I80" s="209" t="s">
        <v>107</v>
      </c>
      <c r="J80" s="209"/>
      <c r="K80" s="209"/>
      <c r="L80" s="209"/>
      <c r="M80" s="209"/>
      <c r="N80" s="209"/>
      <c r="O80" s="209"/>
      <c r="P80" s="208"/>
      <c r="Q80" s="208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I80" s="1" t="s">
        <v>107</v>
      </c>
      <c r="AJ80" s="1" t="s">
        <v>108</v>
      </c>
      <c r="AK80" s="1" t="s">
        <v>109</v>
      </c>
    </row>
    <row r="81" spans="1:38" outlineLevel="1" x14ac:dyDescent="0.25">
      <c r="A81" s="207" t="s">
        <v>110</v>
      </c>
      <c r="B81" s="207"/>
      <c r="C81" s="207"/>
      <c r="D81" s="207"/>
      <c r="E81" s="207"/>
      <c r="F81" s="207"/>
      <c r="G81" s="207"/>
      <c r="H81" s="207"/>
      <c r="I81" s="209" t="s">
        <v>111</v>
      </c>
      <c r="J81" s="209"/>
      <c r="K81" s="209"/>
      <c r="L81" s="209"/>
      <c r="M81" s="209"/>
      <c r="N81" s="209"/>
      <c r="O81" s="209"/>
      <c r="P81" s="208"/>
      <c r="Q81" s="208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I81" s="1" t="s">
        <v>111</v>
      </c>
      <c r="AJ81" s="1" t="s">
        <v>112</v>
      </c>
    </row>
    <row r="82" spans="1:38" outlineLevel="1" x14ac:dyDescent="0.25">
      <c r="A82" s="207" t="s">
        <v>113</v>
      </c>
      <c r="B82" s="207"/>
      <c r="C82" s="207"/>
      <c r="D82" s="207"/>
      <c r="E82" s="207"/>
      <c r="F82" s="207"/>
      <c r="G82" s="207"/>
      <c r="H82" s="207"/>
      <c r="I82" s="34" t="s">
        <v>114</v>
      </c>
      <c r="J82" s="4" t="s">
        <v>115</v>
      </c>
      <c r="K82" s="34" t="s">
        <v>116</v>
      </c>
      <c r="L82" s="4" t="s">
        <v>117</v>
      </c>
      <c r="M82" s="34" t="s">
        <v>118</v>
      </c>
      <c r="N82" s="150" t="s">
        <v>117</v>
      </c>
      <c r="O82" s="150"/>
      <c r="P82" s="208"/>
      <c r="Q82" s="208"/>
      <c r="R82" s="208"/>
      <c r="S82" s="208"/>
      <c r="T82" s="208"/>
      <c r="U82" s="208"/>
      <c r="V82" s="208"/>
      <c r="W82" s="208"/>
      <c r="X82" s="208"/>
      <c r="Y82" s="208"/>
      <c r="Z82" s="208"/>
      <c r="AA82" s="208"/>
      <c r="AB82" s="208"/>
      <c r="AI82" s="1" t="s">
        <v>115</v>
      </c>
      <c r="AJ82" s="1" t="s">
        <v>117</v>
      </c>
    </row>
    <row r="83" spans="1:38" outlineLevel="1" x14ac:dyDescent="0.25">
      <c r="A83" s="210" t="s">
        <v>119</v>
      </c>
      <c r="B83" s="210"/>
      <c r="C83" s="210"/>
      <c r="D83" s="210"/>
      <c r="E83" s="210"/>
      <c r="F83" s="210"/>
      <c r="G83" s="210"/>
      <c r="H83" s="210"/>
      <c r="I83" s="209" t="s">
        <v>122</v>
      </c>
      <c r="J83" s="209"/>
      <c r="K83" s="209"/>
      <c r="L83" s="209"/>
      <c r="M83" s="209"/>
      <c r="N83" s="209"/>
      <c r="O83" s="209"/>
      <c r="P83" s="208"/>
      <c r="Q83" s="208"/>
      <c r="R83" s="208"/>
      <c r="S83" s="208"/>
      <c r="T83" s="208"/>
      <c r="U83" s="208"/>
      <c r="V83" s="208"/>
      <c r="W83" s="208"/>
      <c r="X83" s="208"/>
      <c r="Y83" s="208"/>
      <c r="Z83" s="208"/>
      <c r="AA83" s="208"/>
      <c r="AB83" s="208"/>
      <c r="AI83" s="5" t="s">
        <v>121</v>
      </c>
      <c r="AJ83" s="35" t="s">
        <v>122</v>
      </c>
      <c r="AK83" s="5" t="s">
        <v>123</v>
      </c>
      <c r="AL83" s="1" t="s">
        <v>120</v>
      </c>
    </row>
    <row r="84" spans="1:38" outlineLevel="1" x14ac:dyDescent="0.25">
      <c r="A84" s="207" t="s">
        <v>124</v>
      </c>
      <c r="B84" s="207"/>
      <c r="C84" s="207"/>
      <c r="D84" s="207"/>
      <c r="E84" s="207"/>
      <c r="F84" s="207"/>
      <c r="G84" s="207"/>
      <c r="H84" s="207"/>
      <c r="I84" s="211">
        <v>208.5</v>
      </c>
      <c r="J84" s="211"/>
      <c r="K84" s="211"/>
      <c r="L84" s="211"/>
      <c r="M84" s="211"/>
      <c r="N84" s="211"/>
      <c r="O84" s="211"/>
      <c r="P84" s="208"/>
      <c r="Q84" s="208"/>
      <c r="R84" s="208"/>
      <c r="S84" s="208"/>
      <c r="T84" s="208"/>
      <c r="U84" s="208"/>
      <c r="V84" s="208"/>
      <c r="W84" s="208"/>
      <c r="X84" s="208"/>
      <c r="Y84" s="208"/>
      <c r="Z84" s="208"/>
      <c r="AA84" s="208"/>
      <c r="AB84" s="208"/>
    </row>
    <row r="85" spans="1:38" outlineLevel="1" x14ac:dyDescent="0.25">
      <c r="A85" s="207" t="s">
        <v>125</v>
      </c>
      <c r="B85" s="207"/>
      <c r="C85" s="207"/>
      <c r="D85" s="207"/>
      <c r="E85" s="207"/>
      <c r="F85" s="207"/>
      <c r="G85" s="207"/>
      <c r="H85" s="207"/>
      <c r="I85" s="211">
        <v>86.9</v>
      </c>
      <c r="J85" s="211"/>
      <c r="K85" s="211"/>
      <c r="L85" s="211"/>
      <c r="M85" s="211"/>
      <c r="N85" s="211"/>
      <c r="O85" s="211"/>
      <c r="P85" s="208"/>
      <c r="Q85" s="208"/>
      <c r="R85" s="208"/>
      <c r="S85" s="208"/>
      <c r="T85" s="208"/>
      <c r="U85" s="208"/>
      <c r="V85" s="208"/>
      <c r="W85" s="208"/>
      <c r="X85" s="208"/>
      <c r="Y85" s="208"/>
      <c r="Z85" s="208"/>
      <c r="AA85" s="208"/>
      <c r="AB85" s="208"/>
    </row>
    <row r="86" spans="1:38" outlineLevel="1" x14ac:dyDescent="0.25">
      <c r="A86" s="210" t="s">
        <v>126</v>
      </c>
      <c r="B86" s="210"/>
      <c r="C86" s="210"/>
      <c r="D86" s="210"/>
      <c r="E86" s="210"/>
      <c r="F86" s="210"/>
      <c r="G86" s="210"/>
      <c r="H86" s="210"/>
      <c r="I86" s="150"/>
      <c r="J86" s="150"/>
      <c r="K86" s="150"/>
      <c r="L86" s="150"/>
      <c r="M86" s="150"/>
      <c r="N86" s="150"/>
      <c r="O86" s="150"/>
      <c r="P86" s="208"/>
      <c r="Q86" s="208"/>
      <c r="R86" s="208"/>
      <c r="S86" s="208"/>
      <c r="T86" s="208"/>
      <c r="U86" s="208"/>
      <c r="V86" s="208"/>
      <c r="W86" s="208"/>
      <c r="X86" s="208"/>
      <c r="Y86" s="208"/>
      <c r="Z86" s="208"/>
      <c r="AA86" s="208"/>
      <c r="AB86" s="208"/>
    </row>
    <row r="87" spans="1:38" outlineLevel="1" x14ac:dyDescent="0.25">
      <c r="A87" s="210" t="s">
        <v>127</v>
      </c>
      <c r="B87" s="210"/>
      <c r="C87" s="210"/>
      <c r="D87" s="210"/>
      <c r="E87" s="210"/>
      <c r="F87" s="210"/>
      <c r="G87" s="210"/>
      <c r="H87" s="210"/>
      <c r="I87" s="150"/>
      <c r="J87" s="150"/>
      <c r="K87" s="150"/>
      <c r="L87" s="150"/>
      <c r="M87" s="150"/>
      <c r="N87" s="150"/>
      <c r="O87" s="150"/>
      <c r="P87" s="208"/>
      <c r="Q87" s="208"/>
      <c r="R87" s="208"/>
      <c r="S87" s="208"/>
      <c r="T87" s="208"/>
      <c r="U87" s="208"/>
      <c r="V87" s="208"/>
      <c r="W87" s="208"/>
      <c r="X87" s="208"/>
      <c r="Y87" s="208"/>
      <c r="Z87" s="208"/>
      <c r="AA87" s="208"/>
      <c r="AB87" s="208"/>
    </row>
    <row r="88" spans="1:38" outlineLevel="1" x14ac:dyDescent="0.25">
      <c r="A88" s="210" t="s">
        <v>128</v>
      </c>
      <c r="B88" s="210"/>
      <c r="C88" s="210"/>
      <c r="D88" s="210"/>
      <c r="E88" s="210"/>
      <c r="F88" s="210"/>
      <c r="G88" s="210"/>
      <c r="H88" s="210"/>
      <c r="I88" s="150"/>
      <c r="J88" s="150"/>
      <c r="K88" s="150"/>
      <c r="L88" s="150"/>
      <c r="M88" s="150"/>
      <c r="N88" s="150"/>
      <c r="O88" s="150"/>
      <c r="P88" s="208"/>
      <c r="Q88" s="208"/>
      <c r="R88" s="208"/>
      <c r="S88" s="208"/>
      <c r="T88" s="208"/>
      <c r="U88" s="208"/>
      <c r="V88" s="208"/>
      <c r="W88" s="208"/>
      <c r="X88" s="208"/>
      <c r="Y88" s="208"/>
      <c r="Z88" s="208"/>
      <c r="AA88" s="208"/>
      <c r="AB88" s="208"/>
    </row>
    <row r="89" spans="1:38" outlineLevel="1" x14ac:dyDescent="0.25">
      <c r="A89" s="210" t="s">
        <v>129</v>
      </c>
      <c r="B89" s="210"/>
      <c r="C89" s="210"/>
      <c r="D89" s="210"/>
      <c r="E89" s="210"/>
      <c r="F89" s="210"/>
      <c r="G89" s="210"/>
      <c r="H89" s="210"/>
      <c r="I89" s="150"/>
      <c r="J89" s="150"/>
      <c r="K89" s="150"/>
      <c r="L89" s="150"/>
      <c r="M89" s="150"/>
      <c r="N89" s="150"/>
      <c r="O89" s="150"/>
      <c r="P89" s="208"/>
      <c r="Q89" s="208"/>
      <c r="R89" s="208"/>
      <c r="S89" s="208"/>
      <c r="T89" s="208"/>
      <c r="U89" s="208"/>
      <c r="V89" s="208"/>
      <c r="W89" s="208"/>
      <c r="X89" s="208"/>
      <c r="Y89" s="208"/>
      <c r="Z89" s="208"/>
      <c r="AA89" s="208"/>
      <c r="AB89" s="208"/>
    </row>
    <row r="90" spans="1:38" outlineLevel="1" x14ac:dyDescent="0.25">
      <c r="A90" s="210" t="s">
        <v>130</v>
      </c>
      <c r="B90" s="210"/>
      <c r="C90" s="210"/>
      <c r="D90" s="210"/>
      <c r="E90" s="210"/>
      <c r="F90" s="210"/>
      <c r="G90" s="210"/>
      <c r="H90" s="210"/>
      <c r="I90" s="150"/>
      <c r="J90" s="150"/>
      <c r="K90" s="150"/>
      <c r="L90" s="150"/>
      <c r="M90" s="150"/>
      <c r="N90" s="150"/>
      <c r="O90" s="150"/>
      <c r="P90" s="208"/>
      <c r="Q90" s="208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</row>
    <row r="91" spans="1:38" outlineLevel="1" x14ac:dyDescent="0.25">
      <c r="A91" s="210" t="s">
        <v>131</v>
      </c>
      <c r="B91" s="210"/>
      <c r="C91" s="210"/>
      <c r="D91" s="210"/>
      <c r="E91" s="210"/>
      <c r="F91" s="210"/>
      <c r="G91" s="210"/>
      <c r="H91" s="210"/>
      <c r="I91" s="150"/>
      <c r="J91" s="150"/>
      <c r="K91" s="150"/>
      <c r="L91" s="150"/>
      <c r="M91" s="150"/>
      <c r="N91" s="150"/>
      <c r="O91" s="150"/>
      <c r="P91" s="208"/>
      <c r="Q91" s="208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</row>
    <row r="92" spans="1:38" ht="12.75" customHeight="1" x14ac:dyDescent="0.25">
      <c r="A92" s="212"/>
      <c r="B92" s="212"/>
      <c r="C92" s="212"/>
      <c r="D92" s="212"/>
      <c r="E92" s="212"/>
      <c r="F92" s="212"/>
      <c r="G92" s="212"/>
      <c r="H92" s="212"/>
      <c r="I92" s="212"/>
      <c r="J92" s="212"/>
      <c r="K92" s="212"/>
      <c r="L92" s="212"/>
      <c r="M92" s="212"/>
      <c r="N92" s="212"/>
      <c r="O92" s="212"/>
      <c r="P92" s="212"/>
      <c r="Q92" s="212"/>
      <c r="R92" s="212"/>
      <c r="S92" s="212"/>
      <c r="T92" s="212"/>
      <c r="U92" s="212"/>
      <c r="V92" s="212"/>
      <c r="W92" s="212"/>
      <c r="X92" s="212"/>
      <c r="Y92" s="212"/>
      <c r="Z92" s="212"/>
      <c r="AA92" s="212"/>
      <c r="AB92" s="212"/>
    </row>
    <row r="93" spans="1:38" ht="13.8" x14ac:dyDescent="0.3">
      <c r="A93" s="36" t="s">
        <v>132</v>
      </c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8"/>
    </row>
    <row r="94" spans="1:38" ht="12.75" hidden="1" customHeight="1" outlineLevel="1" x14ac:dyDescent="0.3">
      <c r="A94" s="213" t="s">
        <v>133</v>
      </c>
      <c r="B94" s="213"/>
      <c r="C94" s="213"/>
      <c r="D94" s="213"/>
      <c r="E94" s="213"/>
      <c r="F94" s="213"/>
      <c r="G94" s="213"/>
      <c r="H94" s="213"/>
      <c r="I94" s="214" t="s">
        <v>134</v>
      </c>
      <c r="J94" s="214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40"/>
      <c r="AI94" s="41" t="s">
        <v>134</v>
      </c>
      <c r="AJ94" s="1" t="s">
        <v>135</v>
      </c>
    </row>
    <row r="95" spans="1:38" ht="66" hidden="1" customHeight="1" outlineLevel="1" x14ac:dyDescent="0.25">
      <c r="A95" s="42" t="s">
        <v>136</v>
      </c>
      <c r="B95" s="215" t="s">
        <v>137</v>
      </c>
      <c r="C95" s="215"/>
      <c r="D95" s="43" t="s">
        <v>138</v>
      </c>
      <c r="E95" s="43" t="s">
        <v>139</v>
      </c>
      <c r="F95" s="216" t="s">
        <v>140</v>
      </c>
      <c r="G95" s="216"/>
      <c r="H95" s="216"/>
      <c r="I95" s="217" t="s">
        <v>141</v>
      </c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  <c r="U95" s="217"/>
      <c r="V95" s="217"/>
      <c r="W95" s="217"/>
      <c r="X95" s="217"/>
      <c r="Y95" s="217"/>
      <c r="Z95" s="217"/>
      <c r="AA95" s="217"/>
      <c r="AB95" s="217"/>
    </row>
    <row r="96" spans="1:38" ht="12.9" hidden="1" customHeight="1" outlineLevel="1" x14ac:dyDescent="0.3">
      <c r="A96" s="44"/>
      <c r="B96" s="218"/>
      <c r="C96" s="218"/>
      <c r="D96" s="45"/>
      <c r="E96" s="45"/>
      <c r="F96" s="219"/>
      <c r="G96" s="219"/>
      <c r="H96" s="219"/>
      <c r="I96" s="220"/>
      <c r="J96" s="220"/>
      <c r="K96" s="220"/>
      <c r="L96" s="220"/>
      <c r="M96" s="220"/>
      <c r="N96" s="220"/>
      <c r="O96" s="220"/>
      <c r="P96" s="220"/>
      <c r="Q96" s="220"/>
      <c r="R96" s="220"/>
      <c r="S96" s="220"/>
      <c r="T96" s="220"/>
      <c r="U96" s="220"/>
      <c r="V96" s="220"/>
      <c r="W96" s="220"/>
      <c r="X96" s="220"/>
      <c r="Y96" s="220"/>
      <c r="Z96" s="220"/>
      <c r="AA96" s="220"/>
      <c r="AB96" s="220"/>
      <c r="AC96" s="46"/>
      <c r="AI96" s="1" t="s">
        <v>142</v>
      </c>
      <c r="AJ96" s="1" t="s">
        <v>143</v>
      </c>
    </row>
    <row r="97" spans="1:37" ht="12.9" hidden="1" customHeight="1" outlineLevel="1" x14ac:dyDescent="0.3">
      <c r="A97" s="47"/>
      <c r="B97" s="221"/>
      <c r="C97" s="221"/>
      <c r="D97" s="48"/>
      <c r="E97" s="48"/>
      <c r="F97" s="222"/>
      <c r="G97" s="222"/>
      <c r="H97" s="222"/>
      <c r="I97" s="223"/>
      <c r="J97" s="223"/>
      <c r="K97" s="223"/>
      <c r="L97" s="223"/>
      <c r="M97" s="223"/>
      <c r="N97" s="223"/>
      <c r="O97" s="223"/>
      <c r="P97" s="223"/>
      <c r="Q97" s="223"/>
      <c r="R97" s="223"/>
      <c r="S97" s="223"/>
      <c r="T97" s="223"/>
      <c r="U97" s="223"/>
      <c r="V97" s="223"/>
      <c r="W97" s="223"/>
      <c r="X97" s="223"/>
      <c r="Y97" s="223"/>
      <c r="Z97" s="223"/>
      <c r="AA97" s="223"/>
      <c r="AB97" s="223"/>
      <c r="AI97" s="1" t="s">
        <v>144</v>
      </c>
      <c r="AJ97" s="1" t="s">
        <v>145</v>
      </c>
      <c r="AK97" s="1" t="s">
        <v>146</v>
      </c>
    </row>
    <row r="98" spans="1:37" ht="12.9" hidden="1" customHeight="1" outlineLevel="1" x14ac:dyDescent="0.3">
      <c r="A98" s="44"/>
      <c r="B98" s="218"/>
      <c r="C98" s="218"/>
      <c r="D98" s="45"/>
      <c r="E98" s="45"/>
      <c r="F98" s="219"/>
      <c r="G98" s="219"/>
      <c r="H98" s="219"/>
      <c r="I98" s="220"/>
      <c r="J98" s="220"/>
      <c r="K98" s="220"/>
      <c r="L98" s="220"/>
      <c r="M98" s="220"/>
      <c r="N98" s="220"/>
      <c r="O98" s="220"/>
      <c r="P98" s="220"/>
      <c r="Q98" s="220"/>
      <c r="R98" s="220"/>
      <c r="S98" s="220"/>
      <c r="T98" s="220"/>
      <c r="U98" s="220"/>
      <c r="V98" s="220"/>
      <c r="W98" s="220"/>
      <c r="X98" s="220"/>
      <c r="Y98" s="220"/>
      <c r="Z98" s="220"/>
      <c r="AA98" s="220"/>
      <c r="AB98" s="220"/>
    </row>
    <row r="99" spans="1:37" ht="12.9" hidden="1" customHeight="1" outlineLevel="1" x14ac:dyDescent="0.3">
      <c r="A99" s="47"/>
      <c r="B99" s="221"/>
      <c r="C99" s="221"/>
      <c r="D99" s="48"/>
      <c r="E99" s="48"/>
      <c r="F99" s="222"/>
      <c r="G99" s="222"/>
      <c r="H99" s="222"/>
      <c r="I99" s="223"/>
      <c r="J99" s="223"/>
      <c r="K99" s="223"/>
      <c r="L99" s="223"/>
      <c r="M99" s="223"/>
      <c r="N99" s="223"/>
      <c r="O99" s="223"/>
      <c r="P99" s="223"/>
      <c r="Q99" s="223"/>
      <c r="R99" s="223"/>
      <c r="S99" s="223"/>
      <c r="T99" s="223"/>
      <c r="U99" s="223"/>
      <c r="V99" s="223"/>
      <c r="W99" s="223"/>
      <c r="X99" s="223"/>
      <c r="Y99" s="223"/>
      <c r="Z99" s="223"/>
      <c r="AA99" s="223"/>
      <c r="AB99" s="223"/>
    </row>
    <row r="100" spans="1:37" ht="12.9" hidden="1" customHeight="1" outlineLevel="1" x14ac:dyDescent="0.3">
      <c r="A100" s="44"/>
      <c r="B100" s="218"/>
      <c r="C100" s="218"/>
      <c r="D100" s="45"/>
      <c r="E100" s="45"/>
      <c r="F100" s="219"/>
      <c r="G100" s="219"/>
      <c r="H100" s="219"/>
      <c r="I100" s="220"/>
      <c r="J100" s="220"/>
      <c r="K100" s="220"/>
      <c r="L100" s="220"/>
      <c r="M100" s="220"/>
      <c r="N100" s="220"/>
      <c r="O100" s="220"/>
      <c r="P100" s="220"/>
      <c r="Q100" s="220"/>
      <c r="R100" s="220"/>
      <c r="S100" s="220"/>
      <c r="T100" s="220"/>
      <c r="U100" s="220"/>
      <c r="V100" s="220"/>
      <c r="W100" s="220"/>
      <c r="X100" s="220"/>
      <c r="Y100" s="220"/>
      <c r="Z100" s="220"/>
      <c r="AA100" s="220"/>
      <c r="AB100" s="220"/>
    </row>
    <row r="101" spans="1:37" ht="12.9" hidden="1" customHeight="1" outlineLevel="1" x14ac:dyDescent="0.3">
      <c r="A101" s="47"/>
      <c r="B101" s="221"/>
      <c r="C101" s="221"/>
      <c r="D101" s="48"/>
      <c r="E101" s="48"/>
      <c r="F101" s="222"/>
      <c r="G101" s="222"/>
      <c r="H101" s="222"/>
      <c r="I101" s="223"/>
      <c r="J101" s="223"/>
      <c r="K101" s="223"/>
      <c r="L101" s="223"/>
      <c r="M101" s="223"/>
      <c r="N101" s="223"/>
      <c r="O101" s="223"/>
      <c r="P101" s="223"/>
      <c r="Q101" s="223"/>
      <c r="R101" s="223"/>
      <c r="S101" s="223"/>
      <c r="T101" s="223"/>
      <c r="U101" s="223"/>
      <c r="V101" s="223"/>
      <c r="W101" s="223"/>
      <c r="X101" s="223"/>
      <c r="Y101" s="223"/>
      <c r="Z101" s="223"/>
      <c r="AA101" s="223"/>
      <c r="AB101" s="223"/>
    </row>
    <row r="102" spans="1:37" ht="12.9" hidden="1" customHeight="1" outlineLevel="1" x14ac:dyDescent="0.3">
      <c r="A102" s="44"/>
      <c r="B102" s="218"/>
      <c r="C102" s="218"/>
      <c r="D102" s="45"/>
      <c r="E102" s="45"/>
      <c r="F102" s="219"/>
      <c r="G102" s="219"/>
      <c r="H102" s="219"/>
      <c r="I102" s="220"/>
      <c r="J102" s="220"/>
      <c r="K102" s="220"/>
      <c r="L102" s="220"/>
      <c r="M102" s="220"/>
      <c r="N102" s="220"/>
      <c r="O102" s="220"/>
      <c r="P102" s="220"/>
      <c r="Q102" s="220"/>
      <c r="R102" s="220"/>
      <c r="S102" s="220"/>
      <c r="T102" s="220"/>
      <c r="U102" s="220"/>
      <c r="V102" s="220"/>
      <c r="W102" s="220"/>
      <c r="X102" s="220"/>
      <c r="Y102" s="220"/>
      <c r="Z102" s="220"/>
      <c r="AA102" s="220"/>
      <c r="AB102" s="220"/>
    </row>
    <row r="103" spans="1:37" ht="12.9" hidden="1" customHeight="1" outlineLevel="1" x14ac:dyDescent="0.3">
      <c r="A103" s="47"/>
      <c r="B103" s="221"/>
      <c r="C103" s="221"/>
      <c r="D103" s="48"/>
      <c r="E103" s="48"/>
      <c r="F103" s="222"/>
      <c r="G103" s="222"/>
      <c r="H103" s="222"/>
      <c r="I103" s="223"/>
      <c r="J103" s="223"/>
      <c r="K103" s="223"/>
      <c r="L103" s="223"/>
      <c r="M103" s="223"/>
      <c r="N103" s="223"/>
      <c r="O103" s="223"/>
      <c r="P103" s="223"/>
      <c r="Q103" s="223"/>
      <c r="R103" s="223"/>
      <c r="S103" s="223"/>
      <c r="T103" s="223"/>
      <c r="U103" s="223"/>
      <c r="V103" s="223"/>
      <c r="W103" s="223"/>
      <c r="X103" s="223"/>
      <c r="Y103" s="223"/>
      <c r="Z103" s="223"/>
      <c r="AA103" s="223"/>
      <c r="AB103" s="223"/>
    </row>
    <row r="104" spans="1:37" ht="12.9" hidden="1" customHeight="1" outlineLevel="1" x14ac:dyDescent="0.3">
      <c r="A104" s="44"/>
      <c r="B104" s="218"/>
      <c r="C104" s="218"/>
      <c r="D104" s="45"/>
      <c r="E104" s="45"/>
      <c r="F104" s="219"/>
      <c r="G104" s="219"/>
      <c r="H104" s="219"/>
      <c r="I104" s="220"/>
      <c r="J104" s="220"/>
      <c r="K104" s="220"/>
      <c r="L104" s="220"/>
      <c r="M104" s="220"/>
      <c r="N104" s="220"/>
      <c r="O104" s="220"/>
      <c r="P104" s="220"/>
      <c r="Q104" s="220"/>
      <c r="R104" s="220"/>
      <c r="S104" s="220"/>
      <c r="T104" s="220"/>
      <c r="U104" s="220"/>
      <c r="V104" s="220"/>
      <c r="W104" s="220"/>
      <c r="X104" s="220"/>
      <c r="Y104" s="220"/>
      <c r="Z104" s="220"/>
      <c r="AA104" s="220"/>
      <c r="AB104" s="220"/>
    </row>
    <row r="105" spans="1:37" ht="12.9" hidden="1" customHeight="1" outlineLevel="1" x14ac:dyDescent="0.3">
      <c r="A105" s="47"/>
      <c r="B105" s="221"/>
      <c r="C105" s="221"/>
      <c r="D105" s="48"/>
      <c r="E105" s="48"/>
      <c r="F105" s="222"/>
      <c r="G105" s="222"/>
      <c r="H105" s="222"/>
      <c r="I105" s="223"/>
      <c r="J105" s="223"/>
      <c r="K105" s="223"/>
      <c r="L105" s="223"/>
      <c r="M105" s="223"/>
      <c r="N105" s="223"/>
      <c r="O105" s="223"/>
      <c r="P105" s="223"/>
      <c r="Q105" s="223"/>
      <c r="R105" s="223"/>
      <c r="S105" s="223"/>
      <c r="T105" s="223"/>
      <c r="U105" s="223"/>
      <c r="V105" s="223"/>
      <c r="W105" s="223"/>
      <c r="X105" s="223"/>
      <c r="Y105" s="223"/>
      <c r="Z105" s="223"/>
      <c r="AA105" s="223"/>
      <c r="AB105" s="223"/>
    </row>
    <row r="106" spans="1:37" ht="12.9" hidden="1" customHeight="1" outlineLevel="1" x14ac:dyDescent="0.3">
      <c r="A106" s="44"/>
      <c r="B106" s="218"/>
      <c r="C106" s="218"/>
      <c r="D106" s="45"/>
      <c r="E106" s="45"/>
      <c r="F106" s="219"/>
      <c r="G106" s="219"/>
      <c r="H106" s="219"/>
      <c r="I106" s="220"/>
      <c r="J106" s="220"/>
      <c r="K106" s="220"/>
      <c r="L106" s="220"/>
      <c r="M106" s="220"/>
      <c r="N106" s="220"/>
      <c r="O106" s="220"/>
      <c r="P106" s="220"/>
      <c r="Q106" s="220"/>
      <c r="R106" s="220"/>
      <c r="S106" s="220"/>
      <c r="T106" s="220"/>
      <c r="U106" s="220"/>
      <c r="V106" s="220"/>
      <c r="W106" s="220"/>
      <c r="X106" s="220"/>
      <c r="Y106" s="220"/>
      <c r="Z106" s="220"/>
      <c r="AA106" s="220"/>
      <c r="AB106" s="220"/>
    </row>
    <row r="107" spans="1:37" ht="12.9" hidden="1" customHeight="1" outlineLevel="1" x14ac:dyDescent="0.3">
      <c r="A107" s="47"/>
      <c r="B107" s="221"/>
      <c r="C107" s="221"/>
      <c r="D107" s="48"/>
      <c r="E107" s="48"/>
      <c r="F107" s="222"/>
      <c r="G107" s="222"/>
      <c r="H107" s="222"/>
      <c r="I107" s="223"/>
      <c r="J107" s="223"/>
      <c r="K107" s="223"/>
      <c r="L107" s="223"/>
      <c r="M107" s="223"/>
      <c r="N107" s="223"/>
      <c r="O107" s="223"/>
      <c r="P107" s="223"/>
      <c r="Q107" s="223"/>
      <c r="R107" s="223"/>
      <c r="S107" s="223"/>
      <c r="T107" s="223"/>
      <c r="U107" s="223"/>
      <c r="V107" s="223"/>
      <c r="W107" s="223"/>
      <c r="X107" s="223"/>
      <c r="Y107" s="223"/>
      <c r="Z107" s="223"/>
      <c r="AA107" s="223"/>
      <c r="AB107" s="223"/>
    </row>
    <row r="108" spans="1:37" ht="12.9" hidden="1" customHeight="1" outlineLevel="1" x14ac:dyDescent="0.3">
      <c r="A108" s="44"/>
      <c r="B108" s="218"/>
      <c r="C108" s="218"/>
      <c r="D108" s="45"/>
      <c r="E108" s="45"/>
      <c r="F108" s="219"/>
      <c r="G108" s="219"/>
      <c r="H108" s="219"/>
      <c r="I108" s="220"/>
      <c r="J108" s="220"/>
      <c r="K108" s="220"/>
      <c r="L108" s="220"/>
      <c r="M108" s="220"/>
      <c r="N108" s="220"/>
      <c r="O108" s="220"/>
      <c r="P108" s="220"/>
      <c r="Q108" s="220"/>
      <c r="R108" s="220"/>
      <c r="S108" s="220"/>
      <c r="T108" s="220"/>
      <c r="U108" s="220"/>
      <c r="V108" s="220"/>
      <c r="W108" s="220"/>
      <c r="X108" s="220"/>
      <c r="Y108" s="220"/>
      <c r="Z108" s="220"/>
      <c r="AA108" s="220"/>
      <c r="AB108" s="220"/>
    </row>
    <row r="109" spans="1:37" ht="12.9" hidden="1" customHeight="1" outlineLevel="1" x14ac:dyDescent="0.3">
      <c r="A109" s="47"/>
      <c r="B109" s="221"/>
      <c r="C109" s="221"/>
      <c r="D109" s="48"/>
      <c r="E109" s="48"/>
      <c r="F109" s="222"/>
      <c r="G109" s="222"/>
      <c r="H109" s="222"/>
      <c r="I109" s="223"/>
      <c r="J109" s="223"/>
      <c r="K109" s="223"/>
      <c r="L109" s="223"/>
      <c r="M109" s="223"/>
      <c r="N109" s="223"/>
      <c r="O109" s="223"/>
      <c r="P109" s="223"/>
      <c r="Q109" s="223"/>
      <c r="R109" s="223"/>
      <c r="S109" s="223"/>
      <c r="T109" s="223"/>
      <c r="U109" s="223"/>
      <c r="V109" s="223"/>
      <c r="W109" s="223"/>
      <c r="X109" s="223"/>
      <c r="Y109" s="223"/>
      <c r="Z109" s="223"/>
      <c r="AA109" s="223"/>
      <c r="AB109" s="223"/>
    </row>
    <row r="110" spans="1:37" ht="12.9" hidden="1" customHeight="1" outlineLevel="1" x14ac:dyDescent="0.3">
      <c r="A110" s="44"/>
      <c r="B110" s="218"/>
      <c r="C110" s="218"/>
      <c r="D110" s="45"/>
      <c r="E110" s="45"/>
      <c r="F110" s="219"/>
      <c r="G110" s="219"/>
      <c r="H110" s="219"/>
      <c r="I110" s="220"/>
      <c r="J110" s="220"/>
      <c r="K110" s="220"/>
      <c r="L110" s="220"/>
      <c r="M110" s="220"/>
      <c r="N110" s="220"/>
      <c r="O110" s="220"/>
      <c r="P110" s="220"/>
      <c r="Q110" s="220"/>
      <c r="R110" s="220"/>
      <c r="S110" s="220"/>
      <c r="T110" s="220"/>
      <c r="U110" s="220"/>
      <c r="V110" s="220"/>
      <c r="W110" s="220"/>
      <c r="X110" s="220"/>
      <c r="Y110" s="220"/>
      <c r="Z110" s="220"/>
      <c r="AA110" s="220"/>
      <c r="AB110" s="220"/>
    </row>
    <row r="111" spans="1:37" ht="12.9" hidden="1" customHeight="1" outlineLevel="1" x14ac:dyDescent="0.3">
      <c r="A111" s="47"/>
      <c r="B111" s="221"/>
      <c r="C111" s="221"/>
      <c r="D111" s="48"/>
      <c r="E111" s="48"/>
      <c r="F111" s="222"/>
      <c r="G111" s="222"/>
      <c r="H111" s="222"/>
      <c r="I111" s="223"/>
      <c r="J111" s="223"/>
      <c r="K111" s="223"/>
      <c r="L111" s="223"/>
      <c r="M111" s="223"/>
      <c r="N111" s="223"/>
      <c r="O111" s="223"/>
      <c r="P111" s="223"/>
      <c r="Q111" s="223"/>
      <c r="R111" s="223"/>
      <c r="S111" s="223"/>
      <c r="T111" s="223"/>
      <c r="U111" s="223"/>
      <c r="V111" s="223"/>
      <c r="W111" s="223"/>
      <c r="X111" s="223"/>
      <c r="Y111" s="223"/>
      <c r="Z111" s="223"/>
      <c r="AA111" s="223"/>
      <c r="AB111" s="223"/>
    </row>
    <row r="112" spans="1:37" ht="12.9" hidden="1" customHeight="1" outlineLevel="1" x14ac:dyDescent="0.3">
      <c r="A112" s="44"/>
      <c r="B112" s="218"/>
      <c r="C112" s="218"/>
      <c r="D112" s="45"/>
      <c r="E112" s="45"/>
      <c r="F112" s="219"/>
      <c r="G112" s="219"/>
      <c r="H112" s="219"/>
      <c r="I112" s="220"/>
      <c r="J112" s="220"/>
      <c r="K112" s="220"/>
      <c r="L112" s="220"/>
      <c r="M112" s="220"/>
      <c r="N112" s="220"/>
      <c r="O112" s="220"/>
      <c r="P112" s="220"/>
      <c r="Q112" s="220"/>
      <c r="R112" s="220"/>
      <c r="S112" s="220"/>
      <c r="T112" s="220"/>
      <c r="U112" s="220"/>
      <c r="V112" s="220"/>
      <c r="W112" s="220"/>
      <c r="X112" s="220"/>
      <c r="Y112" s="220"/>
      <c r="Z112" s="220"/>
      <c r="AA112" s="220"/>
      <c r="AB112" s="220"/>
    </row>
    <row r="113" spans="1:28" ht="12.9" hidden="1" customHeight="1" outlineLevel="1" x14ac:dyDescent="0.3">
      <c r="A113" s="47"/>
      <c r="B113" s="221"/>
      <c r="C113" s="221"/>
      <c r="D113" s="48"/>
      <c r="E113" s="48"/>
      <c r="F113" s="222"/>
      <c r="G113" s="222"/>
      <c r="H113" s="222"/>
      <c r="I113" s="223"/>
      <c r="J113" s="223"/>
      <c r="K113" s="223"/>
      <c r="L113" s="223"/>
      <c r="M113" s="223"/>
      <c r="N113" s="223"/>
      <c r="O113" s="223"/>
      <c r="P113" s="223"/>
      <c r="Q113" s="223"/>
      <c r="R113" s="223"/>
      <c r="S113" s="223"/>
      <c r="T113" s="223"/>
      <c r="U113" s="223"/>
      <c r="V113" s="223"/>
      <c r="W113" s="223"/>
      <c r="X113" s="223"/>
      <c r="Y113" s="223"/>
      <c r="Z113" s="223"/>
      <c r="AA113" s="223"/>
      <c r="AB113" s="223"/>
    </row>
    <row r="114" spans="1:28" ht="12.9" hidden="1" customHeight="1" outlineLevel="1" x14ac:dyDescent="0.3">
      <c r="A114" s="44"/>
      <c r="B114" s="218"/>
      <c r="C114" s="218"/>
      <c r="D114" s="45"/>
      <c r="E114" s="45"/>
      <c r="F114" s="219"/>
      <c r="G114" s="219"/>
      <c r="H114" s="219"/>
      <c r="I114" s="220"/>
      <c r="J114" s="220"/>
      <c r="K114" s="220"/>
      <c r="L114" s="220"/>
      <c r="M114" s="220"/>
      <c r="N114" s="220"/>
      <c r="O114" s="220"/>
      <c r="P114" s="220"/>
      <c r="Q114" s="220"/>
      <c r="R114" s="220"/>
      <c r="S114" s="220"/>
      <c r="T114" s="220"/>
      <c r="U114" s="220"/>
      <c r="V114" s="220"/>
      <c r="W114" s="220"/>
      <c r="X114" s="220"/>
      <c r="Y114" s="220"/>
      <c r="Z114" s="220"/>
      <c r="AA114" s="220"/>
      <c r="AB114" s="220"/>
    </row>
    <row r="115" spans="1:28" ht="12.9" hidden="1" customHeight="1" outlineLevel="1" x14ac:dyDescent="0.3">
      <c r="A115" s="47"/>
      <c r="B115" s="221"/>
      <c r="C115" s="221"/>
      <c r="D115" s="48"/>
      <c r="E115" s="48"/>
      <c r="F115" s="222"/>
      <c r="G115" s="222"/>
      <c r="H115" s="222"/>
      <c r="I115" s="223"/>
      <c r="J115" s="223"/>
      <c r="K115" s="223"/>
      <c r="L115" s="223"/>
      <c r="M115" s="223"/>
      <c r="N115" s="223"/>
      <c r="O115" s="223"/>
      <c r="P115" s="223"/>
      <c r="Q115" s="223"/>
      <c r="R115" s="223"/>
      <c r="S115" s="223"/>
      <c r="T115" s="223"/>
      <c r="U115" s="223"/>
      <c r="V115" s="223"/>
      <c r="W115" s="223"/>
      <c r="X115" s="223"/>
      <c r="Y115" s="223"/>
      <c r="Z115" s="223"/>
      <c r="AA115" s="223"/>
      <c r="AB115" s="223"/>
    </row>
    <row r="116" spans="1:28" ht="12.9" hidden="1" customHeight="1" outlineLevel="1" x14ac:dyDescent="0.3">
      <c r="A116" s="44"/>
      <c r="B116" s="218"/>
      <c r="C116" s="218"/>
      <c r="D116" s="45"/>
      <c r="E116" s="45"/>
      <c r="F116" s="219"/>
      <c r="G116" s="219"/>
      <c r="H116" s="219"/>
      <c r="I116" s="220"/>
      <c r="J116" s="220"/>
      <c r="K116" s="220"/>
      <c r="L116" s="220"/>
      <c r="M116" s="220"/>
      <c r="N116" s="220"/>
      <c r="O116" s="220"/>
      <c r="P116" s="220"/>
      <c r="Q116" s="220"/>
      <c r="R116" s="220"/>
      <c r="S116" s="220"/>
      <c r="T116" s="220"/>
      <c r="U116" s="220"/>
      <c r="V116" s="220"/>
      <c r="W116" s="220"/>
      <c r="X116" s="220"/>
      <c r="Y116" s="220"/>
      <c r="Z116" s="220"/>
      <c r="AA116" s="220"/>
      <c r="AB116" s="220"/>
    </row>
    <row r="117" spans="1:28" ht="12.9" hidden="1" customHeight="1" outlineLevel="1" x14ac:dyDescent="0.3">
      <c r="A117" s="47"/>
      <c r="B117" s="221"/>
      <c r="C117" s="221"/>
      <c r="D117" s="48"/>
      <c r="E117" s="48"/>
      <c r="F117" s="222"/>
      <c r="G117" s="222"/>
      <c r="H117" s="222"/>
      <c r="I117" s="223"/>
      <c r="J117" s="223"/>
      <c r="K117" s="223"/>
      <c r="L117" s="223"/>
      <c r="M117" s="223"/>
      <c r="N117" s="223"/>
      <c r="O117" s="223"/>
      <c r="P117" s="223"/>
      <c r="Q117" s="223"/>
      <c r="R117" s="223"/>
      <c r="S117" s="223"/>
      <c r="T117" s="223"/>
      <c r="U117" s="223"/>
      <c r="V117" s="223"/>
      <c r="W117" s="223"/>
      <c r="X117" s="223"/>
      <c r="Y117" s="223"/>
      <c r="Z117" s="223"/>
      <c r="AA117" s="223"/>
      <c r="AB117" s="223"/>
    </row>
    <row r="118" spans="1:28" ht="12.9" hidden="1" customHeight="1" outlineLevel="1" x14ac:dyDescent="0.3">
      <c r="A118" s="44"/>
      <c r="B118" s="218"/>
      <c r="C118" s="218"/>
      <c r="D118" s="45"/>
      <c r="E118" s="45"/>
      <c r="F118" s="219"/>
      <c r="G118" s="219"/>
      <c r="H118" s="219"/>
      <c r="I118" s="220"/>
      <c r="J118" s="220"/>
      <c r="K118" s="220"/>
      <c r="L118" s="220"/>
      <c r="M118" s="220"/>
      <c r="N118" s="220"/>
      <c r="O118" s="220"/>
      <c r="P118" s="220"/>
      <c r="Q118" s="220"/>
      <c r="R118" s="220"/>
      <c r="S118" s="220"/>
      <c r="T118" s="220"/>
      <c r="U118" s="220"/>
      <c r="V118" s="220"/>
      <c r="W118" s="220"/>
      <c r="X118" s="220"/>
      <c r="Y118" s="220"/>
      <c r="Z118" s="220"/>
      <c r="AA118" s="220"/>
      <c r="AB118" s="220"/>
    </row>
    <row r="119" spans="1:28" ht="12.9" hidden="1" customHeight="1" outlineLevel="1" x14ac:dyDescent="0.3">
      <c r="A119" s="47"/>
      <c r="B119" s="221"/>
      <c r="C119" s="221"/>
      <c r="D119" s="48"/>
      <c r="E119" s="48"/>
      <c r="F119" s="222"/>
      <c r="G119" s="222"/>
      <c r="H119" s="222"/>
      <c r="I119" s="223"/>
      <c r="J119" s="223"/>
      <c r="K119" s="223"/>
      <c r="L119" s="223"/>
      <c r="M119" s="223"/>
      <c r="N119" s="223"/>
      <c r="O119" s="223"/>
      <c r="P119" s="223"/>
      <c r="Q119" s="223"/>
      <c r="R119" s="223"/>
      <c r="S119" s="223"/>
      <c r="T119" s="223"/>
      <c r="U119" s="223"/>
      <c r="V119" s="223"/>
      <c r="W119" s="223"/>
      <c r="X119" s="223"/>
      <c r="Y119" s="223"/>
      <c r="Z119" s="223"/>
      <c r="AA119" s="223"/>
      <c r="AB119" s="223"/>
    </row>
    <row r="120" spans="1:28" ht="12.9" hidden="1" customHeight="1" outlineLevel="1" x14ac:dyDescent="0.3">
      <c r="A120" s="44"/>
      <c r="B120" s="218"/>
      <c r="C120" s="218"/>
      <c r="D120" s="45"/>
      <c r="E120" s="45"/>
      <c r="F120" s="219"/>
      <c r="G120" s="219"/>
      <c r="H120" s="219"/>
      <c r="I120" s="220"/>
      <c r="J120" s="220"/>
      <c r="K120" s="220"/>
      <c r="L120" s="220"/>
      <c r="M120" s="220"/>
      <c r="N120" s="220"/>
      <c r="O120" s="220"/>
      <c r="P120" s="220"/>
      <c r="Q120" s="220"/>
      <c r="R120" s="220"/>
      <c r="S120" s="220"/>
      <c r="T120" s="220"/>
      <c r="U120" s="220"/>
      <c r="V120" s="220"/>
      <c r="W120" s="220"/>
      <c r="X120" s="220"/>
      <c r="Y120" s="220"/>
      <c r="Z120" s="220"/>
      <c r="AA120" s="220"/>
      <c r="AB120" s="220"/>
    </row>
    <row r="121" spans="1:28" ht="12.9" hidden="1" customHeight="1" outlineLevel="1" x14ac:dyDescent="0.3">
      <c r="A121" s="47"/>
      <c r="B121" s="221"/>
      <c r="C121" s="221"/>
      <c r="D121" s="48"/>
      <c r="E121" s="48"/>
      <c r="F121" s="222"/>
      <c r="G121" s="222"/>
      <c r="H121" s="222"/>
      <c r="I121" s="223"/>
      <c r="J121" s="223"/>
      <c r="K121" s="223"/>
      <c r="L121" s="223"/>
      <c r="M121" s="223"/>
      <c r="N121" s="223"/>
      <c r="O121" s="223"/>
      <c r="P121" s="223"/>
      <c r="Q121" s="223"/>
      <c r="R121" s="223"/>
      <c r="S121" s="223"/>
      <c r="T121" s="223"/>
      <c r="U121" s="223"/>
      <c r="V121" s="223"/>
      <c r="W121" s="223"/>
      <c r="X121" s="223"/>
      <c r="Y121" s="223"/>
      <c r="Z121" s="223"/>
      <c r="AA121" s="223"/>
      <c r="AB121" s="223"/>
    </row>
    <row r="122" spans="1:28" ht="12.9" hidden="1" customHeight="1" outlineLevel="1" x14ac:dyDescent="0.3">
      <c r="A122" s="44"/>
      <c r="B122" s="218"/>
      <c r="C122" s="218"/>
      <c r="D122" s="45"/>
      <c r="E122" s="45"/>
      <c r="F122" s="219"/>
      <c r="G122" s="219"/>
      <c r="H122" s="219"/>
      <c r="I122" s="220"/>
      <c r="J122" s="220"/>
      <c r="K122" s="220"/>
      <c r="L122" s="220"/>
      <c r="M122" s="220"/>
      <c r="N122" s="220"/>
      <c r="O122" s="220"/>
      <c r="P122" s="220"/>
      <c r="Q122" s="220"/>
      <c r="R122" s="220"/>
      <c r="S122" s="220"/>
      <c r="T122" s="220"/>
      <c r="U122" s="220"/>
      <c r="V122" s="220"/>
      <c r="W122" s="220"/>
      <c r="X122" s="220"/>
      <c r="Y122" s="220"/>
      <c r="Z122" s="220"/>
      <c r="AA122" s="220"/>
      <c r="AB122" s="220"/>
    </row>
    <row r="123" spans="1:28" ht="12.9" hidden="1" customHeight="1" outlineLevel="1" x14ac:dyDescent="0.3">
      <c r="A123" s="47"/>
      <c r="B123" s="221"/>
      <c r="C123" s="221"/>
      <c r="D123" s="48"/>
      <c r="E123" s="48"/>
      <c r="F123" s="222"/>
      <c r="G123" s="222"/>
      <c r="H123" s="222"/>
      <c r="I123" s="223"/>
      <c r="J123" s="223"/>
      <c r="K123" s="223"/>
      <c r="L123" s="223"/>
      <c r="M123" s="223"/>
      <c r="N123" s="223"/>
      <c r="O123" s="223"/>
      <c r="P123" s="223"/>
      <c r="Q123" s="223"/>
      <c r="R123" s="223"/>
      <c r="S123" s="223"/>
      <c r="T123" s="223"/>
      <c r="U123" s="223"/>
      <c r="V123" s="223"/>
      <c r="W123" s="223"/>
      <c r="X123" s="223"/>
      <c r="Y123" s="223"/>
      <c r="Z123" s="223"/>
      <c r="AA123" s="223"/>
      <c r="AB123" s="223"/>
    </row>
    <row r="124" spans="1:28" ht="12.9" hidden="1" customHeight="1" outlineLevel="1" x14ac:dyDescent="0.3">
      <c r="A124" s="44"/>
      <c r="B124" s="218"/>
      <c r="C124" s="218"/>
      <c r="D124" s="45"/>
      <c r="E124" s="45"/>
      <c r="F124" s="219"/>
      <c r="G124" s="219"/>
      <c r="H124" s="219"/>
      <c r="I124" s="220"/>
      <c r="J124" s="220"/>
      <c r="K124" s="220"/>
      <c r="L124" s="220"/>
      <c r="M124" s="220"/>
      <c r="N124" s="220"/>
      <c r="O124" s="220"/>
      <c r="P124" s="220"/>
      <c r="Q124" s="220"/>
      <c r="R124" s="220"/>
      <c r="S124" s="220"/>
      <c r="T124" s="220"/>
      <c r="U124" s="220"/>
      <c r="V124" s="220"/>
      <c r="W124" s="220"/>
      <c r="X124" s="220"/>
      <c r="Y124" s="220"/>
      <c r="Z124" s="220"/>
      <c r="AA124" s="220"/>
      <c r="AB124" s="220"/>
    </row>
    <row r="125" spans="1:28" ht="12.9" hidden="1" customHeight="1" outlineLevel="1" x14ac:dyDescent="0.3">
      <c r="A125" s="47"/>
      <c r="B125" s="221"/>
      <c r="C125" s="221"/>
      <c r="D125" s="48"/>
      <c r="E125" s="48"/>
      <c r="F125" s="222"/>
      <c r="G125" s="222"/>
      <c r="H125" s="222"/>
      <c r="I125" s="223"/>
      <c r="J125" s="223"/>
      <c r="K125" s="223"/>
      <c r="L125" s="223"/>
      <c r="M125" s="223"/>
      <c r="N125" s="223"/>
      <c r="O125" s="223"/>
      <c r="P125" s="223"/>
      <c r="Q125" s="223"/>
      <c r="R125" s="223"/>
      <c r="S125" s="223"/>
      <c r="T125" s="223"/>
      <c r="U125" s="223"/>
      <c r="V125" s="223"/>
      <c r="W125" s="223"/>
      <c r="X125" s="223"/>
      <c r="Y125" s="223"/>
      <c r="Z125" s="223"/>
      <c r="AA125" s="223"/>
      <c r="AB125" s="223"/>
    </row>
    <row r="126" spans="1:28" ht="12.9" hidden="1" customHeight="1" outlineLevel="1" x14ac:dyDescent="0.3">
      <c r="A126" s="44"/>
      <c r="B126" s="218"/>
      <c r="C126" s="218"/>
      <c r="D126" s="45"/>
      <c r="E126" s="45"/>
      <c r="F126" s="219"/>
      <c r="G126" s="219"/>
      <c r="H126" s="219"/>
      <c r="I126" s="220"/>
      <c r="J126" s="220"/>
      <c r="K126" s="220"/>
      <c r="L126" s="220"/>
      <c r="M126" s="220"/>
      <c r="N126" s="220"/>
      <c r="O126" s="220"/>
      <c r="P126" s="220"/>
      <c r="Q126" s="220"/>
      <c r="R126" s="220"/>
      <c r="S126" s="220"/>
      <c r="T126" s="220"/>
      <c r="U126" s="220"/>
      <c r="V126" s="220"/>
      <c r="W126" s="220"/>
      <c r="X126" s="220"/>
      <c r="Y126" s="220"/>
      <c r="Z126" s="220"/>
      <c r="AA126" s="220"/>
      <c r="AB126" s="220"/>
    </row>
    <row r="127" spans="1:28" ht="12.9" hidden="1" customHeight="1" outlineLevel="1" x14ac:dyDescent="0.3">
      <c r="A127" s="47"/>
      <c r="B127" s="221"/>
      <c r="C127" s="221"/>
      <c r="D127" s="48"/>
      <c r="E127" s="48"/>
      <c r="F127" s="222"/>
      <c r="G127" s="222"/>
      <c r="H127" s="222"/>
      <c r="I127" s="223"/>
      <c r="J127" s="223"/>
      <c r="K127" s="223"/>
      <c r="L127" s="223"/>
      <c r="M127" s="223"/>
      <c r="N127" s="223"/>
      <c r="O127" s="223"/>
      <c r="P127" s="223"/>
      <c r="Q127" s="223"/>
      <c r="R127" s="223"/>
      <c r="S127" s="223"/>
      <c r="T127" s="223"/>
      <c r="U127" s="223"/>
      <c r="V127" s="223"/>
      <c r="W127" s="223"/>
      <c r="X127" s="223"/>
      <c r="Y127" s="223"/>
      <c r="Z127" s="223"/>
      <c r="AA127" s="223"/>
      <c r="AB127" s="223"/>
    </row>
    <row r="128" spans="1:28" ht="12.9" hidden="1" customHeight="1" outlineLevel="1" x14ac:dyDescent="0.3">
      <c r="A128" s="44"/>
      <c r="B128" s="218"/>
      <c r="C128" s="218"/>
      <c r="D128" s="45"/>
      <c r="E128" s="45"/>
      <c r="F128" s="219"/>
      <c r="G128" s="219"/>
      <c r="H128" s="219"/>
      <c r="I128" s="220"/>
      <c r="J128" s="220"/>
      <c r="K128" s="220"/>
      <c r="L128" s="220"/>
      <c r="M128" s="220"/>
      <c r="N128" s="220"/>
      <c r="O128" s="220"/>
      <c r="P128" s="220"/>
      <c r="Q128" s="220"/>
      <c r="R128" s="220"/>
      <c r="S128" s="220"/>
      <c r="T128" s="220"/>
      <c r="U128" s="220"/>
      <c r="V128" s="220"/>
      <c r="W128" s="220"/>
      <c r="X128" s="220"/>
      <c r="Y128" s="220"/>
      <c r="Z128" s="220"/>
      <c r="AA128" s="220"/>
      <c r="AB128" s="220"/>
    </row>
    <row r="129" spans="1:28" ht="12.9" hidden="1" customHeight="1" outlineLevel="1" x14ac:dyDescent="0.3">
      <c r="A129" s="47"/>
      <c r="B129" s="221"/>
      <c r="C129" s="221"/>
      <c r="D129" s="48"/>
      <c r="E129" s="48"/>
      <c r="F129" s="222"/>
      <c r="G129" s="222"/>
      <c r="H129" s="222"/>
      <c r="I129" s="223"/>
      <c r="J129" s="223"/>
      <c r="K129" s="223"/>
      <c r="L129" s="223"/>
      <c r="M129" s="223"/>
      <c r="N129" s="223"/>
      <c r="O129" s="223"/>
      <c r="P129" s="223"/>
      <c r="Q129" s="223"/>
      <c r="R129" s="223"/>
      <c r="S129" s="223"/>
      <c r="T129" s="223"/>
      <c r="U129" s="223"/>
      <c r="V129" s="223"/>
      <c r="W129" s="223"/>
      <c r="X129" s="223"/>
      <c r="Y129" s="223"/>
      <c r="Z129" s="223"/>
      <c r="AA129" s="223"/>
      <c r="AB129" s="223"/>
    </row>
    <row r="130" spans="1:28" ht="12.9" hidden="1" customHeight="1" outlineLevel="1" x14ac:dyDescent="0.3">
      <c r="A130" s="44"/>
      <c r="B130" s="218"/>
      <c r="C130" s="218"/>
      <c r="D130" s="45"/>
      <c r="E130" s="45"/>
      <c r="F130" s="219"/>
      <c r="G130" s="219"/>
      <c r="H130" s="219"/>
      <c r="I130" s="220"/>
      <c r="J130" s="220"/>
      <c r="K130" s="220"/>
      <c r="L130" s="220"/>
      <c r="M130" s="220"/>
      <c r="N130" s="220"/>
      <c r="O130" s="220"/>
      <c r="P130" s="220"/>
      <c r="Q130" s="220"/>
      <c r="R130" s="220"/>
      <c r="S130" s="220"/>
      <c r="T130" s="220"/>
      <c r="U130" s="220"/>
      <c r="V130" s="220"/>
      <c r="W130" s="220"/>
      <c r="X130" s="220"/>
      <c r="Y130" s="220"/>
      <c r="Z130" s="220"/>
      <c r="AA130" s="220"/>
      <c r="AB130" s="220"/>
    </row>
    <row r="131" spans="1:28" ht="12.9" hidden="1" customHeight="1" outlineLevel="1" x14ac:dyDescent="0.3">
      <c r="A131" s="47"/>
      <c r="B131" s="221"/>
      <c r="C131" s="221"/>
      <c r="D131" s="48"/>
      <c r="E131" s="48"/>
      <c r="F131" s="222"/>
      <c r="G131" s="222"/>
      <c r="H131" s="222"/>
      <c r="I131" s="223"/>
      <c r="J131" s="223"/>
      <c r="K131" s="223"/>
      <c r="L131" s="223"/>
      <c r="M131" s="223"/>
      <c r="N131" s="223"/>
      <c r="O131" s="223"/>
      <c r="P131" s="223"/>
      <c r="Q131" s="223"/>
      <c r="R131" s="223"/>
      <c r="S131" s="223"/>
      <c r="T131" s="223"/>
      <c r="U131" s="223"/>
      <c r="V131" s="223"/>
      <c r="W131" s="223"/>
      <c r="X131" s="223"/>
      <c r="Y131" s="223"/>
      <c r="Z131" s="223"/>
      <c r="AA131" s="223"/>
      <c r="AB131" s="223"/>
    </row>
    <row r="132" spans="1:28" ht="12.9" hidden="1" customHeight="1" outlineLevel="1" x14ac:dyDescent="0.3">
      <c r="A132" s="44"/>
      <c r="B132" s="218"/>
      <c r="C132" s="218"/>
      <c r="D132" s="45"/>
      <c r="E132" s="45"/>
      <c r="F132" s="219"/>
      <c r="G132" s="219"/>
      <c r="H132" s="219"/>
      <c r="I132" s="220"/>
      <c r="J132" s="220"/>
      <c r="K132" s="220"/>
      <c r="L132" s="220"/>
      <c r="M132" s="220"/>
      <c r="N132" s="220"/>
      <c r="O132" s="220"/>
      <c r="P132" s="220"/>
      <c r="Q132" s="220"/>
      <c r="R132" s="220"/>
      <c r="S132" s="220"/>
      <c r="T132" s="220"/>
      <c r="U132" s="220"/>
      <c r="V132" s="220"/>
      <c r="W132" s="220"/>
      <c r="X132" s="220"/>
      <c r="Y132" s="220"/>
      <c r="Z132" s="220"/>
      <c r="AA132" s="220"/>
      <c r="AB132" s="220"/>
    </row>
    <row r="133" spans="1:28" ht="12.9" hidden="1" customHeight="1" outlineLevel="1" x14ac:dyDescent="0.3">
      <c r="A133" s="47"/>
      <c r="B133" s="221"/>
      <c r="C133" s="221"/>
      <c r="D133" s="48"/>
      <c r="E133" s="48"/>
      <c r="F133" s="222"/>
      <c r="G133" s="222"/>
      <c r="H133" s="222"/>
      <c r="I133" s="223"/>
      <c r="J133" s="223"/>
      <c r="K133" s="223"/>
      <c r="L133" s="223"/>
      <c r="M133" s="223"/>
      <c r="N133" s="223"/>
      <c r="O133" s="223"/>
      <c r="P133" s="223"/>
      <c r="Q133" s="223"/>
      <c r="R133" s="223"/>
      <c r="S133" s="223"/>
      <c r="T133" s="223"/>
      <c r="U133" s="223"/>
      <c r="V133" s="223"/>
      <c r="W133" s="223"/>
      <c r="X133" s="223"/>
      <c r="Y133" s="223"/>
      <c r="Z133" s="223"/>
      <c r="AA133" s="223"/>
      <c r="AB133" s="223"/>
    </row>
    <row r="134" spans="1:28" ht="12.9" hidden="1" customHeight="1" outlineLevel="1" x14ac:dyDescent="0.3">
      <c r="A134" s="44"/>
      <c r="B134" s="218"/>
      <c r="C134" s="218"/>
      <c r="D134" s="45"/>
      <c r="E134" s="45"/>
      <c r="F134" s="219"/>
      <c r="G134" s="219"/>
      <c r="H134" s="219"/>
      <c r="I134" s="220"/>
      <c r="J134" s="220"/>
      <c r="K134" s="220"/>
      <c r="L134" s="220"/>
      <c r="M134" s="220"/>
      <c r="N134" s="220"/>
      <c r="O134" s="220"/>
      <c r="P134" s="220"/>
      <c r="Q134" s="220"/>
      <c r="R134" s="220"/>
      <c r="S134" s="220"/>
      <c r="T134" s="220"/>
      <c r="U134" s="220"/>
      <c r="V134" s="220"/>
      <c r="W134" s="220"/>
      <c r="X134" s="220"/>
      <c r="Y134" s="220"/>
      <c r="Z134" s="220"/>
      <c r="AA134" s="220"/>
      <c r="AB134" s="220"/>
    </row>
    <row r="135" spans="1:28" ht="12.9" hidden="1" customHeight="1" outlineLevel="1" x14ac:dyDescent="0.3">
      <c r="A135" s="47"/>
      <c r="B135" s="221"/>
      <c r="C135" s="221"/>
      <c r="D135" s="48"/>
      <c r="E135" s="48"/>
      <c r="F135" s="222"/>
      <c r="G135" s="222"/>
      <c r="H135" s="222"/>
      <c r="I135" s="223"/>
      <c r="J135" s="223"/>
      <c r="K135" s="223"/>
      <c r="L135" s="223"/>
      <c r="M135" s="223"/>
      <c r="N135" s="223"/>
      <c r="O135" s="223"/>
      <c r="P135" s="223"/>
      <c r="Q135" s="223"/>
      <c r="R135" s="223"/>
      <c r="S135" s="223"/>
      <c r="T135" s="223"/>
      <c r="U135" s="223"/>
      <c r="V135" s="223"/>
      <c r="W135" s="223"/>
      <c r="X135" s="223"/>
      <c r="Y135" s="223"/>
      <c r="Z135" s="223"/>
      <c r="AA135" s="223"/>
      <c r="AB135" s="223"/>
    </row>
    <row r="136" spans="1:28" ht="12.9" hidden="1" customHeight="1" outlineLevel="1" x14ac:dyDescent="0.3">
      <c r="A136" s="44"/>
      <c r="B136" s="218"/>
      <c r="C136" s="218"/>
      <c r="D136" s="45"/>
      <c r="E136" s="45"/>
      <c r="F136" s="219"/>
      <c r="G136" s="219"/>
      <c r="H136" s="219"/>
      <c r="I136" s="220"/>
      <c r="J136" s="220"/>
      <c r="K136" s="220"/>
      <c r="L136" s="220"/>
      <c r="M136" s="220"/>
      <c r="N136" s="220"/>
      <c r="O136" s="220"/>
      <c r="P136" s="220"/>
      <c r="Q136" s="220"/>
      <c r="R136" s="220"/>
      <c r="S136" s="220"/>
      <c r="T136" s="220"/>
      <c r="U136" s="220"/>
      <c r="V136" s="220"/>
      <c r="W136" s="220"/>
      <c r="X136" s="220"/>
      <c r="Y136" s="220"/>
      <c r="Z136" s="220"/>
      <c r="AA136" s="220"/>
      <c r="AB136" s="220"/>
    </row>
    <row r="137" spans="1:28" ht="12.9" hidden="1" customHeight="1" outlineLevel="1" x14ac:dyDescent="0.3">
      <c r="A137" s="47"/>
      <c r="B137" s="221"/>
      <c r="C137" s="221"/>
      <c r="D137" s="48"/>
      <c r="E137" s="48"/>
      <c r="F137" s="222"/>
      <c r="G137" s="222"/>
      <c r="H137" s="222"/>
      <c r="I137" s="223"/>
      <c r="J137" s="223"/>
      <c r="K137" s="223"/>
      <c r="L137" s="223"/>
      <c r="M137" s="223"/>
      <c r="N137" s="223"/>
      <c r="O137" s="223"/>
      <c r="P137" s="223"/>
      <c r="Q137" s="223"/>
      <c r="R137" s="223"/>
      <c r="S137" s="223"/>
      <c r="T137" s="223"/>
      <c r="U137" s="223"/>
      <c r="V137" s="223"/>
      <c r="W137" s="223"/>
      <c r="X137" s="223"/>
      <c r="Y137" s="223"/>
      <c r="Z137" s="223"/>
      <c r="AA137" s="223"/>
      <c r="AB137" s="223"/>
    </row>
    <row r="138" spans="1:28" ht="12.9" hidden="1" customHeight="1" outlineLevel="1" x14ac:dyDescent="0.3">
      <c r="A138" s="44"/>
      <c r="B138" s="218"/>
      <c r="C138" s="218"/>
      <c r="D138" s="45"/>
      <c r="E138" s="45"/>
      <c r="F138" s="219"/>
      <c r="G138" s="219"/>
      <c r="H138" s="219"/>
      <c r="I138" s="220"/>
      <c r="J138" s="220"/>
      <c r="K138" s="220"/>
      <c r="L138" s="220"/>
      <c r="M138" s="220"/>
      <c r="N138" s="220"/>
      <c r="O138" s="220"/>
      <c r="P138" s="220"/>
      <c r="Q138" s="220"/>
      <c r="R138" s="220"/>
      <c r="S138" s="220"/>
      <c r="T138" s="220"/>
      <c r="U138" s="220"/>
      <c r="V138" s="220"/>
      <c r="W138" s="220"/>
      <c r="X138" s="220"/>
      <c r="Y138" s="220"/>
      <c r="Z138" s="220"/>
      <c r="AA138" s="220"/>
      <c r="AB138" s="220"/>
    </row>
    <row r="139" spans="1:28" ht="12.9" hidden="1" customHeight="1" outlineLevel="1" x14ac:dyDescent="0.3">
      <c r="A139" s="47"/>
      <c r="B139" s="221"/>
      <c r="C139" s="221"/>
      <c r="D139" s="48"/>
      <c r="E139" s="48"/>
      <c r="F139" s="222"/>
      <c r="G139" s="222"/>
      <c r="H139" s="222"/>
      <c r="I139" s="223"/>
      <c r="J139" s="223"/>
      <c r="K139" s="223"/>
      <c r="L139" s="223"/>
      <c r="M139" s="223"/>
      <c r="N139" s="223"/>
      <c r="O139" s="223"/>
      <c r="P139" s="223"/>
      <c r="Q139" s="223"/>
      <c r="R139" s="223"/>
      <c r="S139" s="223"/>
      <c r="T139" s="223"/>
      <c r="U139" s="223"/>
      <c r="V139" s="223"/>
      <c r="W139" s="223"/>
      <c r="X139" s="223"/>
      <c r="Y139" s="223"/>
      <c r="Z139" s="223"/>
      <c r="AA139" s="223"/>
      <c r="AB139" s="223"/>
    </row>
    <row r="140" spans="1:28" ht="12.9" hidden="1" customHeight="1" outlineLevel="1" x14ac:dyDescent="0.3">
      <c r="A140" s="49"/>
      <c r="B140" s="224"/>
      <c r="C140" s="224"/>
      <c r="D140" s="50"/>
      <c r="E140" s="50"/>
      <c r="F140" s="225"/>
      <c r="G140" s="225"/>
      <c r="H140" s="225"/>
      <c r="I140" s="226"/>
      <c r="J140" s="226"/>
      <c r="K140" s="226"/>
      <c r="L140" s="226"/>
      <c r="M140" s="226"/>
      <c r="N140" s="226"/>
      <c r="O140" s="226"/>
      <c r="P140" s="226"/>
      <c r="Q140" s="226"/>
      <c r="R140" s="226"/>
      <c r="S140" s="226"/>
      <c r="T140" s="226"/>
      <c r="U140" s="226"/>
      <c r="V140" s="226"/>
      <c r="W140" s="226"/>
      <c r="X140" s="226"/>
      <c r="Y140" s="226"/>
      <c r="Z140" s="226"/>
      <c r="AA140" s="226"/>
      <c r="AB140" s="226"/>
    </row>
    <row r="141" spans="1:28" collapsed="1" x14ac:dyDescent="0.25"/>
  </sheetData>
  <sheetProtection selectLockedCells="1" selectUnlockedCells="1"/>
  <mergeCells count="373">
    <mergeCell ref="B136:C136"/>
    <mergeCell ref="F136:H136"/>
    <mergeCell ref="I136:AB136"/>
    <mergeCell ref="B137:C137"/>
    <mergeCell ref="F137:H137"/>
    <mergeCell ref="I137:AB137"/>
    <mergeCell ref="B140:C140"/>
    <mergeCell ref="F140:H140"/>
    <mergeCell ref="I140:AB140"/>
    <mergeCell ref="B138:C138"/>
    <mergeCell ref="F138:H138"/>
    <mergeCell ref="I138:AB138"/>
    <mergeCell ref="B139:C139"/>
    <mergeCell ref="F139:H139"/>
    <mergeCell ref="I139:AB139"/>
    <mergeCell ref="B133:C133"/>
    <mergeCell ref="F133:H133"/>
    <mergeCell ref="I133:AB133"/>
    <mergeCell ref="B134:C134"/>
    <mergeCell ref="F134:H134"/>
    <mergeCell ref="I134:AB134"/>
    <mergeCell ref="B135:C135"/>
    <mergeCell ref="F135:H135"/>
    <mergeCell ref="I135:AB135"/>
    <mergeCell ref="B130:C130"/>
    <mergeCell ref="F130:H130"/>
    <mergeCell ref="I130:AB130"/>
    <mergeCell ref="B131:C131"/>
    <mergeCell ref="F131:H131"/>
    <mergeCell ref="I131:AB131"/>
    <mergeCell ref="B132:C132"/>
    <mergeCell ref="F132:H132"/>
    <mergeCell ref="I132:AB132"/>
    <mergeCell ref="B127:C127"/>
    <mergeCell ref="F127:H127"/>
    <mergeCell ref="I127:AB127"/>
    <mergeCell ref="B128:C128"/>
    <mergeCell ref="F128:H128"/>
    <mergeCell ref="I128:AB128"/>
    <mergeCell ref="B129:C129"/>
    <mergeCell ref="F129:H129"/>
    <mergeCell ref="I129:AB129"/>
    <mergeCell ref="B124:C124"/>
    <mergeCell ref="F124:H124"/>
    <mergeCell ref="I124:AB124"/>
    <mergeCell ref="B125:C125"/>
    <mergeCell ref="F125:H125"/>
    <mergeCell ref="I125:AB125"/>
    <mergeCell ref="B126:C126"/>
    <mergeCell ref="F126:H126"/>
    <mergeCell ref="I126:AB126"/>
    <mergeCell ref="B121:C121"/>
    <mergeCell ref="F121:H121"/>
    <mergeCell ref="I121:AB121"/>
    <mergeCell ref="B122:C122"/>
    <mergeCell ref="F122:H122"/>
    <mergeCell ref="I122:AB122"/>
    <mergeCell ref="B123:C123"/>
    <mergeCell ref="F123:H123"/>
    <mergeCell ref="I123:AB123"/>
    <mergeCell ref="B118:C118"/>
    <mergeCell ref="F118:H118"/>
    <mergeCell ref="I118:AB118"/>
    <mergeCell ref="B119:C119"/>
    <mergeCell ref="F119:H119"/>
    <mergeCell ref="I119:AB119"/>
    <mergeCell ref="B120:C120"/>
    <mergeCell ref="F120:H120"/>
    <mergeCell ref="I120:AB120"/>
    <mergeCell ref="B115:C115"/>
    <mergeCell ref="F115:H115"/>
    <mergeCell ref="I115:AB115"/>
    <mergeCell ref="B116:C116"/>
    <mergeCell ref="F116:H116"/>
    <mergeCell ref="I116:AB116"/>
    <mergeCell ref="B117:C117"/>
    <mergeCell ref="F117:H117"/>
    <mergeCell ref="I117:AB117"/>
    <mergeCell ref="B112:C112"/>
    <mergeCell ref="F112:H112"/>
    <mergeCell ref="I112:AB112"/>
    <mergeCell ref="B113:C113"/>
    <mergeCell ref="F113:H113"/>
    <mergeCell ref="I113:AB113"/>
    <mergeCell ref="B114:C114"/>
    <mergeCell ref="F114:H114"/>
    <mergeCell ref="I114:AB114"/>
    <mergeCell ref="B109:C109"/>
    <mergeCell ref="F109:H109"/>
    <mergeCell ref="I109:AB109"/>
    <mergeCell ref="B110:C110"/>
    <mergeCell ref="F110:H110"/>
    <mergeCell ref="I110:AB110"/>
    <mergeCell ref="B111:C111"/>
    <mergeCell ref="F111:H111"/>
    <mergeCell ref="I111:AB111"/>
    <mergeCell ref="B106:C106"/>
    <mergeCell ref="F106:H106"/>
    <mergeCell ref="I106:AB106"/>
    <mergeCell ref="B107:C107"/>
    <mergeCell ref="F107:H107"/>
    <mergeCell ref="I107:AB107"/>
    <mergeCell ref="B108:C108"/>
    <mergeCell ref="F108:H108"/>
    <mergeCell ref="I108:AB108"/>
    <mergeCell ref="B103:C103"/>
    <mergeCell ref="F103:H103"/>
    <mergeCell ref="I103:AB103"/>
    <mergeCell ref="B104:C104"/>
    <mergeCell ref="F104:H104"/>
    <mergeCell ref="I104:AB104"/>
    <mergeCell ref="B105:C105"/>
    <mergeCell ref="F105:H105"/>
    <mergeCell ref="I105:AB105"/>
    <mergeCell ref="B100:C100"/>
    <mergeCell ref="F100:H100"/>
    <mergeCell ref="I100:AB100"/>
    <mergeCell ref="B101:C101"/>
    <mergeCell ref="F101:H101"/>
    <mergeCell ref="I101:AB101"/>
    <mergeCell ref="B102:C102"/>
    <mergeCell ref="F102:H102"/>
    <mergeCell ref="I102:AB102"/>
    <mergeCell ref="B97:C97"/>
    <mergeCell ref="F97:H97"/>
    <mergeCell ref="I97:AB97"/>
    <mergeCell ref="B98:C98"/>
    <mergeCell ref="F98:H98"/>
    <mergeCell ref="I98:AB98"/>
    <mergeCell ref="B99:C99"/>
    <mergeCell ref="F99:H99"/>
    <mergeCell ref="I99:AB99"/>
    <mergeCell ref="A91:H91"/>
    <mergeCell ref="I91:O91"/>
    <mergeCell ref="A92:AB92"/>
    <mergeCell ref="A94:H94"/>
    <mergeCell ref="I94:J94"/>
    <mergeCell ref="B95:C95"/>
    <mergeCell ref="F95:H95"/>
    <mergeCell ref="I95:AB95"/>
    <mergeCell ref="B96:C96"/>
    <mergeCell ref="F96:H96"/>
    <mergeCell ref="I96:AB96"/>
    <mergeCell ref="A86:H86"/>
    <mergeCell ref="I86:O86"/>
    <mergeCell ref="A87:H87"/>
    <mergeCell ref="I87:O87"/>
    <mergeCell ref="A88:H88"/>
    <mergeCell ref="I88:O88"/>
    <mergeCell ref="A89:H89"/>
    <mergeCell ref="I89:O89"/>
    <mergeCell ref="A90:H90"/>
    <mergeCell ref="I90:O90"/>
    <mergeCell ref="I81:O81"/>
    <mergeCell ref="A82:H82"/>
    <mergeCell ref="N82:O82"/>
    <mergeCell ref="A83:H83"/>
    <mergeCell ref="I83:O83"/>
    <mergeCell ref="A84:H84"/>
    <mergeCell ref="I84:O84"/>
    <mergeCell ref="A85:H85"/>
    <mergeCell ref="I85:O85"/>
    <mergeCell ref="A70:C70"/>
    <mergeCell ref="D70:H70"/>
    <mergeCell ref="I70:V70"/>
    <mergeCell ref="A71:AB71"/>
    <mergeCell ref="A72:H72"/>
    <mergeCell ref="I72:AB72"/>
    <mergeCell ref="A73:H73"/>
    <mergeCell ref="I73:O73"/>
    <mergeCell ref="P73:AB91"/>
    <mergeCell ref="A74:H74"/>
    <mergeCell ref="I74:O74"/>
    <mergeCell ref="A75:H75"/>
    <mergeCell ref="I75:O75"/>
    <mergeCell ref="A76:H76"/>
    <mergeCell ref="I76:O76"/>
    <mergeCell ref="A77:H77"/>
    <mergeCell ref="I77:O77"/>
    <mergeCell ref="A78:H78"/>
    <mergeCell ref="I78:O78"/>
    <mergeCell ref="A79:H79"/>
    <mergeCell ref="I79:O79"/>
    <mergeCell ref="A80:H80"/>
    <mergeCell ref="I80:O80"/>
    <mergeCell ref="A81:H81"/>
    <mergeCell ref="A62:C62"/>
    <mergeCell ref="D62:H62"/>
    <mergeCell ref="R62:R65"/>
    <mergeCell ref="T62:T68"/>
    <mergeCell ref="V62:V69"/>
    <mergeCell ref="F63:H63"/>
    <mergeCell ref="A64:C64"/>
    <mergeCell ref="D64:H64"/>
    <mergeCell ref="F65:H65"/>
    <mergeCell ref="A66:C66"/>
    <mergeCell ref="D66:H66"/>
    <mergeCell ref="I66:R66"/>
    <mergeCell ref="F67:H67"/>
    <mergeCell ref="A68:C68"/>
    <mergeCell ref="D68:H68"/>
    <mergeCell ref="I68:S68"/>
    <mergeCell ref="F69:H69"/>
    <mergeCell ref="A59:C59"/>
    <mergeCell ref="D59:H59"/>
    <mergeCell ref="I59:K59"/>
    <mergeCell ref="L59:M59"/>
    <mergeCell ref="A60:C60"/>
    <mergeCell ref="D60:H60"/>
    <mergeCell ref="I60:K60"/>
    <mergeCell ref="L60:M60"/>
    <mergeCell ref="A61:C61"/>
    <mergeCell ref="D61:H61"/>
    <mergeCell ref="I61:K61"/>
    <mergeCell ref="L61:M61"/>
    <mergeCell ref="A56:C56"/>
    <mergeCell ref="D56:H56"/>
    <mergeCell ref="I56:K56"/>
    <mergeCell ref="L56:M56"/>
    <mergeCell ref="A57:C57"/>
    <mergeCell ref="D57:H57"/>
    <mergeCell ref="I57:K57"/>
    <mergeCell ref="L57:M57"/>
    <mergeCell ref="A58:C58"/>
    <mergeCell ref="D58:H58"/>
    <mergeCell ref="I58:K58"/>
    <mergeCell ref="L58:M58"/>
    <mergeCell ref="A53:C53"/>
    <mergeCell ref="D53:H53"/>
    <mergeCell ref="I53:K53"/>
    <mergeCell ref="L53:M53"/>
    <mergeCell ref="A54:C54"/>
    <mergeCell ref="D54:H54"/>
    <mergeCell ref="I54:K54"/>
    <mergeCell ref="L54:M54"/>
    <mergeCell ref="A55:C55"/>
    <mergeCell ref="D55:H55"/>
    <mergeCell ref="I55:K55"/>
    <mergeCell ref="L55:M55"/>
    <mergeCell ref="A50:C50"/>
    <mergeCell ref="D50:H50"/>
    <mergeCell ref="I50:K50"/>
    <mergeCell ref="L50:M50"/>
    <mergeCell ref="A51:C51"/>
    <mergeCell ref="D51:H51"/>
    <mergeCell ref="I51:K51"/>
    <mergeCell ref="L51:M51"/>
    <mergeCell ref="A52:C52"/>
    <mergeCell ref="D52:H52"/>
    <mergeCell ref="I52:K52"/>
    <mergeCell ref="L52:M52"/>
    <mergeCell ref="A47:C47"/>
    <mergeCell ref="D47:H47"/>
    <mergeCell ref="I47:K47"/>
    <mergeCell ref="L47:M47"/>
    <mergeCell ref="A48:C48"/>
    <mergeCell ref="D48:H48"/>
    <mergeCell ref="I48:K48"/>
    <mergeCell ref="L48:M48"/>
    <mergeCell ref="A49:C49"/>
    <mergeCell ref="D49:H49"/>
    <mergeCell ref="I49:K49"/>
    <mergeCell ref="L49:M49"/>
    <mergeCell ref="A44:C44"/>
    <mergeCell ref="D44:H44"/>
    <mergeCell ref="I44:K44"/>
    <mergeCell ref="L44:M44"/>
    <mergeCell ref="A45:C45"/>
    <mergeCell ref="D45:H45"/>
    <mergeCell ref="I45:K45"/>
    <mergeCell ref="L45:M45"/>
    <mergeCell ref="A46:C46"/>
    <mergeCell ref="D46:H46"/>
    <mergeCell ref="I46:K46"/>
    <mergeCell ref="L46:M46"/>
    <mergeCell ref="AS28:AV43"/>
    <mergeCell ref="AX28:BA43"/>
    <mergeCell ref="BC28:BF43"/>
    <mergeCell ref="A35:AB35"/>
    <mergeCell ref="A36:F36"/>
    <mergeCell ref="I36:AB36"/>
    <mergeCell ref="A37:C37"/>
    <mergeCell ref="D37:H37"/>
    <mergeCell ref="I37:K37"/>
    <mergeCell ref="L37:M37"/>
    <mergeCell ref="N37:AB37"/>
    <mergeCell ref="A38:C38"/>
    <mergeCell ref="D38:H38"/>
    <mergeCell ref="I38:K38"/>
    <mergeCell ref="L38:M38"/>
    <mergeCell ref="Q38:AB38"/>
    <mergeCell ref="A39:C39"/>
    <mergeCell ref="D39:H39"/>
    <mergeCell ref="I39:K39"/>
    <mergeCell ref="L39:M39"/>
    <mergeCell ref="N39:N61"/>
    <mergeCell ref="P39:P61"/>
    <mergeCell ref="A40:C40"/>
    <mergeCell ref="D40:H40"/>
    <mergeCell ref="A25:H25"/>
    <mergeCell ref="I25:K25"/>
    <mergeCell ref="L25:O25"/>
    <mergeCell ref="A26:H26"/>
    <mergeCell ref="I26:O26"/>
    <mergeCell ref="A27:AB27"/>
    <mergeCell ref="A28:AB34"/>
    <mergeCell ref="AI28:AL43"/>
    <mergeCell ref="AN28:AQ43"/>
    <mergeCell ref="I40:K40"/>
    <mergeCell ref="L40:M40"/>
    <mergeCell ref="A41:C41"/>
    <mergeCell ref="D41:H41"/>
    <mergeCell ref="I41:K41"/>
    <mergeCell ref="L41:M41"/>
    <mergeCell ref="A42:C42"/>
    <mergeCell ref="D42:H42"/>
    <mergeCell ref="I42:K42"/>
    <mergeCell ref="L42:M42"/>
    <mergeCell ref="A43:C43"/>
    <mergeCell ref="D43:H43"/>
    <mergeCell ref="I43:K43"/>
    <mergeCell ref="L43:M43"/>
    <mergeCell ref="A14:H14"/>
    <mergeCell ref="I14:AB14"/>
    <mergeCell ref="A15:H15"/>
    <mergeCell ref="I15:O15"/>
    <mergeCell ref="P15:AB26"/>
    <mergeCell ref="A16:H16"/>
    <mergeCell ref="I16:O16"/>
    <mergeCell ref="A17:H17"/>
    <mergeCell ref="I17:O17"/>
    <mergeCell ref="A18:H18"/>
    <mergeCell ref="I18:O18"/>
    <mergeCell ref="A19:H19"/>
    <mergeCell ref="I19:O19"/>
    <mergeCell ref="A20:H20"/>
    <mergeCell ref="I20:O20"/>
    <mergeCell ref="A21:H21"/>
    <mergeCell ref="I21:O21"/>
    <mergeCell ref="A22:H22"/>
    <mergeCell ref="I22:O22"/>
    <mergeCell ref="A23:H23"/>
    <mergeCell ref="I23:O23"/>
    <mergeCell ref="A24:H24"/>
    <mergeCell ref="I24:K24"/>
    <mergeCell ref="L24:O24"/>
    <mergeCell ref="A9:H9"/>
    <mergeCell ref="I9:O9"/>
    <mergeCell ref="P9:AB9"/>
    <mergeCell ref="A10:H11"/>
    <mergeCell ref="I10:AB11"/>
    <mergeCell ref="A12:H12"/>
    <mergeCell ref="I12:AB12"/>
    <mergeCell ref="A13:H13"/>
    <mergeCell ref="I13:AB13"/>
    <mergeCell ref="A6:H6"/>
    <mergeCell ref="I6:AB6"/>
    <mergeCell ref="A7:H7"/>
    <mergeCell ref="I7:O7"/>
    <mergeCell ref="P7:R7"/>
    <mergeCell ref="S7:AB7"/>
    <mergeCell ref="A8:H8"/>
    <mergeCell ref="I8:O8"/>
    <mergeCell ref="P8:AB8"/>
    <mergeCell ref="A2:H2"/>
    <mergeCell ref="I2:AB2"/>
    <mergeCell ref="A3:H3"/>
    <mergeCell ref="I3:O3"/>
    <mergeCell ref="P3:AB3"/>
    <mergeCell ref="A4:H4"/>
    <mergeCell ref="I4:AB4"/>
    <mergeCell ref="A5:H5"/>
    <mergeCell ref="I5:AB5"/>
  </mergeCells>
  <conditionalFormatting sqref="O43 W57:AB57 O57 Q57 Q43 S43 S57 U57 U43 W43:AB43 D57:F57 L43:M43 L57:M57">
    <cfRule type="expression" dxfId="91" priority="1" stopIfTrue="1">
      <formula>($AG$19=10)</formula>
    </cfRule>
  </conditionalFormatting>
  <conditionalFormatting sqref="O45 W55:AB55 O55 Q55 Q45 S45 S55 U55 U45 W45:AB45 D55:F55 L45:M45 L55:M55">
    <cfRule type="expression" dxfId="90" priority="2" stopIfTrue="1">
      <formula>($AG$19&gt;=8)</formula>
    </cfRule>
  </conditionalFormatting>
  <conditionalFormatting sqref="W47:AB47 O53 O47 Q47 Q53 S53 S47 U47 U53 W53:AB53 D47:F47 D53:F53 L47:M47 L53:M53">
    <cfRule type="expression" dxfId="89" priority="3" stopIfTrue="1">
      <formula>($AG$19&gt;=6)</formula>
    </cfRule>
  </conditionalFormatting>
  <conditionalFormatting sqref="W49:AB49 O51 O49 Q49 Q51 S51 S49 U49 U51 W51:AB51 D49:F49 D51:F51 L49:M49 L51:M51">
    <cfRule type="expression" dxfId="88" priority="4" stopIfTrue="1">
      <formula>($AG$19&gt;=4)</formula>
    </cfRule>
  </conditionalFormatting>
  <conditionalFormatting sqref="N38 D62:F62 I62:N62">
    <cfRule type="expression" dxfId="87" priority="5" stopIfTrue="1">
      <formula>($AG$19&lt;2)</formula>
    </cfRule>
  </conditionalFormatting>
  <conditionalFormatting sqref="T62:T68 R62:R65 D68 D66">
    <cfRule type="expression" dxfId="86" priority="6" stopIfTrue="1">
      <formula>($AG$19&lt;=2)</formula>
    </cfRule>
  </conditionalFormatting>
  <conditionalFormatting sqref="N39:N61">
    <cfRule type="expression" dxfId="85" priority="7" stopIfTrue="1">
      <formula>($AG$19&lt;2)</formula>
    </cfRule>
  </conditionalFormatting>
  <conditionalFormatting sqref="V62:V69 D70 I70">
    <cfRule type="expression" dxfId="84" priority="8" stopIfTrue="1">
      <formula>($AG$19&lt;=4)</formula>
    </cfRule>
  </conditionalFormatting>
  <conditionalFormatting sqref="O59 Q59 S59 U59 W59:AB59 D59:F59 L59:M59">
    <cfRule type="expression" dxfId="83" priority="9" stopIfTrue="1">
      <formula>($AG$19&lt;2)</formula>
    </cfRule>
  </conditionalFormatting>
  <conditionalFormatting sqref="O41 Q41 S41 U41 W41:AB41 D41:F41 L41:M41">
    <cfRule type="expression" dxfId="82" priority="10" stopIfTrue="1">
      <formula>($AG$19&lt;1)</formula>
    </cfRule>
  </conditionalFormatting>
  <conditionalFormatting sqref="O40 Q40 S40 U40 W40:AB40 O60 S60 U60 Q60 W60:AB60 L24:N24">
    <cfRule type="expression" dxfId="81" priority="11" stopIfTrue="1">
      <formula>AND($AG$24&gt;=2,$L$24="зеленого(типового)цвета")</formula>
    </cfRule>
    <cfRule type="expression" dxfId="80" priority="12" stopIfTrue="1">
      <formula>AND($AG$24&gt;=2,$L$24="синего цвета")</formula>
    </cfRule>
    <cfRule type="expression" dxfId="79" priority="13" stopIfTrue="1">
      <formula>AND($AG$24&gt;=2,$L$24="красного цвета")</formula>
    </cfRule>
  </conditionalFormatting>
  <conditionalFormatting sqref="I13:AB13">
    <cfRule type="expression" dxfId="78" priority="14" stopIfTrue="1">
      <formula>AND($I$13&lt;&gt;0,$I$13&lt;&gt;"необходимо заполнить")</formula>
    </cfRule>
  </conditionalFormatting>
  <conditionalFormatting sqref="I7:O7">
    <cfRule type="expression" dxfId="77" priority="15" stopIfTrue="1">
      <formula>AND($I$7&lt;&gt;0,$I$7&lt;&gt;"необходимо заполнить")</formula>
    </cfRule>
  </conditionalFormatting>
  <conditionalFormatting sqref="I8:O8">
    <cfRule type="expression" dxfId="76" priority="16" stopIfTrue="1">
      <formula>AND($I$8&lt;&gt;0,$I$8&lt;&gt;"необходимо заполнить")</formula>
    </cfRule>
  </conditionalFormatting>
  <conditionalFormatting sqref="L25:O25">
    <cfRule type="expression" dxfId="75" priority="17" stopIfTrue="1">
      <formula>AND($I$25&lt;&gt;0,$I$25&lt;&gt;"Маркировка отсутствует")</formula>
    </cfRule>
  </conditionalFormatting>
  <conditionalFormatting sqref="I3:O3">
    <cfRule type="expression" dxfId="74" priority="18" stopIfTrue="1">
      <formula>AND($I$3&lt;&gt;0,$I$3&lt;&gt;"необходимо заполнить")</formula>
    </cfRule>
  </conditionalFormatting>
  <conditionalFormatting sqref="I2:AA2">
    <cfRule type="expression" dxfId="73" priority="19" stopIfTrue="1">
      <formula>AND($I$2&lt;&gt;0,$I$2&lt;&gt;"необходимо заполнить")</formula>
    </cfRule>
  </conditionalFormatting>
  <conditionalFormatting sqref="I4:AB4">
    <cfRule type="expression" dxfId="72" priority="20" stopIfTrue="1">
      <formula>AND($I$4&lt;&gt;0,$I$4&lt;&gt;"необходимо заполнить")</formula>
    </cfRule>
  </conditionalFormatting>
  <conditionalFormatting sqref="I5:AB5">
    <cfRule type="expression" dxfId="71" priority="21" stopIfTrue="1">
      <formula>AND($I$5&lt;&gt;0,$I$5&lt;&gt;"необходимо заполнить")</formula>
    </cfRule>
  </conditionalFormatting>
  <conditionalFormatting sqref="I6:AB6">
    <cfRule type="expression" dxfId="70" priority="22" stopIfTrue="1">
      <formula>AND($I$6&lt;&gt;0,$I$6&lt;&gt;"необходимо заполнить")</formula>
    </cfRule>
    <cfRule type="expression" dxfId="69" priority="23" stopIfTrue="1">
      <formula>($I$3="Физическое лицо")</formula>
    </cfRule>
  </conditionalFormatting>
  <conditionalFormatting sqref="A95:B95 D95">
    <cfRule type="expression" dxfId="68" priority="24" stopIfTrue="1">
      <formula>OR(#REF!="PCAD 4,5",#REF!="PCAD 8,5")</formula>
    </cfRule>
  </conditionalFormatting>
  <conditionalFormatting sqref="A43:C44 A57:C57">
    <cfRule type="expression" dxfId="67" priority="25" stopIfTrue="1">
      <formula>($AG$19&lt;10)</formula>
    </cfRule>
  </conditionalFormatting>
  <conditionalFormatting sqref="A45:C45 A55:C55">
    <cfRule type="expression" dxfId="66" priority="26" stopIfTrue="1">
      <formula>($AG$19&lt;8)</formula>
    </cfRule>
  </conditionalFormatting>
  <conditionalFormatting sqref="A47:C47 A53:C53">
    <cfRule type="expression" dxfId="65" priority="27" stopIfTrue="1">
      <formula>($AG$19&lt;6)</formula>
    </cfRule>
  </conditionalFormatting>
  <conditionalFormatting sqref="A49:C49 A51:C51">
    <cfRule type="expression" dxfId="64" priority="28" stopIfTrue="1">
      <formula>($AG$19&lt;4)</formula>
    </cfRule>
  </conditionalFormatting>
  <conditionalFormatting sqref="A59:C59 A62:C62">
    <cfRule type="expression" dxfId="63" priority="29" stopIfTrue="1">
      <formula>($AG$19&lt;2)</formula>
    </cfRule>
  </conditionalFormatting>
  <conditionalFormatting sqref="A41:C41">
    <cfRule type="expression" dxfId="62" priority="30" stopIfTrue="1">
      <formula>($AG$19&lt;1)</formula>
    </cfRule>
  </conditionalFormatting>
  <conditionalFormatting sqref="A66:C66 A68:C68">
    <cfRule type="expression" dxfId="61" priority="31" stopIfTrue="1">
      <formula>($AG$19&lt;=2)</formula>
    </cfRule>
  </conditionalFormatting>
  <conditionalFormatting sqref="A70:A71 B70:C70">
    <cfRule type="expression" dxfId="60" priority="32" stopIfTrue="1">
      <formula>($AG$19&lt;=4)</formula>
    </cfRule>
  </conditionalFormatting>
  <conditionalFormatting sqref="A40:C40">
    <cfRule type="expression" dxfId="59" priority="33" stopIfTrue="1">
      <formula>($AG$24&lt;2)</formula>
    </cfRule>
  </conditionalFormatting>
  <conditionalFormatting sqref="A60:C60">
    <cfRule type="expression" dxfId="58" priority="34" stopIfTrue="1">
      <formula>OR($AG$24=2,$AG$24=0)</formula>
    </cfRule>
  </conditionalFormatting>
  <conditionalFormatting sqref="A39:C39">
    <cfRule type="expression" dxfId="57" priority="35" stopIfTrue="1">
      <formula>($AG$25&lt;2)</formula>
    </cfRule>
  </conditionalFormatting>
  <conditionalFormatting sqref="A61:C61">
    <cfRule type="expression" dxfId="56" priority="36" stopIfTrue="1">
      <formula>OR($AG$25=2,$AG$25=0)</formula>
    </cfRule>
  </conditionalFormatting>
  <conditionalFormatting sqref="D40:F40">
    <cfRule type="expression" dxfId="55" priority="37" stopIfTrue="1">
      <formula>AND($AG$24&gt;=2,$L$24="зеленого(типового)цвета")</formula>
    </cfRule>
    <cfRule type="expression" dxfId="54" priority="38" stopIfTrue="1">
      <formula>AND($AG$24&gt;=2,$L$24="синего цвета")</formula>
    </cfRule>
    <cfRule type="expression" dxfId="53" priority="39" stopIfTrue="1">
      <formula>AND($AG$24&gt;=2,$L$24="красного цвета")</formula>
    </cfRule>
  </conditionalFormatting>
  <conditionalFormatting sqref="I56 I54 I52 I58 I50 I46 I48 I44 I41:I42 J41">
    <cfRule type="expression" dxfId="52" priority="40" stopIfTrue="1">
      <formula>($AG$19&lt;1)</formula>
    </cfRule>
  </conditionalFormatting>
  <conditionalFormatting sqref="I57 I43">
    <cfRule type="expression" dxfId="51" priority="41" stopIfTrue="1">
      <formula>($AG$19=10)</formula>
    </cfRule>
  </conditionalFormatting>
  <conditionalFormatting sqref="I45 I55">
    <cfRule type="expression" dxfId="50" priority="42" stopIfTrue="1">
      <formula>($AG$19&gt;=8)</formula>
    </cfRule>
  </conditionalFormatting>
  <conditionalFormatting sqref="I47 I53">
    <cfRule type="expression" dxfId="49" priority="43" stopIfTrue="1">
      <formula>($AG$19&gt;=6)</formula>
    </cfRule>
  </conditionalFormatting>
  <conditionalFormatting sqref="I49 I51">
    <cfRule type="expression" dxfId="48" priority="44" stopIfTrue="1">
      <formula>($AG$19&gt;=4)</formula>
    </cfRule>
  </conditionalFormatting>
  <conditionalFormatting sqref="I59">
    <cfRule type="expression" dxfId="47" priority="45" stopIfTrue="1">
      <formula>($AG$19&lt;2)</formula>
    </cfRule>
  </conditionalFormatting>
  <conditionalFormatting sqref="P3:AB3">
    <cfRule type="expression" dxfId="46" priority="46" stopIfTrue="1">
      <formula>AND($I$3&lt;&gt;0,$I$3&lt;&gt;"необходимо заполнить")</formula>
    </cfRule>
  </conditionalFormatting>
  <conditionalFormatting sqref="P8:AB8">
    <cfRule type="expression" dxfId="45" priority="47" stopIfTrue="1">
      <formula>AND($I$8&lt;&gt;0,$I$8&lt;&gt;"необходимо заполнить")</formula>
    </cfRule>
  </conditionalFormatting>
  <conditionalFormatting sqref="D40:H40">
    <cfRule type="expression" dxfId="44" priority="48" stopIfTrue="1">
      <formula>AND($AG$24&gt;=2,$L$24="желтого цвета")</formula>
    </cfRule>
    <cfRule type="expression" dxfId="43" priority="49" stopIfTrue="1">
      <formula>OR(AND($AG$24&gt;=2,$L$24="черного цвета"),AND($AG$24&gt;=2,$L$24="черного матового цвета"))</formula>
    </cfRule>
    <cfRule type="expression" priority="50" stopIfTrue="1">
      <formula>AND($AG$24&gt;=2,$L$24="супербелого цвета")</formula>
    </cfRule>
  </conditionalFormatting>
  <conditionalFormatting sqref="P7:R7">
    <cfRule type="expression" dxfId="42" priority="51" stopIfTrue="1">
      <formula>AND($I$7&lt;&gt;0,$I$7&lt;&gt;"необходимо заполнить")</formula>
    </cfRule>
  </conditionalFormatting>
  <conditionalFormatting sqref="S7:AB7">
    <cfRule type="expression" dxfId="41" priority="52" stopIfTrue="1">
      <formula>AND($I$7&lt;&gt;0,$I$7&lt;&gt;"необходимо заполнить",$S$7=0)</formula>
    </cfRule>
    <cfRule type="expression" dxfId="40" priority="53" stopIfTrue="1">
      <formula>AND($I$7&lt;&gt;0,$I$7&lt;&gt;"необходимо заполнить")</formula>
    </cfRule>
  </conditionalFormatting>
  <conditionalFormatting sqref="I68">
    <cfRule type="expression" dxfId="39" priority="54" stopIfTrue="1">
      <formula>($AG$19&lt;=3)</formula>
    </cfRule>
  </conditionalFormatting>
  <conditionalFormatting sqref="I66">
    <cfRule type="expression" dxfId="38" priority="55" stopIfTrue="1">
      <formula>($AG$19&lt;=3)</formula>
    </cfRule>
  </conditionalFormatting>
  <conditionalFormatting sqref="L24:O24">
    <cfRule type="expression" dxfId="37" priority="56" stopIfTrue="1">
      <formula>OR(AND($AG$24&gt;=2,$L$24="супербелого цвета"),AND($AG$24&gt;=2,$L$24="белого цвета"))</formula>
    </cfRule>
  </conditionalFormatting>
  <conditionalFormatting sqref="I40:J40">
    <cfRule type="expression" dxfId="36" priority="57" stopIfTrue="1">
      <formula>AND($AG$24&gt;=2,$L$24="зеленого(типового)цвета")</formula>
    </cfRule>
    <cfRule type="expression" dxfId="35" priority="58" stopIfTrue="1">
      <formula>AND($AG$24&gt;=2,$L$24="синего цвета")</formula>
    </cfRule>
    <cfRule type="expression" dxfId="34" priority="59" stopIfTrue="1">
      <formula>AND($AG$24&gt;=2,$L$24="красного цвета")</formula>
    </cfRule>
  </conditionalFormatting>
  <conditionalFormatting sqref="I40:J40">
    <cfRule type="expression" dxfId="33" priority="60" stopIfTrue="1">
      <formula>AND($AG$24&gt;=2,$L$24="желтого цвета")</formula>
    </cfRule>
    <cfRule type="expression" dxfId="32" priority="61" stopIfTrue="1">
      <formula>OR(AND($AG$24&gt;=2,$L$24="черного цвета"),AND($AG$24&gt;=2,$L$24="черного матового цвета"))</formula>
    </cfRule>
    <cfRule type="expression" priority="62" stopIfTrue="1">
      <formula>AND($AG$24&gt;=2,$L$24="супербелого цвета")</formula>
    </cfRule>
  </conditionalFormatting>
  <conditionalFormatting sqref="D60:F60">
    <cfRule type="expression" dxfId="31" priority="63" stopIfTrue="1">
      <formula>AND($AG$24&gt;=2,$L$24="зеленого(типового)цвета")</formula>
    </cfRule>
    <cfRule type="expression" dxfId="30" priority="64" stopIfTrue="1">
      <formula>AND($AG$24&gt;=2,$L$24="синего цвета")</formula>
    </cfRule>
    <cfRule type="expression" dxfId="29" priority="65" stopIfTrue="1">
      <formula>AND($AG$24&gt;=2,$L$24="красного цвета")</formula>
    </cfRule>
  </conditionalFormatting>
  <conditionalFormatting sqref="D60:H60">
    <cfRule type="expression" dxfId="28" priority="66" stopIfTrue="1">
      <formula>AND($AG$24&gt;=2,$L$24="желтого цвета")</formula>
    </cfRule>
    <cfRule type="expression" dxfId="27" priority="67" stopIfTrue="1">
      <formula>OR(AND($AG$24&gt;=2,$L$24="черного цвета"),AND($AG$24&gt;=2,$L$24="черного матового цвета"))</formula>
    </cfRule>
    <cfRule type="expression" priority="68" stopIfTrue="1">
      <formula>AND($AG$24&gt;=2,$L$24="супербелого цвета")</formula>
    </cfRule>
  </conditionalFormatting>
  <conditionalFormatting sqref="I60:J60">
    <cfRule type="expression" dxfId="26" priority="69" stopIfTrue="1">
      <formula>AND($AG$24&gt;=2,$L$24="зеленого(типового)цвета")</formula>
    </cfRule>
    <cfRule type="expression" dxfId="25" priority="70" stopIfTrue="1">
      <formula>AND($AG$24&gt;=2,$L$24="синего цвета")</formula>
    </cfRule>
    <cfRule type="expression" dxfId="24" priority="71" stopIfTrue="1">
      <formula>AND($AG$24&gt;=2,$L$24="красного цвета")</formula>
    </cfRule>
  </conditionalFormatting>
  <conditionalFormatting sqref="I60:J60">
    <cfRule type="expression" dxfId="23" priority="72" stopIfTrue="1">
      <formula>AND($AG$24&gt;=2,$L$24="желтого цвета")</formula>
    </cfRule>
    <cfRule type="expression" dxfId="22" priority="73" stopIfTrue="1">
      <formula>OR(AND($AG$24&gt;=2,$L$24="черного цвета"),AND($AG$24&gt;=2,$L$24="черного матового цвета"))</formula>
    </cfRule>
    <cfRule type="expression" priority="74" stopIfTrue="1">
      <formula>AND($AG$24&gt;=2,$L$24="супербелого цвета")</formula>
    </cfRule>
  </conditionalFormatting>
  <conditionalFormatting sqref="D45:E45">
    <cfRule type="expression" dxfId="21" priority="75" stopIfTrue="1">
      <formula>($AG$19&gt;=8)</formula>
    </cfRule>
  </conditionalFormatting>
  <conditionalFormatting sqref="D43:E43">
    <cfRule type="expression" dxfId="20" priority="76" stopIfTrue="1">
      <formula>($AG$19=10)</formula>
    </cfRule>
  </conditionalFormatting>
  <conditionalFormatting sqref="L40:M40">
    <cfRule type="expression" dxfId="19" priority="77" stopIfTrue="1">
      <formula>AND($AG$24&gt;=2,$L$24="зеленого(типового)цвета")</formula>
    </cfRule>
    <cfRule type="expression" dxfId="18" priority="78" stopIfTrue="1">
      <formula>AND($AG$24&gt;=2,$L$24="синего цвета")</formula>
    </cfRule>
    <cfRule type="expression" dxfId="17" priority="79" stopIfTrue="1">
      <formula>AND($AG$24&gt;=2,$L$24="красного цвета")</formula>
    </cfRule>
  </conditionalFormatting>
  <conditionalFormatting sqref="L40:M40">
    <cfRule type="expression" dxfId="16" priority="80" stopIfTrue="1">
      <formula>AND($AG$24&gt;=2,$L$24="желтого цвета")</formula>
    </cfRule>
    <cfRule type="expression" dxfId="15" priority="81" stopIfTrue="1">
      <formula>OR(AND($AG$24&gt;=2,$L$24="черного цвета"),AND($AG$24&gt;=2,$L$24="черного матового цвета"))</formula>
    </cfRule>
    <cfRule type="expression" priority="82" stopIfTrue="1">
      <formula>AND($AG$24&gt;=2,$L$24="супербелого цвета")</formula>
    </cfRule>
  </conditionalFormatting>
  <conditionalFormatting sqref="L60:M60">
    <cfRule type="expression" dxfId="14" priority="83" stopIfTrue="1">
      <formula>AND($AG$24&gt;=2,$L$24="зеленого(типового)цвета")</formula>
    </cfRule>
    <cfRule type="expression" dxfId="13" priority="84" stopIfTrue="1">
      <formula>AND($AG$24&gt;=2,$L$24="синего цвета")</formula>
    </cfRule>
    <cfRule type="expression" dxfId="12" priority="85" stopIfTrue="1">
      <formula>AND($AG$24&gt;=2,$L$24="красного цвета")</formula>
    </cfRule>
  </conditionalFormatting>
  <conditionalFormatting sqref="L60:M60">
    <cfRule type="expression" dxfId="11" priority="86" stopIfTrue="1">
      <formula>AND($AG$24&gt;=2,$L$24="желтого цвета")</formula>
    </cfRule>
    <cfRule type="expression" dxfId="10" priority="87" stopIfTrue="1">
      <formula>OR(AND($AG$24&gt;=2,$L$24="черного цвета"),AND($AG$24&gt;=2,$L$24="черного матового цвета"))</formula>
    </cfRule>
    <cfRule type="expression" priority="88" stopIfTrue="1">
      <formula>AND($AG$24&gt;=2,$L$24="супербелого цвета")</formula>
    </cfRule>
  </conditionalFormatting>
  <conditionalFormatting sqref="I18:O18">
    <cfRule type="expression" dxfId="9" priority="89" stopIfTrue="1">
      <formula>AND($I$18&lt;&gt;0)</formula>
    </cfRule>
  </conditionalFormatting>
  <conditionalFormatting sqref="I26:O26">
    <cfRule type="expression" dxfId="8" priority="90" stopIfTrue="1">
      <formula>AND($I$26&lt;&gt;0)</formula>
    </cfRule>
  </conditionalFormatting>
  <conditionalFormatting sqref="I9:O9">
    <cfRule type="expression" dxfId="7" priority="91" stopIfTrue="1">
      <formula>AND($I$9&lt;&gt;0,$I$9&lt;&gt;"необходимо заполнить")</formula>
    </cfRule>
    <cfRule type="expression" dxfId="6" priority="92" stopIfTrue="1">
      <formula>OR($I$8="Самовывоз из офиса в Зеленограде",$I$8="Самовывоз из офиса в санкт-Петербурге",$I$8="Самовывоз из офиса в Екатеринбурге")</formula>
    </cfRule>
  </conditionalFormatting>
  <conditionalFormatting sqref="P9:AB9">
    <cfRule type="expression" dxfId="5" priority="93" stopIfTrue="1">
      <formula>OR($I$8="Самовывоз из офиса в Зеленограде",$I$8="Самовывоз из офиса в санкт-Петербурге",$I$8="Самовывоз из офиса в Екатеринбурге")</formula>
    </cfRule>
    <cfRule type="expression" dxfId="4" priority="94" stopIfTrue="1">
      <formula>AND($I$9&lt;&gt;0,$I$9&lt;&gt;"необходимо заполнить")</formula>
    </cfRule>
  </conditionalFormatting>
  <conditionalFormatting sqref="I10:AB11">
    <cfRule type="expression" dxfId="3" priority="95" stopIfTrue="1">
      <formula>AND($I$10&lt;&gt;0,$I$10&lt;&gt;"необходимо заполнить")</formula>
    </cfRule>
    <cfRule type="expression" dxfId="2" priority="96" stopIfTrue="1">
      <formula>OR($I$8="Самовывоз из офиса в Зеленограде",$I$8="Самовывоз из офиса в санкт-Петербурге",$I$8="Самовывоз из офиса в Екатеринбурге")</formula>
    </cfRule>
  </conditionalFormatting>
  <conditionalFormatting sqref="A9:H11">
    <cfRule type="expression" dxfId="1" priority="97" stopIfTrue="1">
      <formula>OR($I$8="Самовывоз из офиса в Зеленограде",$I$8="Самовывоз из офиса в санкт-Петербурге",$I$8="Самовывоз из офиса в Екатеринбурге")</formula>
    </cfRule>
  </conditionalFormatting>
  <conditionalFormatting sqref="I12:AB12">
    <cfRule type="expression" dxfId="0" priority="98" stopIfTrue="1">
      <formula>AND($I$12&lt;&gt;0,$I$12&lt;&gt;"необходимо заполнить")</formula>
    </cfRule>
  </conditionalFormatting>
  <dataValidations count="30">
    <dataValidation type="list" allowBlank="1" showErrorMessage="1" sqref="F96:F140">
      <formula1>$AI$96:$AJ$96</formula1>
      <formula2>0</formula2>
    </dataValidation>
    <dataValidation type="list" allowBlank="1" showErrorMessage="1" sqref="I83:O83">
      <formula1>$AI$83:$AL$83</formula1>
      <formula2>0</formula2>
    </dataValidation>
    <dataValidation type="list" allowBlank="1" showErrorMessage="1" sqref="I73:O73">
      <formula1>$AI$73:$AJ$73</formula1>
      <formula2>0</formula2>
    </dataValidation>
    <dataValidation type="list" allowBlank="1" showErrorMessage="1" sqref="I74:O74">
      <formula1>$AI$74:$AK$74</formula1>
      <formula2>0</formula2>
    </dataValidation>
    <dataValidation type="list" allowBlank="1" showErrorMessage="1" sqref="I76:O76">
      <formula1>$AI$76:$AK$76</formula1>
      <formula2>0</formula2>
    </dataValidation>
    <dataValidation type="list" allowBlank="1" showErrorMessage="1" sqref="I75:O75">
      <formula1>$AI$75:$AJ$75</formula1>
      <formula2>0</formula2>
    </dataValidation>
    <dataValidation type="list" allowBlank="1" showErrorMessage="1" sqref="I77:O77">
      <formula1>$AI$77:$AJ$77</formula1>
      <formula2>0</formula2>
    </dataValidation>
    <dataValidation type="list" allowBlank="1" showErrorMessage="1" sqref="I78:O78">
      <formula1>$AI$78:$AJ$78</formula1>
      <formula2>0</formula2>
    </dataValidation>
    <dataValidation type="list" allowBlank="1" showErrorMessage="1" sqref="I79:O79">
      <formula1>$AI$79:$AJ$79</formula1>
      <formula2>0</formula2>
    </dataValidation>
    <dataValidation type="list" allowBlank="1" showErrorMessage="1" sqref="I80:O80">
      <formula1>$AI$80:$AK$80</formula1>
      <formula2>0</formula2>
    </dataValidation>
    <dataValidation type="list" allowBlank="1" showErrorMessage="1" sqref="I81:O81">
      <formula1>$AI$81:$AJ$81</formula1>
      <formula2>0</formula2>
    </dataValidation>
    <dataValidation type="list" allowBlank="1" showErrorMessage="1" sqref="J82 L82 N82:O82">
      <formula1>$AI$82:$AJ$82</formula1>
      <formula2>0</formula2>
    </dataValidation>
    <dataValidation type="list" allowBlank="1" showErrorMessage="1" sqref="I9:O9">
      <formula1>$AI$9:$AO$9</formula1>
      <formula2>0</formula2>
    </dataValidation>
    <dataValidation type="list" allowBlank="1" showErrorMessage="1" sqref="I8:O8">
      <formula1>$AI$8:$AN$8</formula1>
      <formula2>0</formula2>
    </dataValidation>
    <dataValidation type="list" allowBlank="1" showErrorMessage="1" sqref="I7:O7">
      <formula1>$AI$7:$AK$7</formula1>
      <formula2>0</formula2>
    </dataValidation>
    <dataValidation type="list" allowBlank="1" showErrorMessage="1" sqref="I16">
      <formula1>$AI$16:$AL$16</formula1>
      <formula2>0</formula2>
    </dataValidation>
    <dataValidation type="list" allowBlank="1" showErrorMessage="1" sqref="I17:O17">
      <formula1>$AI$17:$AL$17</formula1>
      <formula2>0</formula2>
    </dataValidation>
    <dataValidation type="list" allowBlank="1" showErrorMessage="1" sqref="I19:O19">
      <formula1>$AJ$19:$AQ$19</formula1>
      <formula2>0</formula2>
    </dataValidation>
    <dataValidation type="list" allowBlank="1" showErrorMessage="1" sqref="I20">
      <formula1>material1</formula1>
      <formula2>0</formula2>
    </dataValidation>
    <dataValidation type="list" allowBlank="1" showErrorMessage="1" sqref="I21:O21">
      <formula1>tolshina2</formula1>
      <formula2>0</formula2>
    </dataValidation>
    <dataValidation type="list" allowBlank="1" showErrorMessage="1" sqref="I22:O22">
      <formula1>folga4</formula1>
      <formula2>0</formula2>
    </dataValidation>
    <dataValidation type="list" allowBlank="1" showErrorMessage="1" sqref="I24">
      <formula1>$AI$24:$AL$24</formula1>
      <formula2>0</formula2>
    </dataValidation>
    <dataValidation type="list" allowBlank="1" showErrorMessage="1" sqref="I25">
      <formula1>$AI$25:$AL$25</formula1>
      <formula2>0</formula2>
    </dataValidation>
    <dataValidation type="list" allowBlank="1" showErrorMessage="1" sqref="I26:O26">
      <formula1>$AI$26:$AJ$26</formula1>
      <formula2>0</formula2>
    </dataValidation>
    <dataValidation type="list" allowBlank="1" showErrorMessage="1" sqref="L24:N24">
      <formula1>$AR$24:$AY$24</formula1>
      <formula2>0</formula2>
    </dataValidation>
    <dataValidation type="list" allowBlank="1" showErrorMessage="1" sqref="L25:O25">
      <formula1>$AR$25:$AW$25</formula1>
      <formula2>0</formula2>
    </dataValidation>
    <dataValidation type="list" allowBlank="1" showErrorMessage="1" sqref="I3:O3">
      <formula1>$AI$3:$AL$3</formula1>
      <formula2>0</formula2>
    </dataValidation>
    <dataValidation type="list" allowBlank="1" showErrorMessage="1" sqref="I94">
      <formula1>$AI$94:$AJ$94</formula1>
      <formula2>0</formula2>
    </dataValidation>
    <dataValidation type="list" allowBlank="1" showErrorMessage="1" sqref="I23:O23">
      <formula1>$AI$23:$AM$23</formula1>
      <formula2>0</formula2>
    </dataValidation>
    <dataValidation type="list" allowBlank="1" showErrorMessage="1" sqref="E96:E140">
      <formula1>$AI$97:$AK$97</formula1>
      <formula2>0</formula2>
    </dataValidation>
  </dataValidations>
  <pageMargins left="0.35416666666666669" right="0.15763888888888888" top="0.39374999999999999" bottom="0.39374999999999999" header="0.51180555555555551" footer="0.51180555555555551"/>
  <pageSetup paperSize="9" scale="60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2"/>
  <sheetViews>
    <sheetView topLeftCell="A14" workbookViewId="0">
      <selection activeCell="A32" sqref="A32"/>
    </sheetView>
  </sheetViews>
  <sheetFormatPr defaultRowHeight="13.2" x14ac:dyDescent="0.25"/>
  <cols>
    <col min="1" max="1" width="28.109375" customWidth="1"/>
    <col min="2" max="2" width="33.5546875" customWidth="1"/>
    <col min="3" max="3" width="35.33203125" customWidth="1"/>
  </cols>
  <sheetData>
    <row r="1" spans="1:12" x14ac:dyDescent="0.25">
      <c r="B1" s="51" t="s">
        <v>32</v>
      </c>
    </row>
    <row r="2" spans="1:12" x14ac:dyDescent="0.25">
      <c r="B2" s="51" t="str">
        <f>IF(OR(AND(Лист1!$AG$19&lt;=2,Лист1!$I$17="Срочное производство"),Лист1!$I$17="Серийное производство"),"FR4 Isola","")</f>
        <v/>
      </c>
    </row>
    <row r="3" spans="1:12" x14ac:dyDescent="0.25">
      <c r="B3" s="51" t="str">
        <f>IF(OR(AND(Лист1!$AG$19&lt;=2,Лист1!$I$17="Срочное производство"),Лист1!$I$17="Серийное производство"),"FR4 HiTg170","")</f>
        <v/>
      </c>
    </row>
    <row r="4" spans="1:12" x14ac:dyDescent="0.25">
      <c r="B4" s="52" t="str">
        <f>IF(AND(Лист1!$AG$19&lt;=1,Лист1!$I$17&lt;&gt;"Сверхсрочное изготовление"),"на металл. основании типовом","")</f>
        <v/>
      </c>
    </row>
    <row r="5" spans="1:12" x14ac:dyDescent="0.25">
      <c r="B5" s="51" t="str">
        <f>IF(Лист1!$AG$19&lt;3,"AR1000","")</f>
        <v/>
      </c>
    </row>
    <row r="6" spans="1:12" x14ac:dyDescent="0.25">
      <c r="B6" s="51" t="str">
        <f>IF(Лист1!$AG$19&lt;3,"25N","")</f>
        <v/>
      </c>
    </row>
    <row r="7" spans="1:12" x14ac:dyDescent="0.25">
      <c r="B7" s="51" t="str">
        <f>IF(Лист1!$AG$19&lt;3,"AD1000","")</f>
        <v/>
      </c>
    </row>
    <row r="8" spans="1:12" x14ac:dyDescent="0.25">
      <c r="B8" s="51" t="str">
        <f>IF(Лист1!$AG$19&lt;3,"RO4350B","")</f>
        <v/>
      </c>
    </row>
    <row r="9" spans="1:12" x14ac:dyDescent="0.25">
      <c r="B9" s="51" t="str">
        <f>IF(Лист1!$AG$19&lt;3,"RO4003C","")</f>
        <v/>
      </c>
    </row>
    <row r="10" spans="1:12" x14ac:dyDescent="0.25">
      <c r="B10" s="51" t="str">
        <f>IF(Лист1!$AG$19&lt;3,"AD250","")</f>
        <v/>
      </c>
    </row>
    <row r="11" spans="1:12" x14ac:dyDescent="0.25">
      <c r="B11" s="51" t="str">
        <f>IF(Лист1!$AG$19&lt;3,"AD600","")</f>
        <v/>
      </c>
    </row>
    <row r="12" spans="1:12" x14ac:dyDescent="0.25">
      <c r="B12" s="51" t="str">
        <f>IF(Лист1!$AG$19&lt;3,"AD255","")</f>
        <v/>
      </c>
    </row>
    <row r="13" spans="1:12" x14ac:dyDescent="0.25">
      <c r="B13" s="51" t="str">
        <f>IF(Лист1!$AG$19&lt;3,"AD450","")</f>
        <v/>
      </c>
    </row>
    <row r="14" spans="1:12" x14ac:dyDescent="0.25">
      <c r="B14" s="51" t="str">
        <f>IF(AND(Лист1!$AG$19&lt;=2,OR(Лист1!$I$17&lt;&gt;"Серийное производство"),Лист1!$I$17&lt;&gt;"Сверхсрочное изготовление",Лист1!$I$17&lt;&gt;"HiTech производства"),"Стеклотекстолит заказчика ВЧ","")</f>
        <v/>
      </c>
    </row>
    <row r="15" spans="1:12" x14ac:dyDescent="0.25">
      <c r="B15" s="51" t="str">
        <f>IF(AND(Лист1!$AG$19&lt;=2,OR(Лист1!$I$17&lt;&gt;"Серийное производство"),Лист1!$I$17&lt;&gt;"Сверхсрочное изготовление",Лист1!$I$17&lt;&gt;"HiTech производства"),"Стеклотекстолит заказчика","")</f>
        <v/>
      </c>
      <c r="J15" s="53"/>
      <c r="L15" s="53"/>
    </row>
    <row r="16" spans="1:12" x14ac:dyDescent="0.25">
      <c r="A16">
        <v>1</v>
      </c>
      <c r="B16" s="54" t="str">
        <f>IF(AND(Лист1!$AG$19&lt;=1,Лист1!$I$17&lt;&gt;"Сверхсрочное изготовление"),"T111(5052)","")</f>
        <v/>
      </c>
      <c r="C16">
        <v>1</v>
      </c>
      <c r="J16" s="53"/>
      <c r="L16" s="53"/>
    </row>
    <row r="17" spans="1:12" x14ac:dyDescent="0.25">
      <c r="A17">
        <v>9</v>
      </c>
      <c r="B17" s="54" t="str">
        <f>IF(AND(Лист1!$AG$19&lt;=1,Лист1!$I$17&lt;&gt;"Сверхсрочное изготовление"),"IT-158","")</f>
        <v/>
      </c>
      <c r="C17">
        <v>1</v>
      </c>
      <c r="J17" s="53"/>
      <c r="L17" s="53"/>
    </row>
    <row r="18" spans="1:12" x14ac:dyDescent="0.25">
      <c r="A18">
        <v>6</v>
      </c>
      <c r="B18" s="54" t="str">
        <f>IF(AND(Лист1!$AG$19&lt;=1,Лист1!$I$17&lt;&gt;"Сверхсрочное изготовление"),"HA-50 Type1","")</f>
        <v/>
      </c>
      <c r="C18">
        <v>1</v>
      </c>
      <c r="J18" s="53"/>
      <c r="L18" s="53"/>
    </row>
    <row r="19" spans="1:12" x14ac:dyDescent="0.25">
      <c r="A19">
        <v>7</v>
      </c>
      <c r="B19" s="54" t="str">
        <f>IF(AND(Лист1!$AG$19&lt;=1,Лист1!$I$17&lt;&gt;"Сверхсрочное изготовление"),"HA-50 Type2","")</f>
        <v/>
      </c>
      <c r="C19">
        <v>1</v>
      </c>
      <c r="J19" s="53"/>
      <c r="L19" s="53"/>
    </row>
    <row r="20" spans="1:12" x14ac:dyDescent="0.25">
      <c r="A20">
        <v>8</v>
      </c>
      <c r="B20" s="54" t="str">
        <f>IF(AND(Лист1!$AG$19&lt;=1,Лист1!$I$17&lt;&gt;"Сверхсрочное изготовление"),"HA-50 Type3","")</f>
        <v/>
      </c>
      <c r="C20">
        <v>1</v>
      </c>
      <c r="J20" s="53"/>
      <c r="L20" s="53"/>
    </row>
    <row r="21" spans="1:12" x14ac:dyDescent="0.25">
      <c r="B21" s="54" t="str">
        <f>IF(OR(Лист1!$AG$19&gt;=2,Лист1!$I$17="Сверхсрочное изготовление",Лист1!$I$17="Срочное производство"),"","HA-50 Type4")</f>
        <v/>
      </c>
      <c r="J21" s="53"/>
      <c r="L21" s="53"/>
    </row>
    <row r="22" spans="1:12" x14ac:dyDescent="0.25">
      <c r="A22">
        <v>4</v>
      </c>
      <c r="B22" s="54" t="str">
        <f>IF(AND(Лист1!$AG$19&lt;=1,Лист1!$I$17&lt;&gt;"Сверхсрочное изготовление"),"T111(5052)","")</f>
        <v/>
      </c>
      <c r="C22">
        <v>1</v>
      </c>
      <c r="J22" s="53"/>
      <c r="L22" s="53"/>
    </row>
    <row r="23" spans="1:12" x14ac:dyDescent="0.25">
      <c r="A23">
        <v>2</v>
      </c>
      <c r="B23" s="55" t="str">
        <f>IF(AND(Лист1!$AG$19&lt;=1,Лист1!$I$17&lt;&gt;"Сверхсрочное изготовление"),"T111(6061)","")</f>
        <v/>
      </c>
      <c r="C23">
        <v>1</v>
      </c>
      <c r="J23" s="53"/>
      <c r="L23" s="53"/>
    </row>
    <row r="24" spans="1:12" x14ac:dyDescent="0.25">
      <c r="A24">
        <v>3</v>
      </c>
      <c r="B24" s="54" t="str">
        <f>IF(AND(Лист1!$AG$19&lt;=1,Лист1!$I$17&lt;&gt;"Сверхсрочное изготовление"),"T111(1100)","")</f>
        <v/>
      </c>
      <c r="C24">
        <v>1</v>
      </c>
      <c r="J24" s="53"/>
      <c r="L24" s="53"/>
    </row>
    <row r="25" spans="1:12" x14ac:dyDescent="0.25">
      <c r="B25" s="54" t="str">
        <f>IF(OR(Лист1!$AG$19&gt;=2,Лист1!$I$17="Сверхсрочное изготовление",Лист1!$I$17="Срочное производство"),"","T110(5052)")</f>
        <v/>
      </c>
      <c r="J25" s="53"/>
      <c r="L25" s="53"/>
    </row>
    <row r="26" spans="1:12" x14ac:dyDescent="0.25">
      <c r="A26">
        <v>5</v>
      </c>
      <c r="B26" s="54" t="str">
        <f>IF(AND(Лист1!$AG$19&lt;=1,Лист1!$I$17&lt;&gt;"Сверхсрочное изготовление"),"T112(5052)","")</f>
        <v/>
      </c>
      <c r="C26">
        <v>1</v>
      </c>
      <c r="J26" s="53"/>
      <c r="L26" s="53"/>
    </row>
    <row r="27" spans="1:12" x14ac:dyDescent="0.25">
      <c r="B27" s="54" t="str">
        <f>IF(OR(Лист1!$AG$19&gt;=2,Лист1!$I$17="Сверхсрочное изготовление",Лист1!$I$17="Срочное производство"),"","IT-859")</f>
        <v/>
      </c>
      <c r="J27" s="53"/>
      <c r="L27" s="53"/>
    </row>
    <row r="28" spans="1:12" x14ac:dyDescent="0.25">
      <c r="B28" s="54" t="str">
        <f>IF(OR(Лист1!$AG$19&gt;=2,Лист1!$I$17="Сверхсрочное изготовление",Лист1!$I$17="Срочное производство"),"","IT-889")</f>
        <v/>
      </c>
      <c r="J28" s="53"/>
      <c r="L28" s="53"/>
    </row>
    <row r="29" spans="1:12" x14ac:dyDescent="0.25">
      <c r="B29" s="54" t="str">
        <f>IF(OR(Лист1!$AG$19&gt;=2,Лист1!$I$17="Сверхсрочное изготовление",Лист1!$I$17="Срочное производство"),"","XPC")</f>
        <v/>
      </c>
      <c r="J29" s="53"/>
      <c r="L29" s="53"/>
    </row>
    <row r="30" spans="1:12" x14ac:dyDescent="0.25">
      <c r="A30" t="s">
        <v>4</v>
      </c>
      <c r="B30" t="s">
        <v>4</v>
      </c>
      <c r="C30" t="s">
        <v>4</v>
      </c>
      <c r="J30" s="53"/>
      <c r="L30" s="53"/>
    </row>
    <row r="31" spans="1:12" x14ac:dyDescent="0.25">
      <c r="A31" s="51" t="str">
        <f>IF(Лист1!$AG$19&gt;3,"FR4 типовой","")</f>
        <v>FR4 типовой</v>
      </c>
      <c r="B31" s="56" t="s">
        <v>71</v>
      </c>
      <c r="J31" s="53"/>
      <c r="L31" s="53"/>
    </row>
    <row r="32" spans="1:12" x14ac:dyDescent="0.25">
      <c r="A32" s="51" t="s">
        <v>32</v>
      </c>
      <c r="B32" s="57">
        <v>0.5</v>
      </c>
      <c r="C32" s="58">
        <v>18</v>
      </c>
      <c r="D32" s="59" t="str">
        <f>IF(Лист1!$I$17="Серийное производство",35,"")</f>
        <v/>
      </c>
      <c r="E32" s="60" t="str">
        <f>IF(Лист1!$I$17="Серийное производство",70,"")</f>
        <v/>
      </c>
      <c r="F32" s="60" t="str">
        <f>IF(Лист1!$I$17="Серийное производство",105,"")</f>
        <v/>
      </c>
      <c r="J32" s="53"/>
      <c r="L32" s="53"/>
    </row>
    <row r="33" spans="1:15" x14ac:dyDescent="0.25">
      <c r="A33" s="51" t="s">
        <v>32</v>
      </c>
      <c r="B33" s="57">
        <v>0.8</v>
      </c>
      <c r="C33" s="58">
        <v>18</v>
      </c>
      <c r="D33" s="58">
        <v>35</v>
      </c>
      <c r="E33" s="60" t="str">
        <f>IF(Лист1!$I$17="Серийное производство",70,"")</f>
        <v/>
      </c>
      <c r="F33" s="60" t="str">
        <f>IF(Лист1!$I$17="Серийное производство",105,"")</f>
        <v/>
      </c>
      <c r="J33" s="53"/>
      <c r="L33" s="53"/>
    </row>
    <row r="34" spans="1:15" x14ac:dyDescent="0.25">
      <c r="A34" s="51" t="s">
        <v>32</v>
      </c>
      <c r="B34" s="57">
        <v>1</v>
      </c>
      <c r="C34" s="58">
        <v>18</v>
      </c>
      <c r="D34" s="58">
        <v>35</v>
      </c>
      <c r="E34" s="60" t="str">
        <f>IF(Лист1!$I$17="Серийное производство",70,"")</f>
        <v/>
      </c>
      <c r="F34" s="60" t="str">
        <f>IF(Лист1!$I$17="Серийное производство",105,"")</f>
        <v/>
      </c>
      <c r="J34" s="53"/>
      <c r="L34" s="53"/>
    </row>
    <row r="35" spans="1:15" x14ac:dyDescent="0.25">
      <c r="A35" s="51" t="s">
        <v>32</v>
      </c>
      <c r="B35" s="57">
        <v>1.5</v>
      </c>
      <c r="C35" s="59" t="str">
        <f>IF(Лист1!$I$17="Серийное производство",5,"")</f>
        <v/>
      </c>
      <c r="D35" s="58">
        <v>18</v>
      </c>
      <c r="E35" s="58">
        <v>35</v>
      </c>
      <c r="F35" s="58">
        <v>70</v>
      </c>
      <c r="G35" s="58">
        <v>105</v>
      </c>
      <c r="J35" s="53"/>
      <c r="L35" s="53"/>
    </row>
    <row r="36" spans="1:15" x14ac:dyDescent="0.25">
      <c r="A36" s="51" t="s">
        <v>32</v>
      </c>
      <c r="B36" s="57">
        <v>2</v>
      </c>
      <c r="C36" s="58">
        <v>18</v>
      </c>
      <c r="D36" s="58">
        <v>35</v>
      </c>
      <c r="E36" s="58">
        <v>70</v>
      </c>
      <c r="F36" s="58">
        <v>105</v>
      </c>
      <c r="J36" s="53"/>
      <c r="L36" s="53"/>
    </row>
    <row r="37" spans="1:15" x14ac:dyDescent="0.25">
      <c r="A37" s="61" t="str">
        <f>IF(OR(AND(OR(Лист1!$AG$19=4,Лист1!$AG$19=6,Лист1!$AG$19=8),Лист1!$I$17="Срочное производство"),Лист1!$I$17="Серийное производство"),"FR4 типовой","")</f>
        <v>FR4 типовой</v>
      </c>
      <c r="B37" s="62">
        <f>IF(OR(AND(OR(Лист1!$AG$19=4,Лист1!$AG$19=6,Лист1!$AG$19=8),Лист1!$I$17="Срочное производство"),Лист1!$I$17="Серийное производство"),1.6,"")</f>
        <v>1.6</v>
      </c>
      <c r="C37" s="61">
        <f>IF(OR(AND(OR(Лист1!$AG$19=4,Лист1!$AG$19=6,Лист1!$AG$19=8),Лист1!$I$17="Срочное производство"),Лист1!$I$17="Серийное производство"),18,"")</f>
        <v>18</v>
      </c>
      <c r="D37" s="61">
        <f>IF(OR(AND(OR(Лист1!$AG$19=4,Лист1!$AG$19=6),Лист1!$I$17="Срочное производство"),Лист1!$I$17="Серийное производство"),35,"")</f>
        <v>35</v>
      </c>
      <c r="E37" s="60" t="str">
        <f>IF(Лист1!$I$17="Серийное производство",70,"")</f>
        <v/>
      </c>
      <c r="F37" s="60" t="str">
        <f>IF(Лист1!$I$17="Серийное производство",105,"")</f>
        <v/>
      </c>
      <c r="G37" s="63"/>
      <c r="J37" s="53"/>
      <c r="L37" s="53"/>
    </row>
    <row r="38" spans="1:15" x14ac:dyDescent="0.25">
      <c r="A38" s="61" t="str">
        <f>IF(OR(AND(Лист1!$AG$19=6,Лист1!$I$17="Срочное производство"),Лист1!$I$17="Серийное производство"),"FR4 типовой","")</f>
        <v/>
      </c>
      <c r="B38" s="62" t="str">
        <f>IF(OR(AND(Лист1!$AG$19=6,Лист1!$I$17="Срочное производство"),Лист1!$I$17="Серийное производство"),1.2,"")</f>
        <v/>
      </c>
      <c r="C38" s="61" t="str">
        <f>IF(OR(AND(Лист1!$AG$19=6,Лист1!$I$17="Срочное производство"),Лист1!$I$17="Серийное производство"),18,"")</f>
        <v/>
      </c>
      <c r="D38" s="61" t="str">
        <f>IF(OR(AND(Лист1!$AG$19=6,Лист1!$I$17="Срочное производство"),Лист1!$I$17="Серийное производство"),35,"")</f>
        <v/>
      </c>
      <c r="E38" s="64" t="str">
        <f>IF(Лист1!$I$17="Серийное производство",70,"")</f>
        <v/>
      </c>
      <c r="F38" s="64" t="str">
        <f>IF(Лист1!$I$17="Серийное производство",70,"")</f>
        <v/>
      </c>
      <c r="G38" s="64"/>
      <c r="H38" s="65"/>
      <c r="I38" s="65"/>
      <c r="J38" s="66"/>
      <c r="L38" s="66"/>
      <c r="M38" s="65"/>
      <c r="N38" s="65"/>
      <c r="O38" s="65"/>
    </row>
    <row r="39" spans="1:15" x14ac:dyDescent="0.25">
      <c r="A39" s="61" t="str">
        <f>IF(OR(AND(OR(Лист1!$AG$19=6,Лист1!$AG$19=8),Лист1!$I$17="Срочное производство"),Лист1!$I$17="Серийное производство"),"FR4 типовой","")</f>
        <v/>
      </c>
      <c r="B39" s="62" t="str">
        <f>IF(OR(AND(OR(Лист1!$AG$19=6,Лист1!$AG$19=8),Лист1!$I$17="Срочное производство"),Лист1!$I$17="Серийное производство"),1.8,"")</f>
        <v/>
      </c>
      <c r="C39" s="61" t="str">
        <f>IF(OR(AND(OR(Лист1!$AG$19=6,Лист1!$AG$19=8),Лист1!$I$17="Срочное производство"),Лист1!$I$17="Серийное производство"),18,"")</f>
        <v/>
      </c>
      <c r="D39" s="61" t="str">
        <f>IF(OR(AND(OR(Лист1!$AG$19=6,Лист1!$AG$19=8),Лист1!$I$17="Срочное производство"),Лист1!$I$17="Серийное производство"),35,"")</f>
        <v/>
      </c>
      <c r="E39" s="64"/>
      <c r="F39" s="60" t="str">
        <f>IF(Лист1!$I$17="Серийное производство",105,"")</f>
        <v/>
      </c>
      <c r="G39" s="64"/>
      <c r="H39" s="65"/>
      <c r="I39" s="65"/>
      <c r="J39" s="66"/>
      <c r="K39" s="65"/>
      <c r="L39" s="66"/>
      <c r="M39" s="65"/>
      <c r="N39" s="65"/>
      <c r="O39" s="65"/>
    </row>
    <row r="40" spans="1:15" x14ac:dyDescent="0.25">
      <c r="A40" s="59" t="str">
        <f>IF(Лист1!$I$17="Серийное производство","FR4 типовой","")</f>
        <v/>
      </c>
      <c r="B40" s="59" t="str">
        <f>IF(Лист1!$I$17="Серийное производство",3,"")</f>
        <v/>
      </c>
      <c r="C40" s="59" t="str">
        <f>IF(Лист1!$I$17="Серийное производство",18,"")</f>
        <v/>
      </c>
      <c r="D40" s="59" t="str">
        <f>IF(Лист1!$I$17="Серийное производство",35,"")</f>
        <v/>
      </c>
      <c r="F40" s="58">
        <v>105</v>
      </c>
      <c r="G40" s="60" t="str">
        <f>IF(Лист1!$I$17="Серийное производство",210,"")</f>
        <v/>
      </c>
      <c r="J40" s="53"/>
      <c r="L40" s="53"/>
    </row>
    <row r="41" spans="1:15" x14ac:dyDescent="0.25">
      <c r="A41" s="59" t="str">
        <f>IF(Лист1!$I$17="Серийное производство","FR4 типовой","")</f>
        <v/>
      </c>
      <c r="B41" s="67" t="str">
        <f>IF(Лист1!$I$17="Серийное производство",2.5,"")</f>
        <v/>
      </c>
      <c r="C41" s="59" t="str">
        <f>IF(Лист1!$I$17="Серийное производство",18,"")</f>
        <v/>
      </c>
      <c r="D41" s="59" t="str">
        <f>IF(Лист1!$I$17="Серийное производство",35,"")</f>
        <v/>
      </c>
      <c r="E41" s="60" t="str">
        <f>IF(Лист1!$I$17="Серийное производство",70,"")</f>
        <v/>
      </c>
      <c r="F41" s="60" t="str">
        <f>IF(Лист1!$I$17="Серийное производство",105,"")</f>
        <v/>
      </c>
      <c r="G41" s="64"/>
      <c r="H41" s="65"/>
      <c r="I41" s="65"/>
      <c r="J41" s="66"/>
      <c r="K41" s="65"/>
      <c r="L41" s="66"/>
      <c r="M41" s="65"/>
      <c r="N41" s="65"/>
      <c r="O41" s="65"/>
    </row>
    <row r="42" spans="1:15" x14ac:dyDescent="0.25">
      <c r="A42" s="59" t="str">
        <f>IF(Лист1!$I$17="Серийное производство","FR4 типовой","")</f>
        <v/>
      </c>
      <c r="B42" s="67" t="str">
        <f>IF(Лист1!$I$17="Серийное производство",4,"")</f>
        <v/>
      </c>
      <c r="C42" s="59" t="str">
        <f>IF(Лист1!$I$17="Серийное производство",18,"")</f>
        <v/>
      </c>
      <c r="D42" s="64"/>
      <c r="E42" s="64"/>
      <c r="F42" s="64"/>
      <c r="G42" s="60" t="str">
        <f>IF(Лист1!$I$17="Серийное производство",210,"")</f>
        <v/>
      </c>
      <c r="H42" s="65"/>
      <c r="I42" s="65"/>
      <c r="J42" s="66"/>
      <c r="K42" s="65"/>
      <c r="L42" s="66"/>
      <c r="M42" s="65"/>
      <c r="N42" s="65"/>
      <c r="O42" s="65"/>
    </row>
    <row r="43" spans="1:15" x14ac:dyDescent="0.25">
      <c r="A43" s="59" t="str">
        <f>IF(Лист1!$I$17="Серийное производство","FR4 типовой","")</f>
        <v/>
      </c>
      <c r="B43" s="68" t="str">
        <f>IF(Лист1!$I$17="Серийное производство",0.1,"")</f>
        <v/>
      </c>
      <c r="C43" s="59" t="str">
        <f>IF(Лист1!$I$17="Серийное производство",18,"")</f>
        <v/>
      </c>
      <c r="D43" s="59" t="str">
        <f>IF(Лист1!$I$17="Серийное производство",35,"")</f>
        <v/>
      </c>
      <c r="E43" s="69"/>
      <c r="F43" s="69"/>
      <c r="G43" s="69"/>
      <c r="H43" s="70"/>
      <c r="I43" s="70"/>
      <c r="J43" s="71"/>
      <c r="K43" s="65"/>
      <c r="L43" s="71"/>
      <c r="M43" s="70"/>
      <c r="N43" s="70"/>
      <c r="O43" s="70"/>
    </row>
    <row r="44" spans="1:15" x14ac:dyDescent="0.25">
      <c r="A44" s="59" t="str">
        <f>IF(Лист1!$I$17="Серийное производство","FR4 типовой","")</f>
        <v/>
      </c>
      <c r="B44" s="67" t="str">
        <f>IF(Лист1!$I$17="Серийное производство",0.15,"")</f>
        <v/>
      </c>
      <c r="C44" s="59" t="str">
        <f>IF(Лист1!$I$17="Серийное производство",18,"")</f>
        <v/>
      </c>
      <c r="D44" s="64"/>
      <c r="E44" s="64"/>
      <c r="F44" s="64"/>
      <c r="G44" s="64"/>
      <c r="H44" s="65"/>
      <c r="I44" s="65"/>
      <c r="J44" s="66"/>
      <c r="K44" s="70"/>
      <c r="L44" s="66"/>
      <c r="M44" s="65"/>
      <c r="N44" s="65"/>
      <c r="O44" s="65"/>
    </row>
    <row r="45" spans="1:15" x14ac:dyDescent="0.25">
      <c r="A45" s="59" t="str">
        <f>IF(Лист1!$I$17="Серийное производство","FR4 типовой","")</f>
        <v/>
      </c>
      <c r="B45" s="67" t="str">
        <f>IF(Лист1!$I$17="Серийное производство",0.2,"")</f>
        <v/>
      </c>
      <c r="C45" s="59" t="str">
        <f>IF(Лист1!$I$17="Серийное производство",18,"")</f>
        <v/>
      </c>
      <c r="D45" s="59" t="str">
        <f>IF(Лист1!$I$17="Серийное производство",35,"")</f>
        <v/>
      </c>
      <c r="E45" s="64"/>
      <c r="F45" s="60" t="str">
        <f>IF(Лист1!$I$17="Серийное производство",105,"")</f>
        <v/>
      </c>
      <c r="G45" s="64"/>
      <c r="H45" s="65"/>
      <c r="I45" s="65"/>
      <c r="J45" s="66"/>
      <c r="K45" s="65"/>
      <c r="L45" s="66"/>
      <c r="M45" s="65"/>
      <c r="N45" s="65"/>
      <c r="O45" s="65"/>
    </row>
    <row r="46" spans="1:15" x14ac:dyDescent="0.25">
      <c r="A46" s="59" t="str">
        <f>IF(Лист1!$I$17="Серийное производство","FR4 типовой","")</f>
        <v/>
      </c>
      <c r="B46" s="67" t="str">
        <f>IF(Лист1!$I$17="Серийное производство",0.25,"")</f>
        <v/>
      </c>
      <c r="C46" s="59" t="str">
        <f>IF(Лист1!$I$17="Серийное производство",18,"")</f>
        <v/>
      </c>
      <c r="D46" s="59" t="str">
        <f>IF(Лист1!$I$17="Серийное производство",35,"")</f>
        <v/>
      </c>
      <c r="E46" s="64"/>
      <c r="F46" s="64"/>
      <c r="G46" s="64"/>
      <c r="H46" s="65"/>
      <c r="I46" s="65"/>
      <c r="J46" s="66"/>
      <c r="K46" s="65"/>
      <c r="L46" s="66"/>
      <c r="M46" s="65"/>
      <c r="N46" s="65"/>
      <c r="O46" s="65"/>
    </row>
    <row r="47" spans="1:15" x14ac:dyDescent="0.25">
      <c r="A47" s="59" t="str">
        <f>IF(Лист1!$I$17="Серийное производство","FR4 типовой","")</f>
        <v/>
      </c>
      <c r="B47" s="67" t="str">
        <f>IF(Лист1!$I$17="Серийное производство",0.3,"")</f>
        <v/>
      </c>
      <c r="C47" s="59" t="str">
        <f>IF(Лист1!$I$17="Серийное производство",18,"")</f>
        <v/>
      </c>
      <c r="D47" s="59" t="str">
        <f>IF(Лист1!$I$17="Серийное производство",35,"")</f>
        <v/>
      </c>
      <c r="E47" s="60" t="str">
        <f>IF(Лист1!$I$17="Серийное производство",70,"")</f>
        <v/>
      </c>
      <c r="F47" s="60" t="str">
        <f>IF(Лист1!$I$17="Серийное производство",105,"")</f>
        <v/>
      </c>
      <c r="G47" s="64"/>
      <c r="H47" s="65"/>
      <c r="I47" s="65"/>
      <c r="J47" s="66"/>
      <c r="K47" s="65"/>
      <c r="L47" s="66"/>
      <c r="M47" s="65"/>
      <c r="N47" s="65"/>
      <c r="O47" s="65"/>
    </row>
    <row r="48" spans="1:15" x14ac:dyDescent="0.25">
      <c r="A48" s="59" t="str">
        <f>IF(Лист1!$I$17="Серийное производство","FR4 типовой","")</f>
        <v/>
      </c>
      <c r="B48" s="67" t="str">
        <f>IF(Лист1!$I$17="Серийное производство",0.36,"")</f>
        <v/>
      </c>
      <c r="C48" s="59" t="str">
        <f>IF(Лист1!$I$17="Серийное производство",35,"")</f>
        <v/>
      </c>
      <c r="D48" s="64"/>
      <c r="E48" s="64"/>
      <c r="F48" s="60" t="str">
        <f>IF(Лист1!$I$17="Серийное производство",105,"")</f>
        <v/>
      </c>
      <c r="G48" s="60" t="str">
        <f>IF(Лист1!$I$17="Серийное производство",170,"")</f>
        <v/>
      </c>
      <c r="H48" s="65"/>
      <c r="I48" s="65"/>
      <c r="J48" s="66"/>
      <c r="K48" s="65"/>
      <c r="L48" s="66"/>
      <c r="M48" s="65"/>
      <c r="N48" s="65"/>
      <c r="O48" s="65"/>
    </row>
    <row r="49" spans="1:15" x14ac:dyDescent="0.25">
      <c r="A49" s="59" t="str">
        <f>IF(Лист1!$I$17="Серийное производство","FR4 типовой","")</f>
        <v/>
      </c>
      <c r="B49" s="67" t="str">
        <f>IF(Лист1!$I$17="Серийное производство",0.4,"")</f>
        <v/>
      </c>
      <c r="C49" s="59" t="str">
        <f>IF(Лист1!$I$17="Серийное производство",18,"")</f>
        <v/>
      </c>
      <c r="D49" s="64"/>
      <c r="E49" s="64"/>
      <c r="F49" s="64"/>
      <c r="G49" s="64"/>
      <c r="H49" s="65"/>
      <c r="I49" s="65"/>
      <c r="J49" s="66"/>
      <c r="K49" s="65"/>
      <c r="L49" s="66"/>
      <c r="M49" s="65"/>
      <c r="N49" s="65"/>
      <c r="O49" s="65"/>
    </row>
    <row r="50" spans="1:15" x14ac:dyDescent="0.25">
      <c r="A50" s="59" t="str">
        <f>IF(Лист1!$I$17="Серийное производство","FR4 типовой","")</f>
        <v/>
      </c>
      <c r="B50" s="67" t="str">
        <f>IF(Лист1!$I$17="Серийное производство",0.6,"")</f>
        <v/>
      </c>
      <c r="C50" s="59" t="str">
        <f>IF(Лист1!$I$17="Серийное производство",18,"")</f>
        <v/>
      </c>
      <c r="D50" s="59" t="str">
        <f>IF(Лист1!$I$17="Серийное производство",35,"")</f>
        <v/>
      </c>
      <c r="E50" s="60" t="str">
        <f>IF(Лист1!$I$17="Серийное производство",70,"")</f>
        <v/>
      </c>
      <c r="F50" s="60" t="str">
        <f>IF(Лист1!$I$17="Серийное производство",105,"")</f>
        <v/>
      </c>
      <c r="G50" s="64"/>
      <c r="H50" s="65"/>
      <c r="I50" s="65"/>
      <c r="J50" s="66"/>
      <c r="K50" s="65"/>
      <c r="L50" s="66"/>
      <c r="M50" s="65"/>
      <c r="N50" s="65"/>
      <c r="O50" s="65"/>
    </row>
    <row r="51" spans="1:15" x14ac:dyDescent="0.25">
      <c r="A51" s="59" t="str">
        <f>IF(Лист1!$I$17="Серийное производство","FR4 типовой","")</f>
        <v/>
      </c>
      <c r="B51" s="67" t="str">
        <f>IF(Лист1!$I$17="Серийное производство",0.762,"")</f>
        <v/>
      </c>
      <c r="C51" s="60" t="str">
        <f>IF(Лист1!$I$17="Серийное производство",70,"")</f>
        <v/>
      </c>
      <c r="D51" s="64"/>
      <c r="E51" s="64"/>
      <c r="F51" s="64"/>
      <c r="G51" s="64"/>
      <c r="H51" s="65"/>
      <c r="I51" s="65"/>
      <c r="J51" s="66"/>
      <c r="K51" s="65"/>
      <c r="L51" s="66"/>
      <c r="M51" s="65"/>
      <c r="N51" s="65"/>
      <c r="O51" s="65"/>
    </row>
    <row r="52" spans="1:15" x14ac:dyDescent="0.25">
      <c r="A52" s="51" t="s">
        <v>147</v>
      </c>
      <c r="B52" s="57">
        <v>0.20799999999999999</v>
      </c>
      <c r="C52" s="58">
        <v>18</v>
      </c>
      <c r="D52" s="58">
        <v>35</v>
      </c>
      <c r="H52" s="65"/>
      <c r="I52" s="65"/>
      <c r="J52" s="66"/>
      <c r="K52" s="65"/>
      <c r="L52" s="66"/>
      <c r="M52" s="65"/>
      <c r="N52" s="65"/>
      <c r="O52" s="65"/>
    </row>
    <row r="53" spans="1:15" x14ac:dyDescent="0.25">
      <c r="A53" s="51" t="s">
        <v>147</v>
      </c>
      <c r="B53" s="57">
        <v>0.30499999999999999</v>
      </c>
      <c r="C53" s="58">
        <v>18</v>
      </c>
      <c r="D53" s="58">
        <v>35</v>
      </c>
      <c r="H53" s="65"/>
      <c r="I53" s="65"/>
      <c r="J53" s="66"/>
      <c r="K53" s="65"/>
      <c r="L53" s="66"/>
      <c r="M53" s="65"/>
      <c r="N53" s="65"/>
      <c r="O53" s="65"/>
    </row>
    <row r="54" spans="1:15" x14ac:dyDescent="0.25">
      <c r="A54" s="51" t="s">
        <v>147</v>
      </c>
      <c r="B54" s="57">
        <v>0.40600000000000003</v>
      </c>
      <c r="C54" s="58">
        <v>18</v>
      </c>
      <c r="D54" s="58">
        <v>35</v>
      </c>
      <c r="H54" s="65"/>
      <c r="I54" s="65"/>
      <c r="J54" s="66"/>
      <c r="K54" s="65"/>
      <c r="L54" s="66"/>
      <c r="M54" s="65"/>
      <c r="N54" s="65"/>
      <c r="O54" s="65"/>
    </row>
    <row r="55" spans="1:15" x14ac:dyDescent="0.25">
      <c r="A55" s="51" t="s">
        <v>147</v>
      </c>
      <c r="B55" s="57">
        <v>0.50800000000000001</v>
      </c>
      <c r="C55" s="58">
        <v>18</v>
      </c>
      <c r="D55" s="58">
        <v>35</v>
      </c>
      <c r="H55" s="65"/>
      <c r="I55" s="65"/>
      <c r="J55" s="66"/>
      <c r="K55" s="65"/>
      <c r="L55" s="66"/>
      <c r="M55" s="65"/>
      <c r="N55" s="65"/>
      <c r="O55" s="65"/>
    </row>
    <row r="56" spans="1:15" x14ac:dyDescent="0.25">
      <c r="A56" s="51" t="s">
        <v>147</v>
      </c>
      <c r="B56" s="57">
        <v>0.81299999999999994</v>
      </c>
      <c r="C56" s="58">
        <v>18</v>
      </c>
      <c r="D56" s="58">
        <v>35</v>
      </c>
      <c r="H56" s="65"/>
      <c r="I56" s="65"/>
      <c r="J56" s="66"/>
      <c r="K56" s="65"/>
      <c r="L56" s="66"/>
      <c r="M56" s="65"/>
      <c r="N56" s="65"/>
      <c r="O56" s="65"/>
    </row>
    <row r="57" spans="1:15" x14ac:dyDescent="0.25">
      <c r="A57" s="51" t="s">
        <v>147</v>
      </c>
      <c r="B57" s="57">
        <v>1.524</v>
      </c>
      <c r="C57" s="58">
        <v>18</v>
      </c>
      <c r="D57" s="58">
        <v>35</v>
      </c>
      <c r="H57" s="65"/>
      <c r="I57" s="65"/>
      <c r="J57" s="66"/>
      <c r="K57" s="65"/>
      <c r="L57" s="66"/>
      <c r="M57" s="65"/>
      <c r="N57" s="65"/>
      <c r="O57" s="65"/>
    </row>
    <row r="58" spans="1:15" x14ac:dyDescent="0.25">
      <c r="A58" s="72" t="s">
        <v>148</v>
      </c>
      <c r="B58" s="73">
        <v>0.2</v>
      </c>
      <c r="C58" s="74">
        <v>35</v>
      </c>
      <c r="D58" s="75"/>
      <c r="E58" s="75"/>
      <c r="F58" s="75"/>
      <c r="G58" s="75"/>
      <c r="H58" s="65"/>
      <c r="I58" s="65"/>
      <c r="J58" s="66"/>
      <c r="K58" s="65"/>
      <c r="L58" s="66"/>
      <c r="M58" s="65"/>
      <c r="N58" s="65"/>
      <c r="O58" s="65"/>
    </row>
    <row r="59" spans="1:15" x14ac:dyDescent="0.25">
      <c r="A59" s="72" t="s">
        <v>148</v>
      </c>
      <c r="B59" s="73">
        <v>0.51</v>
      </c>
      <c r="C59" s="74">
        <v>18</v>
      </c>
      <c r="D59" s="74">
        <v>35</v>
      </c>
      <c r="E59" s="74">
        <v>70</v>
      </c>
      <c r="F59" s="75"/>
      <c r="G59" s="75"/>
      <c r="H59" s="65"/>
      <c r="I59" s="65"/>
      <c r="J59" s="66"/>
      <c r="K59" s="65"/>
      <c r="L59" s="66"/>
      <c r="M59" s="65"/>
      <c r="N59" s="65"/>
      <c r="O59" s="65"/>
    </row>
    <row r="60" spans="1:15" x14ac:dyDescent="0.25">
      <c r="A60" s="72" t="s">
        <v>148</v>
      </c>
      <c r="B60" s="73">
        <v>0.76</v>
      </c>
      <c r="C60" s="74">
        <v>18</v>
      </c>
      <c r="D60" s="74">
        <v>35</v>
      </c>
      <c r="E60" s="75"/>
      <c r="F60" s="75"/>
      <c r="G60" s="75"/>
      <c r="H60" s="65"/>
      <c r="I60" s="65"/>
      <c r="J60" s="66"/>
      <c r="K60" s="65"/>
      <c r="L60" s="66"/>
      <c r="M60" s="65"/>
      <c r="N60" s="65"/>
      <c r="O60" s="65"/>
    </row>
    <row r="61" spans="1:15" x14ac:dyDescent="0.25">
      <c r="A61" s="72" t="s">
        <v>148</v>
      </c>
      <c r="B61" s="73">
        <v>0.79</v>
      </c>
      <c r="C61" s="74">
        <v>18</v>
      </c>
      <c r="D61" s="74">
        <v>35</v>
      </c>
      <c r="E61" s="75"/>
      <c r="F61" s="75"/>
      <c r="G61" s="75"/>
      <c r="H61" s="65"/>
      <c r="I61" s="65"/>
      <c r="J61" s="66"/>
      <c r="K61" s="65"/>
      <c r="L61" s="66"/>
      <c r="M61" s="65"/>
      <c r="N61" s="65"/>
      <c r="O61" s="65"/>
    </row>
    <row r="62" spans="1:15" x14ac:dyDescent="0.25">
      <c r="A62" s="72" t="s">
        <v>148</v>
      </c>
      <c r="B62" s="73">
        <v>1.1399999999999999</v>
      </c>
      <c r="C62" s="74">
        <v>18</v>
      </c>
      <c r="D62" s="74">
        <v>35</v>
      </c>
      <c r="E62" s="74">
        <v>70</v>
      </c>
      <c r="F62" s="75"/>
      <c r="G62" s="75"/>
      <c r="H62" s="65"/>
      <c r="I62" s="65"/>
      <c r="J62" s="66"/>
      <c r="K62" s="65"/>
      <c r="L62" s="66"/>
      <c r="M62" s="65"/>
      <c r="N62" s="65"/>
      <c r="O62" s="65"/>
    </row>
    <row r="63" spans="1:15" x14ac:dyDescent="0.25">
      <c r="A63" s="72" t="s">
        <v>148</v>
      </c>
      <c r="B63" s="73">
        <v>1.5</v>
      </c>
      <c r="C63" s="74">
        <v>18</v>
      </c>
      <c r="D63" s="75"/>
      <c r="E63" s="75"/>
      <c r="F63" s="75"/>
      <c r="G63" s="75"/>
      <c r="H63" s="65"/>
      <c r="I63" s="65"/>
      <c r="J63" s="66"/>
      <c r="K63" s="65"/>
      <c r="L63" s="66"/>
      <c r="M63" s="65"/>
      <c r="N63" s="65"/>
      <c r="O63" s="65"/>
    </row>
    <row r="64" spans="1:15" x14ac:dyDescent="0.25">
      <c r="A64" s="72" t="s">
        <v>148</v>
      </c>
      <c r="B64" s="73">
        <v>1.52</v>
      </c>
      <c r="C64" s="74">
        <v>18</v>
      </c>
      <c r="D64" s="74">
        <v>35</v>
      </c>
      <c r="E64" s="74">
        <v>70</v>
      </c>
      <c r="F64" s="75"/>
      <c r="G64" s="75"/>
      <c r="H64" s="65"/>
      <c r="I64" s="65"/>
      <c r="J64" s="66"/>
      <c r="K64" s="65"/>
      <c r="L64" s="66"/>
      <c r="M64" s="65"/>
      <c r="N64" s="65"/>
      <c r="O64" s="65"/>
    </row>
    <row r="65" spans="1:15" x14ac:dyDescent="0.25">
      <c r="A65" s="72" t="s">
        <v>148</v>
      </c>
      <c r="B65" s="73">
        <v>1.58</v>
      </c>
      <c r="C65" s="74">
        <v>18</v>
      </c>
      <c r="D65" s="74">
        <v>35</v>
      </c>
      <c r="E65" s="75"/>
      <c r="F65" s="75"/>
      <c r="G65" s="75"/>
      <c r="H65" s="65"/>
      <c r="I65" s="65"/>
      <c r="J65" s="66"/>
      <c r="K65" s="65"/>
      <c r="L65" s="66"/>
      <c r="M65" s="65"/>
      <c r="N65" s="65"/>
      <c r="O65" s="65"/>
    </row>
    <row r="66" spans="1:15" x14ac:dyDescent="0.25">
      <c r="A66" s="72" t="s">
        <v>148</v>
      </c>
      <c r="B66" s="73">
        <v>2.36</v>
      </c>
      <c r="C66" s="74">
        <v>18</v>
      </c>
      <c r="D66" s="74">
        <v>35</v>
      </c>
      <c r="E66" s="74">
        <v>70</v>
      </c>
      <c r="F66" s="75"/>
      <c r="G66" s="75"/>
      <c r="H66" s="65"/>
      <c r="I66" s="65"/>
      <c r="J66" s="66"/>
      <c r="K66" s="65"/>
      <c r="L66" s="66"/>
      <c r="M66" s="65"/>
      <c r="N66" s="65"/>
      <c r="O66" s="65"/>
    </row>
    <row r="67" spans="1:15" x14ac:dyDescent="0.25">
      <c r="A67" s="51" t="s">
        <v>149</v>
      </c>
      <c r="B67" s="57">
        <v>0.50800000000000001</v>
      </c>
      <c r="C67" s="58">
        <v>18</v>
      </c>
      <c r="H67" s="65"/>
      <c r="I67" s="65"/>
      <c r="J67" s="66"/>
      <c r="K67" s="65"/>
      <c r="L67" s="66"/>
      <c r="M67" s="65"/>
      <c r="N67" s="65"/>
      <c r="O67" s="65"/>
    </row>
    <row r="68" spans="1:15" x14ac:dyDescent="0.25">
      <c r="A68" s="51" t="s">
        <v>149</v>
      </c>
      <c r="B68" s="57">
        <v>0.61</v>
      </c>
      <c r="C68" s="58">
        <v>18</v>
      </c>
      <c r="H68" s="65"/>
      <c r="I68" s="65"/>
      <c r="J68" s="65"/>
      <c r="K68" s="65"/>
      <c r="L68" s="65"/>
      <c r="M68" s="65"/>
      <c r="N68" s="65"/>
      <c r="O68" s="65"/>
    </row>
    <row r="69" spans="1:15" x14ac:dyDescent="0.25">
      <c r="A69" s="51" t="s">
        <v>149</v>
      </c>
      <c r="B69" s="57">
        <v>0.63500000000000001</v>
      </c>
      <c r="C69" s="58">
        <v>18</v>
      </c>
      <c r="H69" s="65"/>
      <c r="I69" s="65"/>
      <c r="J69" s="65"/>
      <c r="K69" s="65"/>
      <c r="L69" s="65"/>
      <c r="M69" s="65"/>
      <c r="N69" s="65"/>
      <c r="O69" s="65"/>
    </row>
    <row r="70" spans="1:15" x14ac:dyDescent="0.25">
      <c r="A70" s="51" t="s">
        <v>150</v>
      </c>
      <c r="B70" s="57">
        <v>0.50800000000000001</v>
      </c>
      <c r="C70" s="58">
        <v>18</v>
      </c>
      <c r="H70" s="65"/>
      <c r="I70" s="65"/>
      <c r="J70" s="65"/>
      <c r="K70" s="65"/>
      <c r="L70" s="65"/>
      <c r="M70" s="65"/>
      <c r="N70" s="65"/>
      <c r="O70" s="65"/>
    </row>
    <row r="71" spans="1:15" x14ac:dyDescent="0.25">
      <c r="A71" s="51" t="s">
        <v>150</v>
      </c>
      <c r="B71" s="57">
        <v>0.61</v>
      </c>
      <c r="C71" s="58">
        <v>18</v>
      </c>
      <c r="H71" s="65"/>
      <c r="I71" s="65"/>
      <c r="J71" s="65"/>
      <c r="K71" s="65"/>
      <c r="L71" s="65"/>
      <c r="M71" s="65"/>
      <c r="N71" s="65"/>
      <c r="O71" s="65"/>
    </row>
    <row r="72" spans="1:15" x14ac:dyDescent="0.25">
      <c r="A72" s="51" t="s">
        <v>150</v>
      </c>
      <c r="B72" s="57">
        <v>0.76200000000000001</v>
      </c>
      <c r="C72" s="58">
        <v>18</v>
      </c>
      <c r="H72" s="65"/>
      <c r="I72" s="65"/>
      <c r="J72" s="65"/>
      <c r="K72" s="65"/>
      <c r="L72" s="65"/>
      <c r="M72" s="65"/>
      <c r="N72" s="65"/>
      <c r="O72" s="65"/>
    </row>
    <row r="73" spans="1:15" x14ac:dyDescent="0.25">
      <c r="A73" s="51" t="s">
        <v>150</v>
      </c>
      <c r="B73" s="57">
        <v>1.524</v>
      </c>
      <c r="C73" s="58">
        <v>18</v>
      </c>
      <c r="H73" s="65"/>
      <c r="I73" s="65"/>
      <c r="J73" s="65"/>
      <c r="K73" s="65"/>
      <c r="L73" s="65"/>
      <c r="M73" s="65"/>
      <c r="N73" s="65"/>
      <c r="O73" s="65"/>
    </row>
    <row r="74" spans="1:15" x14ac:dyDescent="0.25">
      <c r="A74" s="51" t="s">
        <v>151</v>
      </c>
      <c r="B74" s="57">
        <v>0.50800000000000001</v>
      </c>
      <c r="C74" s="58">
        <v>18</v>
      </c>
      <c r="H74" s="65"/>
      <c r="I74" s="65"/>
      <c r="J74" s="65"/>
      <c r="K74" s="65"/>
      <c r="L74" s="65"/>
      <c r="M74" s="65"/>
      <c r="N74" s="65"/>
      <c r="O74" s="65"/>
    </row>
    <row r="75" spans="1:15" x14ac:dyDescent="0.25">
      <c r="A75" s="51" t="s">
        <v>151</v>
      </c>
      <c r="B75" s="57">
        <v>0.63500000000000001</v>
      </c>
      <c r="C75" s="58">
        <v>18</v>
      </c>
      <c r="H75" s="65"/>
      <c r="I75" s="65"/>
      <c r="J75" s="65"/>
      <c r="K75" s="65"/>
      <c r="L75" s="65"/>
      <c r="M75" s="65"/>
      <c r="N75" s="65"/>
      <c r="O75" s="65"/>
    </row>
    <row r="76" spans="1:15" x14ac:dyDescent="0.25">
      <c r="A76" s="51" t="s">
        <v>151</v>
      </c>
      <c r="B76" s="57">
        <v>1.27</v>
      </c>
      <c r="C76" s="58">
        <v>18</v>
      </c>
      <c r="H76" s="65"/>
      <c r="I76" s="65"/>
      <c r="J76" s="65"/>
      <c r="K76" s="65"/>
      <c r="L76" s="65"/>
      <c r="M76" s="65"/>
      <c r="N76" s="65"/>
      <c r="O76" s="65"/>
    </row>
    <row r="77" spans="1:15" x14ac:dyDescent="0.25">
      <c r="A77" s="51" t="s">
        <v>152</v>
      </c>
      <c r="B77" s="57">
        <v>0.254</v>
      </c>
      <c r="C77" s="58">
        <v>18</v>
      </c>
      <c r="D77" s="58">
        <v>35</v>
      </c>
      <c r="H77" s="65"/>
      <c r="I77" s="65"/>
      <c r="J77" s="65"/>
      <c r="K77" s="65"/>
      <c r="L77" s="65"/>
      <c r="M77" s="65"/>
      <c r="N77" s="65"/>
      <c r="O77" s="65"/>
    </row>
    <row r="78" spans="1:15" x14ac:dyDescent="0.25">
      <c r="A78" s="51" t="s">
        <v>152</v>
      </c>
      <c r="B78" s="57">
        <v>0.33800000000000002</v>
      </c>
      <c r="C78" s="58">
        <v>18</v>
      </c>
      <c r="D78" s="58">
        <v>35</v>
      </c>
      <c r="H78" s="65"/>
      <c r="I78" s="65"/>
      <c r="J78" s="65"/>
      <c r="K78" s="65"/>
      <c r="L78" s="65"/>
      <c r="M78" s="65"/>
      <c r="N78" s="65"/>
      <c r="O78" s="65"/>
    </row>
    <row r="79" spans="1:15" x14ac:dyDescent="0.25">
      <c r="A79" s="51" t="s">
        <v>152</v>
      </c>
      <c r="B79" s="57">
        <v>0.50800000000000001</v>
      </c>
      <c r="C79" s="58">
        <v>18</v>
      </c>
      <c r="D79" s="58">
        <v>35</v>
      </c>
      <c r="H79" s="65"/>
      <c r="I79" s="65"/>
      <c r="J79" s="65"/>
      <c r="K79" s="65"/>
      <c r="L79" s="65"/>
      <c r="M79" s="65"/>
      <c r="N79" s="65"/>
      <c r="O79" s="65"/>
    </row>
    <row r="80" spans="1:15" x14ac:dyDescent="0.25">
      <c r="A80" s="51" t="s">
        <v>152</v>
      </c>
      <c r="B80" s="57">
        <v>0.76200000000000001</v>
      </c>
      <c r="C80" s="58">
        <v>18</v>
      </c>
      <c r="D80" s="58">
        <v>35</v>
      </c>
      <c r="H80" s="65"/>
      <c r="I80" s="65"/>
      <c r="J80" s="65"/>
      <c r="K80" s="65"/>
      <c r="L80" s="65"/>
      <c r="M80" s="65"/>
      <c r="N80" s="65"/>
      <c r="O80" s="65"/>
    </row>
    <row r="81" spans="1:15" x14ac:dyDescent="0.25">
      <c r="A81" s="51" t="s">
        <v>152</v>
      </c>
      <c r="B81" s="57">
        <v>1.524</v>
      </c>
      <c r="C81" s="58">
        <v>18</v>
      </c>
      <c r="D81" s="58">
        <v>35</v>
      </c>
      <c r="H81" s="65"/>
      <c r="I81" s="65"/>
      <c r="J81" s="65"/>
      <c r="K81" s="65"/>
      <c r="L81" s="65"/>
      <c r="M81" s="65"/>
      <c r="N81" s="65"/>
      <c r="O81" s="65"/>
    </row>
    <row r="82" spans="1:15" x14ac:dyDescent="0.25">
      <c r="A82" s="51" t="s">
        <v>153</v>
      </c>
      <c r="B82" s="57">
        <v>0.50800000000000001</v>
      </c>
      <c r="C82" s="58">
        <v>18</v>
      </c>
      <c r="H82" s="65"/>
      <c r="I82" s="65"/>
      <c r="J82" s="65"/>
      <c r="K82" s="65"/>
      <c r="L82" s="65"/>
      <c r="M82" s="65"/>
      <c r="N82" s="65"/>
      <c r="O82" s="65"/>
    </row>
    <row r="83" spans="1:15" x14ac:dyDescent="0.25">
      <c r="A83" s="72" t="s">
        <v>154</v>
      </c>
      <c r="B83" s="73">
        <v>1.5</v>
      </c>
      <c r="C83" s="74">
        <v>18</v>
      </c>
      <c r="D83" s="74">
        <v>35</v>
      </c>
      <c r="E83" s="75"/>
      <c r="F83" s="75"/>
      <c r="G83" s="75"/>
      <c r="H83" s="65"/>
      <c r="I83" s="65"/>
      <c r="J83" s="65"/>
      <c r="K83" s="65"/>
      <c r="L83" s="65"/>
      <c r="M83" s="65"/>
      <c r="N83" s="65"/>
      <c r="O83" s="65"/>
    </row>
    <row r="84" spans="1:15" x14ac:dyDescent="0.25">
      <c r="A84" s="59" t="str">
        <f>IF(Лист1!$I$17="Серийное производство","FR4 HiTg170","")</f>
        <v/>
      </c>
      <c r="B84" s="67" t="str">
        <f>IF(Лист1!$I$17="Серийное производство",0.3,"")</f>
        <v/>
      </c>
      <c r="C84" s="59" t="str">
        <f>IF(Лист1!$I$17="Серийное производство",35,"")</f>
        <v/>
      </c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</row>
    <row r="85" spans="1:15" x14ac:dyDescent="0.25">
      <c r="A85" s="51" t="s">
        <v>155</v>
      </c>
      <c r="B85" s="57">
        <v>0.5</v>
      </c>
      <c r="C85" s="58">
        <v>18</v>
      </c>
      <c r="D85" s="58">
        <v>35</v>
      </c>
      <c r="H85" s="65"/>
      <c r="I85" s="65"/>
      <c r="J85" s="65"/>
      <c r="K85" s="65"/>
      <c r="L85" s="65"/>
      <c r="M85" s="65"/>
      <c r="N85" s="65"/>
      <c r="O85" s="65"/>
    </row>
    <row r="86" spans="1:15" x14ac:dyDescent="0.25">
      <c r="A86" s="51" t="s">
        <v>155</v>
      </c>
      <c r="B86" s="57">
        <v>0.8</v>
      </c>
      <c r="C86" s="58">
        <v>18</v>
      </c>
      <c r="D86" s="58">
        <v>35</v>
      </c>
      <c r="E86" s="59" t="str">
        <f>IF(Лист1!$I$17="Серийное производство",70,"")</f>
        <v/>
      </c>
      <c r="H86" s="65"/>
      <c r="I86" s="65"/>
      <c r="J86" s="65"/>
      <c r="K86" s="65"/>
      <c r="L86" s="65"/>
      <c r="M86" s="65"/>
      <c r="N86" s="65"/>
      <c r="O86" s="65"/>
    </row>
    <row r="87" spans="1:15" x14ac:dyDescent="0.25">
      <c r="A87" s="51" t="s">
        <v>155</v>
      </c>
      <c r="B87" s="57">
        <v>1</v>
      </c>
      <c r="C87" s="58">
        <v>18</v>
      </c>
      <c r="D87" s="58">
        <v>35</v>
      </c>
      <c r="E87" s="59" t="str">
        <f>IF(Лист1!$I$17="Серийное производство",105,"")</f>
        <v/>
      </c>
      <c r="H87" s="65"/>
      <c r="I87" s="65"/>
      <c r="J87" s="65"/>
      <c r="K87" s="65"/>
      <c r="L87" s="65"/>
      <c r="M87" s="65"/>
      <c r="N87" s="65"/>
      <c r="O87" s="65"/>
    </row>
    <row r="88" spans="1:15" x14ac:dyDescent="0.25">
      <c r="A88" s="51" t="s">
        <v>155</v>
      </c>
      <c r="B88" s="57">
        <v>1.5</v>
      </c>
      <c r="C88" s="58">
        <v>18</v>
      </c>
      <c r="D88" s="58">
        <v>35</v>
      </c>
      <c r="H88" s="65"/>
      <c r="I88" s="65"/>
      <c r="J88" s="65"/>
      <c r="K88" s="65"/>
      <c r="L88" s="65"/>
      <c r="M88" s="65"/>
      <c r="N88" s="65"/>
      <c r="O88" s="65"/>
    </row>
    <row r="89" spans="1:15" x14ac:dyDescent="0.25">
      <c r="A89" s="59" t="str">
        <f>IF(Лист1!$I$17="Серийное производство","FR4 HiTg170","")</f>
        <v/>
      </c>
      <c r="B89" s="67" t="str">
        <f>IF(Лист1!$I$17="Серийное производство",1.6,"")</f>
        <v/>
      </c>
      <c r="C89" s="59" t="str">
        <f>IF(Лист1!$I$17="Серийное производство",105,"")</f>
        <v/>
      </c>
      <c r="D89" s="64"/>
      <c r="E89" s="64"/>
      <c r="F89" s="64"/>
      <c r="G89" s="64"/>
      <c r="H89" s="65"/>
      <c r="I89" s="65"/>
      <c r="J89" s="65"/>
      <c r="K89" s="65"/>
      <c r="L89" s="65"/>
      <c r="M89" s="65"/>
      <c r="N89" s="65"/>
      <c r="O89" s="65"/>
    </row>
    <row r="90" spans="1:15" x14ac:dyDescent="0.25">
      <c r="A90" s="59" t="str">
        <f>IF(Лист1!$I$17="Серийное производство","FR4 HiTg170","")</f>
        <v/>
      </c>
      <c r="B90" s="67" t="str">
        <f>IF(Лист1!$I$17="Серийное производство",2,"")</f>
        <v/>
      </c>
      <c r="C90" s="59" t="str">
        <f>IF(Лист1!$I$17="Серийное производство",18,"")</f>
        <v/>
      </c>
      <c r="D90" s="64"/>
      <c r="E90" s="59" t="str">
        <f>IF(Лист1!$I$17="Серийное производство",70,"")</f>
        <v/>
      </c>
      <c r="F90" s="59" t="str">
        <f>IF(Лист1!$I$17="Серийное производство",105,"")</f>
        <v/>
      </c>
      <c r="G90" s="59" t="str">
        <f>IF(Лист1!$I$17="Серийное производство",140,"")</f>
        <v/>
      </c>
      <c r="H90" s="65"/>
      <c r="I90" s="65"/>
      <c r="J90" s="65"/>
      <c r="K90" s="65"/>
      <c r="L90" s="65"/>
      <c r="M90" s="65"/>
      <c r="N90" s="65"/>
      <c r="O90" s="65"/>
    </row>
    <row r="91" spans="1:15" x14ac:dyDescent="0.25">
      <c r="A91" s="59" t="str">
        <f>IF(Лист1!$I$17="Серийное производство","FR4 HiTg170","")</f>
        <v/>
      </c>
      <c r="B91" s="67" t="str">
        <f>IF(Лист1!$I$17="Серийное производство",3,"")</f>
        <v/>
      </c>
      <c r="C91" s="59" t="str">
        <f>IF(Лист1!$I$17="Серийное производство",18,"")</f>
        <v/>
      </c>
      <c r="D91" s="64"/>
      <c r="E91" s="64"/>
      <c r="F91" s="64"/>
      <c r="G91" s="64"/>
      <c r="H91" s="65"/>
      <c r="I91" s="65"/>
      <c r="J91" s="65"/>
      <c r="K91" s="65"/>
      <c r="L91" s="65"/>
      <c r="M91" s="65"/>
      <c r="N91" s="65"/>
      <c r="O91" s="65"/>
    </row>
    <row r="92" spans="1:15" x14ac:dyDescent="0.25">
      <c r="A92" s="51" t="s">
        <v>156</v>
      </c>
      <c r="B92" s="57">
        <v>0.50800000000000001</v>
      </c>
      <c r="C92" s="58">
        <v>18</v>
      </c>
      <c r="H92" s="65"/>
      <c r="I92" s="65"/>
      <c r="J92" s="65"/>
      <c r="K92" s="65"/>
      <c r="L92" s="65"/>
      <c r="M92" s="65"/>
      <c r="N92" s="65"/>
      <c r="O92" s="65"/>
    </row>
    <row r="93" spans="1:15" x14ac:dyDescent="0.25">
      <c r="A93" s="72" t="s">
        <v>157</v>
      </c>
      <c r="B93" s="76">
        <v>0.2</v>
      </c>
      <c r="C93" s="77">
        <v>18</v>
      </c>
      <c r="D93" s="75"/>
      <c r="E93" s="75"/>
      <c r="F93" s="75"/>
      <c r="G93" s="75"/>
      <c r="H93" s="65"/>
      <c r="I93" s="65"/>
      <c r="J93" s="65"/>
      <c r="K93" s="65"/>
      <c r="L93" s="65"/>
      <c r="M93" s="65"/>
      <c r="N93" s="65"/>
      <c r="O93" s="65"/>
    </row>
    <row r="94" spans="1:15" x14ac:dyDescent="0.25">
      <c r="A94" s="72" t="s">
        <v>157</v>
      </c>
      <c r="B94" s="76">
        <v>0.3</v>
      </c>
      <c r="C94" s="77">
        <v>18</v>
      </c>
      <c r="D94" s="75"/>
      <c r="E94" s="75"/>
      <c r="F94" s="75"/>
      <c r="G94" s="75"/>
      <c r="H94" s="65"/>
      <c r="I94" s="65"/>
      <c r="J94" s="65"/>
      <c r="K94" s="65"/>
      <c r="L94" s="65"/>
      <c r="M94" s="65"/>
      <c r="N94" s="65"/>
      <c r="O94" s="65"/>
    </row>
    <row r="95" spans="1:15" x14ac:dyDescent="0.25">
      <c r="A95" s="72" t="s">
        <v>157</v>
      </c>
      <c r="B95" s="76">
        <v>0.5</v>
      </c>
      <c r="C95" s="77">
        <v>18</v>
      </c>
      <c r="D95" s="77">
        <v>35</v>
      </c>
      <c r="E95" s="75"/>
      <c r="F95" s="75"/>
      <c r="G95" s="75"/>
      <c r="H95" s="65"/>
      <c r="I95" s="65"/>
      <c r="J95" s="65"/>
      <c r="K95" s="65"/>
      <c r="L95" s="65"/>
      <c r="M95" s="65"/>
      <c r="N95" s="65"/>
      <c r="O95" s="65"/>
    </row>
    <row r="96" spans="1:15" x14ac:dyDescent="0.25">
      <c r="A96" s="72" t="s">
        <v>157</v>
      </c>
      <c r="B96" s="76">
        <v>0.8</v>
      </c>
      <c r="C96" s="77">
        <v>18</v>
      </c>
      <c r="D96" s="77">
        <v>35</v>
      </c>
      <c r="E96" s="75"/>
      <c r="F96" s="75"/>
      <c r="G96" s="75"/>
      <c r="H96" s="65"/>
      <c r="I96" s="65"/>
      <c r="J96" s="65"/>
      <c r="K96" s="65"/>
      <c r="L96" s="65"/>
      <c r="M96" s="65"/>
      <c r="N96" s="65"/>
      <c r="O96" s="65"/>
    </row>
    <row r="97" spans="1:15" x14ac:dyDescent="0.25">
      <c r="A97" s="72" t="s">
        <v>157</v>
      </c>
      <c r="B97" s="76">
        <v>1</v>
      </c>
      <c r="C97" s="77">
        <v>35</v>
      </c>
      <c r="D97" s="75"/>
      <c r="E97" s="75"/>
      <c r="F97" s="75"/>
      <c r="G97" s="75"/>
      <c r="H97" s="65"/>
      <c r="I97" s="65"/>
      <c r="J97" s="65"/>
      <c r="K97" s="65"/>
      <c r="L97" s="65"/>
      <c r="M97" s="65"/>
      <c r="N97" s="65"/>
      <c r="O97" s="65"/>
    </row>
    <row r="98" spans="1:15" x14ac:dyDescent="0.25">
      <c r="A98" s="72" t="s">
        <v>157</v>
      </c>
      <c r="B98" s="76">
        <v>1.5</v>
      </c>
      <c r="C98" s="77">
        <v>35</v>
      </c>
      <c r="D98" s="77">
        <v>50</v>
      </c>
      <c r="E98" s="75"/>
      <c r="F98" s="75"/>
      <c r="G98" s="75"/>
      <c r="H98" s="65"/>
      <c r="I98" s="65"/>
      <c r="J98" s="65"/>
      <c r="K98" s="65"/>
      <c r="L98" s="65"/>
      <c r="M98" s="65"/>
      <c r="N98" s="65"/>
      <c r="O98" s="65"/>
    </row>
    <row r="99" spans="1:15" x14ac:dyDescent="0.25">
      <c r="A99" s="72" t="s">
        <v>157</v>
      </c>
      <c r="B99" s="76">
        <v>2</v>
      </c>
      <c r="C99" s="77">
        <v>18</v>
      </c>
      <c r="D99" s="77">
        <v>35</v>
      </c>
      <c r="E99" s="77">
        <v>50</v>
      </c>
      <c r="F99" s="77">
        <v>210</v>
      </c>
      <c r="G99" s="75"/>
      <c r="H99" s="65"/>
      <c r="I99" s="65"/>
      <c r="J99" s="65"/>
      <c r="K99" s="65"/>
      <c r="L99" s="65"/>
      <c r="M99" s="65"/>
      <c r="N99" s="65"/>
      <c r="O99" s="65"/>
    </row>
    <row r="100" spans="1:15" x14ac:dyDescent="0.25">
      <c r="A100" s="72" t="s">
        <v>157</v>
      </c>
      <c r="B100" s="76">
        <v>3</v>
      </c>
      <c r="C100" s="77">
        <v>35</v>
      </c>
      <c r="D100" s="77">
        <v>50</v>
      </c>
      <c r="E100" s="75"/>
      <c r="F100" s="75"/>
      <c r="G100" s="75"/>
      <c r="H100" s="65"/>
      <c r="I100" s="65"/>
      <c r="J100" s="65"/>
      <c r="K100" s="65"/>
      <c r="L100" s="65"/>
      <c r="M100" s="65"/>
      <c r="N100" s="65"/>
      <c r="O100" s="65"/>
    </row>
    <row r="101" spans="1:15" x14ac:dyDescent="0.25">
      <c r="A101" s="51" t="s">
        <v>158</v>
      </c>
      <c r="B101" s="57">
        <v>1.016</v>
      </c>
      <c r="C101" s="58">
        <v>18</v>
      </c>
      <c r="D101" s="58">
        <v>35</v>
      </c>
      <c r="H101" s="65"/>
      <c r="I101" s="65"/>
      <c r="J101" s="65"/>
      <c r="K101" s="65"/>
      <c r="L101" s="65"/>
      <c r="M101" s="65"/>
      <c r="N101" s="65"/>
      <c r="O101" s="65"/>
    </row>
    <row r="102" spans="1:15" x14ac:dyDescent="0.25">
      <c r="A102" s="51" t="s">
        <v>158</v>
      </c>
      <c r="B102" s="57">
        <v>1.524</v>
      </c>
      <c r="C102" s="58">
        <v>18</v>
      </c>
      <c r="D102" s="58">
        <v>35</v>
      </c>
      <c r="H102" s="65"/>
      <c r="I102" s="65"/>
      <c r="J102" s="65"/>
      <c r="K102" s="65"/>
      <c r="L102" s="65"/>
      <c r="M102" s="65"/>
      <c r="N102" s="65"/>
      <c r="O102" s="65"/>
    </row>
    <row r="103" spans="1:15" x14ac:dyDescent="0.25">
      <c r="A103" s="51" t="s">
        <v>158</v>
      </c>
      <c r="B103" s="57">
        <v>2.032</v>
      </c>
      <c r="C103" s="58">
        <v>18</v>
      </c>
      <c r="D103" s="58">
        <v>35</v>
      </c>
      <c r="H103" s="65"/>
      <c r="I103" s="65"/>
      <c r="J103" s="65"/>
      <c r="K103" s="65"/>
      <c r="L103" s="65"/>
      <c r="M103" s="65"/>
      <c r="N103" s="65"/>
      <c r="O103" s="65"/>
    </row>
    <row r="104" spans="1:15" x14ac:dyDescent="0.25">
      <c r="A104" s="51" t="s">
        <v>159</v>
      </c>
      <c r="B104" s="57">
        <v>1.524</v>
      </c>
      <c r="C104" s="58">
        <v>35</v>
      </c>
      <c r="H104" s="65"/>
      <c r="I104" s="65"/>
      <c r="J104" s="65"/>
      <c r="K104" s="65"/>
      <c r="L104" s="65"/>
      <c r="M104" s="65"/>
      <c r="N104" s="65"/>
      <c r="O104" s="65"/>
    </row>
    <row r="105" spans="1:15" x14ac:dyDescent="0.25">
      <c r="A105" s="51"/>
      <c r="B105" s="57"/>
      <c r="G105" s="58"/>
      <c r="H105" s="65"/>
      <c r="I105" s="65"/>
      <c r="J105" s="65"/>
      <c r="K105" s="65"/>
      <c r="L105" s="65"/>
      <c r="M105" s="65"/>
      <c r="N105" s="65"/>
      <c r="O105" s="65"/>
    </row>
    <row r="106" spans="1:15" x14ac:dyDescent="0.25">
      <c r="A106" s="51"/>
      <c r="B106" s="57"/>
      <c r="G106" s="58"/>
      <c r="H106" s="65"/>
      <c r="I106" s="65"/>
      <c r="J106" s="65"/>
      <c r="K106" s="65"/>
      <c r="L106" s="65"/>
      <c r="M106" s="65"/>
      <c r="N106" s="65"/>
      <c r="O106" s="65"/>
    </row>
    <row r="107" spans="1:15" x14ac:dyDescent="0.25">
      <c r="A107" s="51"/>
      <c r="B107" s="57"/>
      <c r="G107" s="58"/>
      <c r="H107" s="65"/>
      <c r="I107" s="65"/>
      <c r="J107" s="65"/>
      <c r="K107" s="65"/>
      <c r="L107" s="65"/>
      <c r="M107" s="65"/>
      <c r="N107" s="65"/>
      <c r="O107" s="65"/>
    </row>
    <row r="108" spans="1:15" x14ac:dyDescent="0.25">
      <c r="A108" s="51"/>
      <c r="B108" s="57"/>
      <c r="G108" s="58"/>
      <c r="H108" s="65"/>
      <c r="I108" s="65"/>
      <c r="J108" s="65"/>
      <c r="K108" s="65"/>
      <c r="L108" s="65"/>
      <c r="M108" s="65"/>
      <c r="N108" s="65"/>
      <c r="O108" s="65"/>
    </row>
    <row r="109" spans="1:15" x14ac:dyDescent="0.25">
      <c r="A109" s="51"/>
      <c r="B109" s="57"/>
      <c r="G109" s="58"/>
      <c r="H109" s="65"/>
      <c r="I109" s="65"/>
      <c r="J109" s="65"/>
      <c r="K109" s="65"/>
      <c r="L109" s="65"/>
      <c r="M109" s="65"/>
      <c r="N109" s="65"/>
      <c r="O109" s="65"/>
    </row>
    <row r="110" spans="1:15" x14ac:dyDescent="0.25">
      <c r="A110" s="51"/>
      <c r="B110" s="57"/>
      <c r="G110" s="58"/>
      <c r="H110" s="65"/>
      <c r="I110" s="65"/>
      <c r="J110" s="65"/>
      <c r="K110" s="65"/>
      <c r="L110" s="65"/>
      <c r="M110" s="65"/>
      <c r="N110" s="65"/>
      <c r="O110" s="65"/>
    </row>
    <row r="111" spans="1:15" x14ac:dyDescent="0.25">
      <c r="A111" s="51"/>
      <c r="B111" s="57"/>
      <c r="G111" s="58"/>
      <c r="H111" s="65"/>
      <c r="I111" s="65"/>
      <c r="J111" s="65"/>
      <c r="K111" s="65"/>
      <c r="L111" s="65"/>
      <c r="M111" s="65"/>
      <c r="N111" s="65"/>
      <c r="O111" s="65"/>
    </row>
    <row r="112" spans="1:15" x14ac:dyDescent="0.25">
      <c r="A112" s="51"/>
      <c r="B112" s="57"/>
      <c r="G112" s="58"/>
      <c r="H112" s="65"/>
      <c r="I112" s="65"/>
      <c r="J112" s="65"/>
      <c r="K112" s="65"/>
      <c r="L112" s="65"/>
      <c r="M112" s="65"/>
      <c r="N112" s="65"/>
      <c r="O112" s="65"/>
    </row>
    <row r="113" spans="1:15" x14ac:dyDescent="0.25">
      <c r="A113" s="54" t="s">
        <v>160</v>
      </c>
      <c r="B113" s="78">
        <v>0.5</v>
      </c>
      <c r="C113" s="79">
        <v>18</v>
      </c>
      <c r="D113" s="79">
        <v>35</v>
      </c>
      <c r="E113" s="79">
        <v>70</v>
      </c>
      <c r="F113" s="79">
        <v>105</v>
      </c>
      <c r="G113" s="58"/>
      <c r="H113" s="65"/>
      <c r="I113" s="65"/>
      <c r="J113" s="65"/>
      <c r="K113" s="65"/>
      <c r="L113" s="65"/>
      <c r="M113" s="65"/>
      <c r="N113" s="65"/>
      <c r="O113" s="65"/>
    </row>
    <row r="114" spans="1:15" x14ac:dyDescent="0.25">
      <c r="A114" s="54" t="s">
        <v>160</v>
      </c>
      <c r="B114" s="78">
        <v>0.8</v>
      </c>
      <c r="C114" s="79">
        <v>18</v>
      </c>
      <c r="D114" s="79">
        <v>35</v>
      </c>
      <c r="E114" s="79">
        <v>70</v>
      </c>
      <c r="F114" s="79">
        <v>105</v>
      </c>
      <c r="G114" s="58"/>
      <c r="H114" s="65"/>
      <c r="I114" s="65"/>
      <c r="J114" s="65"/>
      <c r="K114" s="65"/>
      <c r="L114" s="65"/>
      <c r="M114" s="65"/>
      <c r="N114" s="65"/>
      <c r="O114" s="65"/>
    </row>
    <row r="115" spans="1:15" x14ac:dyDescent="0.25">
      <c r="A115" s="54" t="s">
        <v>160</v>
      </c>
      <c r="B115" s="78">
        <v>1</v>
      </c>
      <c r="C115" s="79">
        <v>18</v>
      </c>
      <c r="D115" s="79">
        <v>35</v>
      </c>
      <c r="E115" s="79">
        <v>70</v>
      </c>
      <c r="F115" s="79">
        <v>105</v>
      </c>
      <c r="G115" s="58"/>
      <c r="H115" s="65"/>
      <c r="I115" s="65"/>
      <c r="J115" s="65"/>
      <c r="K115" s="65"/>
      <c r="L115" s="65"/>
      <c r="M115" s="65"/>
      <c r="N115" s="65"/>
      <c r="O115" s="65"/>
    </row>
    <row r="116" spans="1:15" x14ac:dyDescent="0.25">
      <c r="A116" s="54" t="s">
        <v>160</v>
      </c>
      <c r="B116" s="78">
        <v>1.5</v>
      </c>
      <c r="C116" s="79">
        <v>18</v>
      </c>
      <c r="D116" s="79">
        <v>35</v>
      </c>
      <c r="E116" s="79">
        <v>70</v>
      </c>
      <c r="F116" s="79">
        <v>105</v>
      </c>
      <c r="G116" s="58"/>
      <c r="H116" s="65"/>
      <c r="I116" s="65"/>
      <c r="J116" s="65"/>
      <c r="K116" s="65"/>
      <c r="L116" s="65"/>
      <c r="M116" s="65"/>
      <c r="N116" s="65"/>
      <c r="O116" s="65"/>
    </row>
    <row r="117" spans="1:15" x14ac:dyDescent="0.25">
      <c r="A117" s="54" t="s">
        <v>160</v>
      </c>
      <c r="B117" s="78">
        <v>2</v>
      </c>
      <c r="C117" s="79">
        <v>18</v>
      </c>
      <c r="D117" s="79">
        <v>35</v>
      </c>
      <c r="E117" s="79">
        <v>70</v>
      </c>
      <c r="F117" s="79">
        <v>105</v>
      </c>
      <c r="G117" s="58"/>
      <c r="H117" s="65"/>
      <c r="I117" s="65"/>
      <c r="J117" s="65"/>
      <c r="K117" s="65"/>
      <c r="L117" s="65"/>
      <c r="M117" s="65"/>
      <c r="N117" s="65"/>
      <c r="O117" s="65"/>
    </row>
    <row r="118" spans="1:15" x14ac:dyDescent="0.25">
      <c r="A118" s="54" t="s">
        <v>161</v>
      </c>
      <c r="B118" s="78">
        <v>1.5</v>
      </c>
      <c r="C118" s="79">
        <v>35</v>
      </c>
      <c r="G118" s="58"/>
      <c r="H118" s="65"/>
      <c r="I118" s="65"/>
      <c r="J118" s="65"/>
      <c r="K118" s="65"/>
      <c r="L118" s="65"/>
      <c r="M118" s="65"/>
      <c r="N118" s="65"/>
      <c r="O118" s="65"/>
    </row>
    <row r="119" spans="1:15" x14ac:dyDescent="0.25">
      <c r="A119" s="54" t="str">
        <f>IF(Лист1!$I$17="Срочное производство","","IT-158")</f>
        <v/>
      </c>
      <c r="B119" s="78">
        <v>0.5</v>
      </c>
      <c r="C119" s="79">
        <v>18</v>
      </c>
      <c r="D119" s="79">
        <v>35</v>
      </c>
      <c r="E119" s="79">
        <v>70</v>
      </c>
      <c r="F119" s="79">
        <v>105</v>
      </c>
      <c r="G119" s="58"/>
      <c r="H119" s="65"/>
      <c r="I119" s="65"/>
      <c r="J119" s="65"/>
      <c r="K119" s="65"/>
      <c r="L119" s="65"/>
      <c r="M119" s="65"/>
      <c r="N119" s="65"/>
      <c r="O119" s="65"/>
    </row>
    <row r="120" spans="1:15" x14ac:dyDescent="0.25">
      <c r="A120" s="54" t="s">
        <v>162</v>
      </c>
      <c r="B120" s="78">
        <v>0.8</v>
      </c>
      <c r="C120" s="79" t="str">
        <f>IF(Лист1!$I$17="Срочное производство","",18)</f>
        <v/>
      </c>
      <c r="D120" s="79">
        <v>35</v>
      </c>
      <c r="E120" s="79" t="str">
        <f>IF(Лист1!$I$17="Срочное производство","",70)</f>
        <v/>
      </c>
      <c r="F120" s="79" t="str">
        <f>IF(Лист1!$I$17="Срочное производство","",105)</f>
        <v/>
      </c>
      <c r="G120" s="80"/>
      <c r="H120" s="65"/>
      <c r="I120" s="65"/>
      <c r="J120" s="65"/>
      <c r="K120" s="65"/>
      <c r="L120" s="65"/>
      <c r="M120" s="65"/>
      <c r="N120" s="65"/>
      <c r="O120" s="65"/>
    </row>
    <row r="121" spans="1:15" x14ac:dyDescent="0.25">
      <c r="A121" s="54" t="s">
        <v>162</v>
      </c>
      <c r="B121" s="78">
        <v>1</v>
      </c>
      <c r="C121" s="79" t="str">
        <f>IF(Лист1!$I$17="Срочное производство","",18)</f>
        <v/>
      </c>
      <c r="D121" s="79">
        <v>35</v>
      </c>
      <c r="E121" s="79" t="str">
        <f>IF(Лист1!$I$17="Срочное производство","",70)</f>
        <v/>
      </c>
      <c r="F121" s="79" t="str">
        <f>IF(Лист1!$I$17="Срочное производство","",105)</f>
        <v/>
      </c>
      <c r="G121" s="80"/>
      <c r="H121" s="65"/>
      <c r="I121" s="65"/>
      <c r="J121" s="65"/>
      <c r="K121" s="65"/>
      <c r="L121" s="65"/>
      <c r="M121" s="65"/>
      <c r="N121" s="65"/>
      <c r="O121" s="65"/>
    </row>
    <row r="122" spans="1:15" x14ac:dyDescent="0.25">
      <c r="A122" s="54" t="s">
        <v>162</v>
      </c>
      <c r="B122" s="78">
        <v>1.5</v>
      </c>
      <c r="C122" s="79" t="str">
        <f>IF(Лист1!$I$17="Срочное производство","",18)</f>
        <v/>
      </c>
      <c r="D122" s="79">
        <v>35</v>
      </c>
      <c r="E122" s="79" t="str">
        <f>IF(Лист1!$I$17="Срочное производство","",70)</f>
        <v/>
      </c>
      <c r="F122" s="79" t="str">
        <f>IF(Лист1!$I$17="Срочное производство","",105)</f>
        <v/>
      </c>
      <c r="G122" s="80"/>
      <c r="H122" s="65"/>
      <c r="I122" s="65"/>
      <c r="J122" s="65"/>
      <c r="K122" s="65"/>
      <c r="L122" s="65"/>
      <c r="M122" s="65"/>
      <c r="N122" s="65"/>
      <c r="O122" s="65"/>
    </row>
    <row r="123" spans="1:15" x14ac:dyDescent="0.25">
      <c r="A123" s="54" t="str">
        <f>IF(Лист1!$I$17="Срочное производство","","IT-158")</f>
        <v/>
      </c>
      <c r="B123" s="78">
        <v>2</v>
      </c>
      <c r="C123" s="79">
        <v>18</v>
      </c>
      <c r="D123" s="79">
        <v>35</v>
      </c>
      <c r="E123" s="79">
        <v>70</v>
      </c>
      <c r="F123" s="79">
        <v>105</v>
      </c>
      <c r="G123" s="58"/>
      <c r="H123" s="65"/>
      <c r="I123" s="65"/>
      <c r="J123" s="65"/>
      <c r="K123" s="65"/>
      <c r="L123" s="65"/>
      <c r="M123" s="65"/>
      <c r="N123" s="65"/>
      <c r="O123" s="65"/>
    </row>
    <row r="124" spans="1:15" x14ac:dyDescent="0.25">
      <c r="A124" s="54" t="str">
        <f>IF(Лист1!$I$17="Срочное производство","","HA-50 Type1")</f>
        <v/>
      </c>
      <c r="B124" s="78">
        <v>0.5</v>
      </c>
      <c r="C124" s="79">
        <v>18</v>
      </c>
      <c r="D124" s="79">
        <v>35</v>
      </c>
      <c r="E124" s="79">
        <v>70</v>
      </c>
      <c r="F124" s="79">
        <v>105</v>
      </c>
      <c r="G124" s="58"/>
      <c r="H124" s="65"/>
      <c r="I124" s="65"/>
      <c r="J124" s="65"/>
      <c r="K124" s="65"/>
      <c r="L124" s="65"/>
      <c r="M124" s="65"/>
      <c r="N124" s="65"/>
      <c r="O124" s="65"/>
    </row>
    <row r="125" spans="1:15" x14ac:dyDescent="0.25">
      <c r="A125" s="54" t="s">
        <v>163</v>
      </c>
      <c r="B125" s="78">
        <v>0.8</v>
      </c>
      <c r="C125" s="79" t="str">
        <f>IF(Лист1!$I$17="Срочное производство","",18)</f>
        <v/>
      </c>
      <c r="D125" s="79">
        <v>35</v>
      </c>
      <c r="E125" s="79" t="str">
        <f>IF(Лист1!$I$17="Срочное производство","",70)</f>
        <v/>
      </c>
      <c r="F125" s="79" t="str">
        <f>IF(Лист1!$I$17="Срочное производство","",105)</f>
        <v/>
      </c>
      <c r="G125" s="80"/>
      <c r="H125" s="65"/>
      <c r="I125" s="65"/>
      <c r="J125" s="65"/>
      <c r="K125" s="65"/>
      <c r="L125" s="65"/>
      <c r="M125" s="65"/>
      <c r="N125" s="65"/>
      <c r="O125" s="65"/>
    </row>
    <row r="126" spans="1:15" x14ac:dyDescent="0.25">
      <c r="A126" s="54" t="s">
        <v>163</v>
      </c>
      <c r="B126" s="78">
        <v>1</v>
      </c>
      <c r="C126" s="79" t="str">
        <f>IF(Лист1!$I$17="Срочное производство","",18)</f>
        <v/>
      </c>
      <c r="D126" s="79">
        <v>35</v>
      </c>
      <c r="E126" s="79" t="str">
        <f>IF(Лист1!$I$17="Срочное производство","",70)</f>
        <v/>
      </c>
      <c r="F126" s="79" t="str">
        <f>IF(Лист1!$I$17="Срочное производство","",105)</f>
        <v/>
      </c>
      <c r="G126" s="80"/>
      <c r="H126" s="65"/>
      <c r="I126" s="65"/>
      <c r="J126" s="65"/>
      <c r="K126" s="65"/>
      <c r="L126" s="65"/>
      <c r="M126" s="65"/>
      <c r="N126" s="65"/>
      <c r="O126" s="65"/>
    </row>
    <row r="127" spans="1:15" x14ac:dyDescent="0.25">
      <c r="A127" s="54" t="s">
        <v>163</v>
      </c>
      <c r="B127" s="78">
        <v>1.5</v>
      </c>
      <c r="C127" s="79" t="str">
        <f>IF(Лист1!$I$17="Срочное производство","",18)</f>
        <v/>
      </c>
      <c r="D127" s="79">
        <v>35</v>
      </c>
      <c r="E127" s="79" t="str">
        <f>IF(Лист1!$I$17="Срочное производство","",70)</f>
        <v/>
      </c>
      <c r="F127" s="79" t="str">
        <f>IF(Лист1!$I$17="Срочное производство","",105)</f>
        <v/>
      </c>
      <c r="G127" s="80"/>
      <c r="H127" s="65"/>
      <c r="I127" s="65"/>
      <c r="J127" s="65"/>
      <c r="K127" s="65"/>
      <c r="L127" s="65"/>
      <c r="M127" s="65"/>
      <c r="N127" s="65"/>
      <c r="O127" s="65"/>
    </row>
    <row r="128" spans="1:15" x14ac:dyDescent="0.25">
      <c r="A128" s="54" t="s">
        <v>163</v>
      </c>
      <c r="B128" s="78">
        <v>2</v>
      </c>
      <c r="C128" s="79" t="str">
        <f>IF(Лист1!$I$17="Срочное производство","",18)</f>
        <v/>
      </c>
      <c r="D128" s="79">
        <v>35</v>
      </c>
      <c r="E128" s="79" t="str">
        <f>IF(Лист1!$I$17="Срочное производство","",70)</f>
        <v/>
      </c>
      <c r="F128" s="79" t="str">
        <f>IF(Лист1!$I$17="Срочное производство","",105)</f>
        <v/>
      </c>
      <c r="G128" s="80"/>
      <c r="H128" s="65"/>
      <c r="I128" s="65"/>
      <c r="J128" s="65"/>
      <c r="K128" s="65"/>
      <c r="L128" s="65"/>
      <c r="M128" s="65"/>
      <c r="N128" s="65"/>
      <c r="O128" s="65"/>
    </row>
    <row r="129" spans="1:15" x14ac:dyDescent="0.25">
      <c r="A129" s="54" t="str">
        <f>IF(Лист1!$I$17="Срочное производство","","T112(5052)")</f>
        <v/>
      </c>
      <c r="B129" s="78">
        <v>0.5</v>
      </c>
      <c r="C129" s="79">
        <v>18</v>
      </c>
      <c r="D129" s="79">
        <v>35</v>
      </c>
      <c r="E129" s="79">
        <v>70</v>
      </c>
      <c r="F129" s="79">
        <v>105</v>
      </c>
      <c r="G129" s="58"/>
      <c r="H129" s="65"/>
      <c r="I129" s="65"/>
      <c r="J129" s="65"/>
      <c r="K129" s="65"/>
      <c r="L129" s="65"/>
      <c r="M129" s="65"/>
      <c r="N129" s="65"/>
      <c r="O129" s="65"/>
    </row>
    <row r="130" spans="1:15" x14ac:dyDescent="0.25">
      <c r="A130" s="54" t="str">
        <f>IF(Лист1!$I$17="Срочное производство","","T112(5052)")</f>
        <v/>
      </c>
      <c r="B130" s="78">
        <v>0.8</v>
      </c>
      <c r="C130" s="79">
        <v>18</v>
      </c>
      <c r="D130" s="79">
        <v>35</v>
      </c>
      <c r="E130" s="79">
        <v>70</v>
      </c>
      <c r="F130" s="79">
        <v>105</v>
      </c>
      <c r="G130" s="58"/>
      <c r="H130" s="65"/>
      <c r="I130" s="65"/>
      <c r="J130" s="65"/>
      <c r="K130" s="65"/>
      <c r="L130" s="65"/>
      <c r="M130" s="65"/>
      <c r="N130" s="65"/>
      <c r="O130" s="65"/>
    </row>
    <row r="131" spans="1:15" x14ac:dyDescent="0.25">
      <c r="A131" s="54" t="str">
        <f>IF(Лист1!$I$17="Срочное производство","","T112(5052)")</f>
        <v/>
      </c>
      <c r="B131" s="78">
        <v>1</v>
      </c>
      <c r="C131" s="79">
        <v>18</v>
      </c>
      <c r="D131" s="79">
        <v>35</v>
      </c>
      <c r="E131" s="79">
        <v>70</v>
      </c>
      <c r="F131" s="79">
        <v>105</v>
      </c>
      <c r="H131" s="65"/>
      <c r="I131" s="65"/>
      <c r="J131" s="65"/>
      <c r="K131" s="65"/>
      <c r="L131" s="65"/>
      <c r="M131" s="65"/>
      <c r="N131" s="65"/>
      <c r="O131" s="65"/>
    </row>
    <row r="132" spans="1:15" x14ac:dyDescent="0.25">
      <c r="A132" s="54" t="s">
        <v>164</v>
      </c>
      <c r="B132" s="78">
        <v>1.5</v>
      </c>
      <c r="C132" s="79" t="str">
        <f>IF(Лист1!$I$17="Срочное производство","",18)</f>
        <v/>
      </c>
      <c r="D132" s="79">
        <v>35</v>
      </c>
      <c r="E132" s="79" t="str">
        <f>IF(Лист1!$I$17="Срочное производство","",70)</f>
        <v/>
      </c>
      <c r="F132" s="79" t="str">
        <f>IF(Лист1!$I$17="Срочное производство","",105)</f>
        <v/>
      </c>
      <c r="H132" s="65"/>
      <c r="I132" s="65"/>
      <c r="J132" s="65"/>
      <c r="K132" s="65"/>
      <c r="L132" s="65"/>
      <c r="M132" s="65"/>
      <c r="N132" s="65"/>
      <c r="O132" s="65"/>
    </row>
    <row r="133" spans="1:15" x14ac:dyDescent="0.25">
      <c r="A133" s="54" t="str">
        <f>IF(Лист1!$I$17="Срочное производство","","T112(5052)")</f>
        <v/>
      </c>
      <c r="B133" s="78">
        <v>2</v>
      </c>
      <c r="C133" s="79">
        <v>18</v>
      </c>
      <c r="D133" s="79">
        <v>35</v>
      </c>
      <c r="E133" s="79">
        <v>70</v>
      </c>
      <c r="F133" s="79">
        <v>105</v>
      </c>
      <c r="H133" s="65"/>
      <c r="I133" s="65"/>
      <c r="J133" s="65"/>
      <c r="K133" s="65"/>
      <c r="L133" s="65"/>
      <c r="M133" s="65"/>
      <c r="N133" s="65"/>
      <c r="O133" s="65"/>
    </row>
    <row r="134" spans="1:15" x14ac:dyDescent="0.25">
      <c r="A134" s="54" t="s">
        <v>165</v>
      </c>
      <c r="B134" s="78">
        <v>0.5</v>
      </c>
      <c r="C134" s="79">
        <v>18</v>
      </c>
      <c r="D134" s="79">
        <v>35</v>
      </c>
      <c r="E134" s="79">
        <v>70</v>
      </c>
      <c r="F134" s="79">
        <v>105</v>
      </c>
      <c r="H134" s="65"/>
      <c r="I134" s="65"/>
      <c r="J134" s="65"/>
      <c r="K134" s="65"/>
      <c r="L134" s="65"/>
      <c r="M134" s="65"/>
      <c r="N134" s="65"/>
      <c r="O134" s="65"/>
    </row>
    <row r="135" spans="1:15" x14ac:dyDescent="0.25">
      <c r="A135" s="54" t="s">
        <v>165</v>
      </c>
      <c r="B135" s="78">
        <v>0.8</v>
      </c>
      <c r="C135" s="79">
        <v>18</v>
      </c>
      <c r="D135" s="79">
        <v>35</v>
      </c>
      <c r="E135" s="79">
        <v>70</v>
      </c>
      <c r="F135" s="79">
        <v>105</v>
      </c>
      <c r="H135" s="65"/>
      <c r="I135" s="65"/>
      <c r="J135" s="65"/>
      <c r="K135" s="65"/>
      <c r="L135" s="65"/>
      <c r="M135" s="65"/>
      <c r="N135" s="65"/>
      <c r="O135" s="65"/>
    </row>
    <row r="136" spans="1:15" x14ac:dyDescent="0.25">
      <c r="A136" s="54" t="s">
        <v>165</v>
      </c>
      <c r="B136" s="78">
        <v>1</v>
      </c>
      <c r="C136" s="79">
        <v>18</v>
      </c>
      <c r="D136" s="79">
        <v>35</v>
      </c>
      <c r="E136" s="79">
        <v>70</v>
      </c>
      <c r="F136" s="79">
        <v>105</v>
      </c>
      <c r="H136" s="65"/>
      <c r="I136" s="65"/>
      <c r="J136" s="65"/>
      <c r="K136" s="65"/>
      <c r="L136" s="65"/>
      <c r="M136" s="65"/>
      <c r="N136" s="65"/>
      <c r="O136" s="65"/>
    </row>
    <row r="137" spans="1:15" x14ac:dyDescent="0.25">
      <c r="A137" s="54" t="s">
        <v>165</v>
      </c>
      <c r="B137" s="78">
        <v>1.5</v>
      </c>
      <c r="C137" s="79">
        <v>18</v>
      </c>
      <c r="D137" s="79">
        <v>35</v>
      </c>
      <c r="E137" s="79">
        <v>70</v>
      </c>
      <c r="F137" s="79">
        <v>105</v>
      </c>
      <c r="H137" s="65"/>
      <c r="I137" s="65"/>
      <c r="J137" s="65"/>
      <c r="K137" s="65"/>
      <c r="L137" s="65"/>
      <c r="M137" s="65"/>
      <c r="N137" s="65"/>
      <c r="O137" s="65"/>
    </row>
    <row r="138" spans="1:15" x14ac:dyDescent="0.25">
      <c r="A138" s="54" t="s">
        <v>165</v>
      </c>
      <c r="B138" s="78">
        <v>2</v>
      </c>
      <c r="C138" s="79">
        <v>18</v>
      </c>
      <c r="D138" s="79">
        <v>35</v>
      </c>
      <c r="E138" s="79">
        <v>70</v>
      </c>
      <c r="F138" s="79">
        <v>105</v>
      </c>
      <c r="H138" s="65"/>
      <c r="I138" s="65"/>
      <c r="J138" s="65"/>
      <c r="K138" s="65"/>
      <c r="L138" s="65"/>
      <c r="M138" s="65"/>
      <c r="N138" s="65"/>
      <c r="O138" s="65"/>
    </row>
    <row r="139" spans="1:15" x14ac:dyDescent="0.25">
      <c r="A139" s="54" t="s">
        <v>166</v>
      </c>
      <c r="B139" s="78">
        <v>0.8</v>
      </c>
      <c r="C139" s="79">
        <v>35</v>
      </c>
      <c r="D139" s="79">
        <v>70</v>
      </c>
      <c r="H139" s="65"/>
      <c r="I139" s="65"/>
      <c r="J139" s="65"/>
      <c r="K139" s="65"/>
      <c r="L139" s="65"/>
      <c r="M139" s="65"/>
      <c r="N139" s="65"/>
      <c r="O139" s="65"/>
    </row>
    <row r="140" spans="1:15" x14ac:dyDescent="0.25">
      <c r="A140" s="54" t="s">
        <v>166</v>
      </c>
      <c r="B140" s="78">
        <v>1</v>
      </c>
      <c r="C140" s="79">
        <v>35</v>
      </c>
      <c r="D140" s="79">
        <v>70</v>
      </c>
      <c r="H140" s="65"/>
      <c r="I140" s="65"/>
      <c r="J140" s="65"/>
      <c r="K140" s="65"/>
      <c r="L140" s="65"/>
      <c r="M140" s="65"/>
      <c r="N140" s="65"/>
      <c r="O140" s="65"/>
    </row>
    <row r="141" spans="1:15" x14ac:dyDescent="0.25">
      <c r="A141" s="54" t="s">
        <v>166</v>
      </c>
      <c r="B141" s="78">
        <v>1.5</v>
      </c>
      <c r="C141" s="79">
        <v>35</v>
      </c>
      <c r="D141" s="79">
        <v>70</v>
      </c>
      <c r="H141" s="65"/>
      <c r="I141" s="65"/>
      <c r="J141" s="65"/>
      <c r="K141" s="65"/>
      <c r="L141" s="65"/>
      <c r="M141" s="65"/>
      <c r="N141" s="65"/>
      <c r="O141" s="65"/>
    </row>
    <row r="142" spans="1:15" x14ac:dyDescent="0.25">
      <c r="A142" s="54" t="s">
        <v>166</v>
      </c>
      <c r="B142" s="78">
        <v>2</v>
      </c>
      <c r="C142" s="79">
        <v>35</v>
      </c>
      <c r="D142" s="79">
        <v>70</v>
      </c>
      <c r="H142" s="65"/>
      <c r="I142" s="65"/>
      <c r="J142" s="65"/>
      <c r="K142" s="65"/>
      <c r="L142" s="65"/>
      <c r="M142" s="65"/>
      <c r="N142" s="65"/>
      <c r="O142" s="65"/>
    </row>
    <row r="143" spans="1:15" x14ac:dyDescent="0.25">
      <c r="A143" s="54" t="str">
        <f>IF(Лист1!$I$17="Срочное производство","","T111(1100)")</f>
        <v/>
      </c>
      <c r="B143" s="78">
        <v>0.8</v>
      </c>
      <c r="C143" s="79">
        <v>35</v>
      </c>
      <c r="D143" s="79">
        <v>70</v>
      </c>
      <c r="H143" s="65"/>
      <c r="I143" s="65"/>
      <c r="J143" s="65"/>
      <c r="K143" s="65"/>
      <c r="L143" s="65"/>
      <c r="M143" s="65"/>
      <c r="N143" s="65"/>
      <c r="O143" s="65"/>
    </row>
    <row r="144" spans="1:15" x14ac:dyDescent="0.25">
      <c r="A144" s="54" t="str">
        <f>IF(Лист1!$I$17="Срочное производство","","T111(1100)")</f>
        <v/>
      </c>
      <c r="B144" s="78">
        <v>1</v>
      </c>
      <c r="C144" s="79">
        <v>35</v>
      </c>
      <c r="D144" s="79">
        <v>70</v>
      </c>
      <c r="F144" s="79">
        <v>105</v>
      </c>
      <c r="H144" s="65"/>
      <c r="I144" s="65"/>
      <c r="J144" s="65"/>
      <c r="K144" s="65"/>
      <c r="L144" s="65"/>
      <c r="M144" s="65"/>
      <c r="N144" s="65"/>
      <c r="O144" s="65"/>
    </row>
    <row r="145" spans="1:15" x14ac:dyDescent="0.25">
      <c r="A145" s="54" t="s">
        <v>167</v>
      </c>
      <c r="B145" s="78">
        <v>1.5</v>
      </c>
      <c r="C145" s="79">
        <v>35</v>
      </c>
      <c r="D145" s="79" t="str">
        <f>IF(Лист1!$I$17="Срочное производство","",70)</f>
        <v/>
      </c>
      <c r="H145" s="65"/>
      <c r="I145" s="65"/>
      <c r="J145" s="65"/>
      <c r="K145" s="65"/>
      <c r="L145" s="65"/>
      <c r="M145" s="65"/>
      <c r="N145" s="65"/>
      <c r="O145" s="65"/>
    </row>
    <row r="146" spans="1:15" x14ac:dyDescent="0.25">
      <c r="A146" s="54" t="str">
        <f>IF(Лист1!$I$17="Срочное производство","","T111(1100)")</f>
        <v/>
      </c>
      <c r="B146" s="78">
        <v>2</v>
      </c>
      <c r="C146" s="79">
        <v>35</v>
      </c>
      <c r="D146" s="79">
        <v>70</v>
      </c>
      <c r="H146" s="65"/>
      <c r="I146" s="65"/>
      <c r="J146" s="65"/>
      <c r="K146" s="65"/>
      <c r="L146" s="65"/>
      <c r="M146" s="65"/>
      <c r="N146" s="65"/>
      <c r="O146" s="65"/>
    </row>
    <row r="147" spans="1:15" x14ac:dyDescent="0.25">
      <c r="A147" s="54" t="str">
        <f>IF(Лист1!$I$17="Срочное производство","","HA-50 Type2")</f>
        <v/>
      </c>
      <c r="B147" s="78">
        <v>0.5</v>
      </c>
      <c r="C147" s="79">
        <v>18</v>
      </c>
      <c r="D147" s="79">
        <v>35</v>
      </c>
      <c r="E147" s="79">
        <v>70</v>
      </c>
      <c r="F147" s="79">
        <v>105</v>
      </c>
      <c r="H147" s="65"/>
      <c r="I147" s="65"/>
      <c r="J147" s="65"/>
      <c r="K147" s="65"/>
      <c r="L147" s="65"/>
      <c r="M147" s="65"/>
      <c r="N147" s="65"/>
      <c r="O147" s="65"/>
    </row>
    <row r="148" spans="1:15" x14ac:dyDescent="0.25">
      <c r="A148" s="54" t="str">
        <f>IF(Лист1!$I$17="Срочное производство","","HA-50 Type2")</f>
        <v/>
      </c>
      <c r="B148" s="78">
        <v>0.8</v>
      </c>
      <c r="C148" s="79">
        <v>18</v>
      </c>
      <c r="D148" s="79">
        <v>35</v>
      </c>
      <c r="E148" s="79">
        <v>70</v>
      </c>
      <c r="F148" s="79">
        <v>105</v>
      </c>
      <c r="H148" s="65"/>
      <c r="I148" s="65"/>
      <c r="J148" s="65"/>
      <c r="K148" s="65"/>
      <c r="L148" s="65"/>
      <c r="M148" s="65"/>
      <c r="N148" s="65"/>
      <c r="O148" s="65"/>
    </row>
    <row r="149" spans="1:15" x14ac:dyDescent="0.25">
      <c r="A149" s="54" t="str">
        <f>IF(Лист1!$I$17="Срочное производство","","HA-50 Type2")</f>
        <v/>
      </c>
      <c r="B149" s="78">
        <v>1</v>
      </c>
      <c r="C149" s="79">
        <v>18</v>
      </c>
      <c r="D149" s="79">
        <v>35</v>
      </c>
      <c r="E149" s="79">
        <v>70</v>
      </c>
      <c r="F149" s="79">
        <v>105</v>
      </c>
      <c r="H149" s="65"/>
      <c r="I149" s="65"/>
      <c r="J149" s="65"/>
      <c r="K149" s="65"/>
      <c r="L149" s="65"/>
      <c r="M149" s="65"/>
      <c r="N149" s="65"/>
      <c r="O149" s="65"/>
    </row>
    <row r="150" spans="1:15" x14ac:dyDescent="0.25">
      <c r="A150" s="54" t="s">
        <v>168</v>
      </c>
      <c r="B150" s="78">
        <v>1.5</v>
      </c>
      <c r="C150" s="79" t="str">
        <f>IF(Лист1!$I$17="Срочное производство","",18)</f>
        <v/>
      </c>
      <c r="D150" s="79">
        <v>35</v>
      </c>
      <c r="E150" s="79" t="str">
        <f>IF(Лист1!$I$17="Срочное производство","",70)</f>
        <v/>
      </c>
      <c r="F150" s="79" t="str">
        <f>IF(Лист1!$I$17="Срочное производство","",105)</f>
        <v/>
      </c>
      <c r="H150" s="65"/>
      <c r="I150" s="65"/>
      <c r="J150" s="65"/>
      <c r="K150" s="65"/>
      <c r="L150" s="65"/>
      <c r="M150" s="65"/>
      <c r="N150" s="65"/>
      <c r="O150" s="65"/>
    </row>
    <row r="151" spans="1:15" x14ac:dyDescent="0.25">
      <c r="A151" s="54" t="str">
        <f>IF(Лист1!$I$17="Срочное производство","","HA-50 Type2")</f>
        <v/>
      </c>
      <c r="B151" s="78">
        <v>2</v>
      </c>
      <c r="C151" s="79">
        <v>18</v>
      </c>
      <c r="D151" s="79">
        <v>35</v>
      </c>
      <c r="E151" s="79">
        <v>70</v>
      </c>
      <c r="F151" s="79">
        <v>105</v>
      </c>
      <c r="H151" s="65"/>
      <c r="I151" s="65"/>
      <c r="J151" s="65"/>
      <c r="K151" s="65"/>
      <c r="L151" s="65"/>
      <c r="M151" s="65"/>
      <c r="N151" s="65"/>
      <c r="O151" s="65"/>
    </row>
    <row r="152" spans="1:15" x14ac:dyDescent="0.25">
      <c r="A152" s="54" t="s">
        <v>169</v>
      </c>
      <c r="B152" s="78">
        <v>0.8</v>
      </c>
      <c r="C152" s="79">
        <v>18</v>
      </c>
      <c r="D152" s="79">
        <v>35</v>
      </c>
      <c r="H152" s="65"/>
      <c r="I152" s="65"/>
      <c r="J152" s="65"/>
      <c r="K152" s="65"/>
      <c r="L152" s="65"/>
      <c r="M152" s="65"/>
      <c r="N152" s="65"/>
      <c r="O152" s="65"/>
    </row>
    <row r="153" spans="1:15" x14ac:dyDescent="0.25">
      <c r="A153" s="54" t="s">
        <v>169</v>
      </c>
      <c r="B153" s="78">
        <v>1</v>
      </c>
      <c r="C153" s="79">
        <v>18</v>
      </c>
      <c r="D153" s="79">
        <v>35</v>
      </c>
      <c r="H153" s="65"/>
      <c r="I153" s="65"/>
      <c r="J153" s="65"/>
      <c r="K153" s="65"/>
      <c r="L153" s="65"/>
      <c r="M153" s="65"/>
      <c r="N153" s="65"/>
      <c r="O153" s="65"/>
    </row>
    <row r="154" spans="1:15" x14ac:dyDescent="0.25">
      <c r="A154" s="54" t="s">
        <v>169</v>
      </c>
      <c r="B154" s="78">
        <v>1.5</v>
      </c>
      <c r="C154" s="79">
        <v>18</v>
      </c>
      <c r="D154" s="79">
        <v>35</v>
      </c>
      <c r="H154" s="65"/>
      <c r="I154" s="65"/>
      <c r="J154" s="65"/>
      <c r="K154" s="65"/>
      <c r="L154" s="65"/>
      <c r="M154" s="65"/>
      <c r="N154" s="65"/>
      <c r="O154" s="65"/>
    </row>
    <row r="155" spans="1:15" x14ac:dyDescent="0.25">
      <c r="A155" s="54" t="s">
        <v>170</v>
      </c>
      <c r="B155" s="78">
        <v>0.5</v>
      </c>
      <c r="C155" s="79">
        <v>18</v>
      </c>
      <c r="D155" s="79">
        <v>35</v>
      </c>
      <c r="E155" s="79">
        <v>70</v>
      </c>
      <c r="F155" s="79">
        <v>105</v>
      </c>
      <c r="H155" s="65"/>
      <c r="I155" s="65"/>
      <c r="J155" s="65"/>
      <c r="K155" s="65"/>
      <c r="L155" s="65"/>
      <c r="M155" s="65"/>
      <c r="N155" s="65"/>
      <c r="O155" s="65"/>
    </row>
    <row r="156" spans="1:15" x14ac:dyDescent="0.25">
      <c r="A156" s="54" t="s">
        <v>170</v>
      </c>
      <c r="B156" s="78">
        <v>0.8</v>
      </c>
      <c r="C156" s="79">
        <v>18</v>
      </c>
      <c r="D156" s="79">
        <v>35</v>
      </c>
      <c r="E156" s="79">
        <v>70</v>
      </c>
      <c r="F156" s="79">
        <v>105</v>
      </c>
      <c r="H156" s="65"/>
      <c r="I156" s="65"/>
      <c r="J156" s="65"/>
      <c r="K156" s="65"/>
      <c r="L156" s="65"/>
      <c r="M156" s="65"/>
      <c r="N156" s="65"/>
      <c r="O156" s="65"/>
    </row>
    <row r="157" spans="1:15" x14ac:dyDescent="0.25">
      <c r="A157" s="54" t="s">
        <v>170</v>
      </c>
      <c r="B157" s="78">
        <v>1</v>
      </c>
      <c r="C157" s="79">
        <v>18</v>
      </c>
      <c r="D157" s="79">
        <v>35</v>
      </c>
      <c r="E157" s="79">
        <v>70</v>
      </c>
      <c r="F157" s="79">
        <v>105</v>
      </c>
      <c r="H157" s="65"/>
      <c r="I157" s="65"/>
      <c r="J157" s="65"/>
      <c r="K157" s="65"/>
      <c r="L157" s="65"/>
      <c r="M157" s="65"/>
      <c r="N157" s="65"/>
      <c r="O157" s="65"/>
    </row>
    <row r="158" spans="1:15" x14ac:dyDescent="0.25">
      <c r="A158" s="54" t="s">
        <v>170</v>
      </c>
      <c r="B158" s="78">
        <v>1.5</v>
      </c>
      <c r="C158" s="79">
        <v>18</v>
      </c>
      <c r="D158" s="79">
        <v>35</v>
      </c>
      <c r="E158" s="79">
        <v>70</v>
      </c>
      <c r="F158" s="79">
        <v>105</v>
      </c>
      <c r="H158" s="65"/>
      <c r="I158" s="65"/>
      <c r="J158" s="65"/>
      <c r="K158" s="65"/>
      <c r="L158" s="65"/>
      <c r="M158" s="65"/>
      <c r="N158" s="65"/>
      <c r="O158" s="65"/>
    </row>
    <row r="159" spans="1:15" x14ac:dyDescent="0.25">
      <c r="A159" s="54" t="s">
        <v>170</v>
      </c>
      <c r="B159" s="78">
        <v>2</v>
      </c>
      <c r="C159" s="79">
        <v>18</v>
      </c>
      <c r="D159" s="79">
        <v>35</v>
      </c>
      <c r="E159" s="79">
        <v>70</v>
      </c>
      <c r="F159" s="79">
        <v>105</v>
      </c>
      <c r="H159" s="65"/>
      <c r="I159" s="65"/>
      <c r="J159" s="65"/>
      <c r="K159" s="65"/>
      <c r="L159" s="65"/>
      <c r="M159" s="65"/>
      <c r="N159" s="65"/>
      <c r="O159" s="65"/>
    </row>
    <row r="160" spans="1:15" x14ac:dyDescent="0.25">
      <c r="A160" s="54" t="s">
        <v>171</v>
      </c>
      <c r="B160" s="78">
        <v>0.5</v>
      </c>
      <c r="C160" s="79">
        <v>18</v>
      </c>
      <c r="D160" s="79">
        <v>35</v>
      </c>
      <c r="E160" s="79">
        <v>70</v>
      </c>
      <c r="F160" s="79">
        <v>105</v>
      </c>
      <c r="H160" s="65"/>
      <c r="I160" s="65"/>
      <c r="J160" s="65"/>
      <c r="K160" s="65"/>
      <c r="L160" s="65"/>
      <c r="M160" s="65"/>
      <c r="N160" s="65"/>
      <c r="O160" s="65"/>
    </row>
    <row r="161" spans="1:15" x14ac:dyDescent="0.25">
      <c r="A161" s="54" t="s">
        <v>171</v>
      </c>
      <c r="B161" s="78">
        <v>0.8</v>
      </c>
      <c r="C161" s="79">
        <v>18</v>
      </c>
      <c r="D161" s="79">
        <v>35</v>
      </c>
      <c r="E161" s="79">
        <v>70</v>
      </c>
      <c r="F161" s="79">
        <v>105</v>
      </c>
      <c r="H161" s="65"/>
      <c r="I161" s="65"/>
      <c r="J161" s="65"/>
      <c r="K161" s="65"/>
      <c r="L161" s="65"/>
      <c r="M161" s="65"/>
      <c r="N161" s="65"/>
      <c r="O161" s="65"/>
    </row>
    <row r="162" spans="1:15" x14ac:dyDescent="0.25">
      <c r="A162" s="54" t="s">
        <v>171</v>
      </c>
      <c r="B162" s="78">
        <v>1</v>
      </c>
      <c r="C162" s="79">
        <v>18</v>
      </c>
      <c r="D162" s="79">
        <v>35</v>
      </c>
      <c r="E162" s="79">
        <v>70</v>
      </c>
      <c r="F162" s="79">
        <v>105</v>
      </c>
      <c r="H162" s="65"/>
      <c r="I162" s="65"/>
      <c r="J162" s="65"/>
      <c r="K162" s="65"/>
      <c r="L162" s="65"/>
      <c r="M162" s="65"/>
      <c r="N162" s="65"/>
      <c r="O162" s="65"/>
    </row>
    <row r="163" spans="1:15" x14ac:dyDescent="0.25">
      <c r="A163" s="54" t="s">
        <v>171</v>
      </c>
      <c r="B163" s="78">
        <v>1.5</v>
      </c>
      <c r="C163" s="79">
        <v>18</v>
      </c>
      <c r="D163" s="79">
        <v>35</v>
      </c>
      <c r="E163" s="79">
        <v>70</v>
      </c>
      <c r="F163" s="79">
        <v>105</v>
      </c>
      <c r="H163" s="65"/>
      <c r="I163" s="65"/>
      <c r="J163" s="65"/>
      <c r="K163" s="65"/>
      <c r="L163" s="65"/>
      <c r="M163" s="65"/>
      <c r="N163" s="65"/>
      <c r="O163" s="65"/>
    </row>
    <row r="164" spans="1:15" x14ac:dyDescent="0.25">
      <c r="A164" s="54" t="s">
        <v>171</v>
      </c>
      <c r="B164" s="78">
        <v>2</v>
      </c>
      <c r="C164" s="79">
        <v>18</v>
      </c>
      <c r="D164" s="79">
        <v>35</v>
      </c>
      <c r="E164" s="79">
        <v>70</v>
      </c>
      <c r="F164" s="79">
        <v>105</v>
      </c>
      <c r="H164" s="65"/>
      <c r="I164" s="65"/>
      <c r="J164" s="65"/>
      <c r="K164" s="65"/>
      <c r="L164" s="65"/>
      <c r="M164" s="65"/>
      <c r="N164" s="65"/>
      <c r="O164" s="65"/>
    </row>
    <row r="165" spans="1:15" x14ac:dyDescent="0.25">
      <c r="A165" s="54" t="str">
        <f>IF(Лист1!$I$17="Срочное производство","","T111(5052)")</f>
        <v/>
      </c>
      <c r="B165" s="78">
        <v>0.5</v>
      </c>
      <c r="C165" s="79">
        <v>18</v>
      </c>
      <c r="D165" s="79">
        <v>35</v>
      </c>
      <c r="E165" s="79">
        <v>70</v>
      </c>
      <c r="F165" s="79">
        <v>105</v>
      </c>
      <c r="H165" s="65"/>
      <c r="I165" s="65"/>
      <c r="J165" s="65"/>
      <c r="K165" s="65"/>
      <c r="L165" s="65"/>
      <c r="M165" s="65"/>
      <c r="N165" s="65"/>
      <c r="O165" s="65"/>
    </row>
    <row r="166" spans="1:15" x14ac:dyDescent="0.25">
      <c r="A166" s="54" t="str">
        <f>IF(Лист1!$I$17="Срочное производство","","T111(5052)")</f>
        <v/>
      </c>
      <c r="B166" s="78">
        <v>0.8</v>
      </c>
      <c r="C166" s="79">
        <v>18</v>
      </c>
      <c r="D166" s="79">
        <v>35</v>
      </c>
      <c r="E166" s="79">
        <v>70</v>
      </c>
      <c r="F166" s="79">
        <v>105</v>
      </c>
      <c r="H166" s="65"/>
      <c r="I166" s="65"/>
      <c r="J166" s="65"/>
      <c r="K166" s="65"/>
      <c r="L166" s="65"/>
      <c r="M166" s="65"/>
      <c r="N166" s="65"/>
      <c r="O166" s="65"/>
    </row>
    <row r="167" spans="1:15" x14ac:dyDescent="0.25">
      <c r="A167" s="54" t="s">
        <v>172</v>
      </c>
      <c r="B167" s="78">
        <v>1</v>
      </c>
      <c r="C167" s="79" t="str">
        <f>IF(Лист1!$I$17="Срочное производство","",18)</f>
        <v/>
      </c>
      <c r="D167" s="79">
        <v>35</v>
      </c>
      <c r="E167" s="79" t="str">
        <f>IF(Лист1!$I$17="Срочное производство","",70)</f>
        <v/>
      </c>
      <c r="F167" s="79" t="str">
        <f>IF(Лист1!$I$17="Срочное производство","",105)</f>
        <v/>
      </c>
      <c r="H167" s="65"/>
      <c r="I167" s="65"/>
      <c r="J167" s="65"/>
      <c r="K167" s="65"/>
      <c r="L167" s="65"/>
      <c r="M167" s="65"/>
      <c r="N167" s="65"/>
      <c r="O167" s="65"/>
    </row>
    <row r="168" spans="1:15" x14ac:dyDescent="0.25">
      <c r="A168" s="54" t="s">
        <v>172</v>
      </c>
      <c r="B168" s="78">
        <v>1.5</v>
      </c>
      <c r="C168" s="79" t="str">
        <f>IF(Лист1!$I$17="Срочное производство","",18)</f>
        <v/>
      </c>
      <c r="D168" s="79">
        <v>35</v>
      </c>
      <c r="E168" s="79">
        <v>70</v>
      </c>
      <c r="F168" s="79">
        <v>105</v>
      </c>
      <c r="H168" s="65"/>
      <c r="I168" s="65"/>
      <c r="J168" s="65"/>
      <c r="K168" s="65"/>
      <c r="L168" s="65"/>
      <c r="M168" s="65"/>
      <c r="N168" s="65"/>
      <c r="O168" s="65"/>
    </row>
    <row r="169" spans="1:15" x14ac:dyDescent="0.25">
      <c r="A169" s="54" t="s">
        <v>172</v>
      </c>
      <c r="B169" s="78">
        <v>2</v>
      </c>
      <c r="C169" s="79" t="str">
        <f>IF(Лист1!$I$17="Срочное производство","",18)</f>
        <v/>
      </c>
      <c r="D169" s="79">
        <v>35</v>
      </c>
      <c r="E169" s="79" t="str">
        <f>IF(Лист1!$I$17="Срочное производство","",70)</f>
        <v/>
      </c>
      <c r="F169" s="79" t="str">
        <f>IF(Лист1!$I$17="Срочное производство","",105)</f>
        <v/>
      </c>
      <c r="H169" s="65"/>
      <c r="I169" s="65"/>
      <c r="J169" s="65"/>
      <c r="K169" s="65"/>
      <c r="L169" s="65"/>
      <c r="M169" s="65"/>
      <c r="N169" s="65"/>
      <c r="O169" s="65"/>
    </row>
    <row r="170" spans="1:15" x14ac:dyDescent="0.25">
      <c r="A170" s="54" t="str">
        <f>IF(Лист1!$I$17="Срочное производство","","T111(5052)")</f>
        <v/>
      </c>
      <c r="B170" s="78">
        <v>3</v>
      </c>
      <c r="C170" s="79">
        <v>35</v>
      </c>
      <c r="H170" s="65"/>
      <c r="I170" s="65"/>
      <c r="J170" s="65"/>
      <c r="K170" s="65"/>
      <c r="L170" s="65"/>
      <c r="M170" s="65"/>
      <c r="N170" s="65"/>
      <c r="O170" s="65"/>
    </row>
    <row r="171" spans="1:15" x14ac:dyDescent="0.25">
      <c r="A171" s="54" t="str">
        <f>IF(Лист1!$I$17="Срочное производство","","HA-50 Type3")</f>
        <v/>
      </c>
      <c r="B171" s="78">
        <v>0.5</v>
      </c>
      <c r="C171" s="79">
        <v>18</v>
      </c>
      <c r="D171" s="79">
        <v>35</v>
      </c>
      <c r="E171" s="79">
        <v>70</v>
      </c>
      <c r="F171" s="79">
        <v>105</v>
      </c>
      <c r="H171" s="65"/>
      <c r="I171" s="65"/>
      <c r="J171" s="65"/>
      <c r="K171" s="65"/>
      <c r="L171" s="65"/>
      <c r="M171" s="65"/>
      <c r="N171" s="65"/>
      <c r="O171" s="65"/>
    </row>
    <row r="172" spans="1:15" x14ac:dyDescent="0.25">
      <c r="A172" s="54" t="str">
        <f>IF(Лист1!$I$17="Срочное производство","","HA-50 Type3")</f>
        <v/>
      </c>
      <c r="B172" s="78">
        <v>0.8</v>
      </c>
      <c r="C172" s="79">
        <v>18</v>
      </c>
      <c r="D172" s="79">
        <v>35</v>
      </c>
      <c r="E172" s="79">
        <v>70</v>
      </c>
      <c r="F172" s="79">
        <v>105</v>
      </c>
      <c r="H172" s="65"/>
      <c r="I172" s="65"/>
      <c r="J172" s="65"/>
      <c r="K172" s="65"/>
      <c r="L172" s="65"/>
      <c r="M172" s="65"/>
      <c r="N172" s="65"/>
      <c r="O172" s="65"/>
    </row>
    <row r="173" spans="1:15" x14ac:dyDescent="0.25">
      <c r="A173" s="54" t="str">
        <f>IF(Лист1!$I$17="Срочное производство","","HA-50 Type3")</f>
        <v/>
      </c>
      <c r="B173" s="78">
        <v>1</v>
      </c>
      <c r="C173" s="79">
        <v>18</v>
      </c>
      <c r="D173" s="79">
        <v>35</v>
      </c>
      <c r="E173" s="79">
        <v>70</v>
      </c>
      <c r="F173" s="79">
        <v>105</v>
      </c>
      <c r="H173" s="65"/>
      <c r="I173" s="65"/>
      <c r="J173" s="65"/>
      <c r="K173" s="65"/>
      <c r="L173" s="65"/>
      <c r="M173" s="65"/>
      <c r="N173" s="65"/>
      <c r="O173" s="65"/>
    </row>
    <row r="174" spans="1:15" x14ac:dyDescent="0.25">
      <c r="A174" s="54" t="s">
        <v>173</v>
      </c>
      <c r="B174" s="78">
        <v>1.5</v>
      </c>
      <c r="C174" s="79" t="str">
        <f>IF(Лист1!$I$17="Срочное производство","",18)</f>
        <v/>
      </c>
      <c r="D174" s="79">
        <v>35</v>
      </c>
      <c r="E174" s="79" t="str">
        <f>IF(Лист1!$I$17="Срочное производство","",70)</f>
        <v/>
      </c>
      <c r="F174" s="79" t="str">
        <f>IF(Лист1!$I$17="Срочное производство","",105)</f>
        <v/>
      </c>
      <c r="H174" s="65"/>
      <c r="I174" s="65"/>
      <c r="J174" s="65"/>
      <c r="K174" s="65"/>
      <c r="L174" s="65"/>
      <c r="M174" s="65"/>
      <c r="N174" s="65"/>
      <c r="O174" s="65"/>
    </row>
    <row r="175" spans="1:15" x14ac:dyDescent="0.25">
      <c r="A175" s="54" t="str">
        <f>IF(Лист1!$I$17="Срочное производство","","HA-50 Type3")</f>
        <v/>
      </c>
      <c r="B175" s="78">
        <v>2</v>
      </c>
      <c r="C175" s="79">
        <v>18</v>
      </c>
      <c r="D175" s="79">
        <v>35</v>
      </c>
      <c r="E175" s="79">
        <v>70</v>
      </c>
      <c r="F175" s="79">
        <v>105</v>
      </c>
      <c r="H175" s="65"/>
      <c r="I175" s="65"/>
      <c r="J175" s="65"/>
      <c r="K175" s="65"/>
      <c r="L175" s="65"/>
      <c r="M175" s="65"/>
      <c r="N175" s="65"/>
      <c r="O175" s="65"/>
    </row>
    <row r="176" spans="1:15" x14ac:dyDescent="0.25">
      <c r="A176" s="54" t="s">
        <v>174</v>
      </c>
      <c r="B176" s="78">
        <v>1.5</v>
      </c>
      <c r="C176" s="79">
        <v>35</v>
      </c>
      <c r="H176" s="65"/>
      <c r="I176" s="65"/>
      <c r="J176" s="65"/>
      <c r="K176" s="65"/>
      <c r="L176" s="65"/>
      <c r="M176" s="65"/>
      <c r="N176" s="65"/>
      <c r="O176" s="65"/>
    </row>
    <row r="177" spans="8:15" x14ac:dyDescent="0.25">
      <c r="H177" s="65"/>
      <c r="I177" s="65"/>
      <c r="J177" s="65"/>
      <c r="K177" s="65"/>
      <c r="L177" s="65"/>
      <c r="M177" s="65"/>
      <c r="N177" s="65"/>
      <c r="O177" s="65"/>
    </row>
    <row r="178" spans="8:15" x14ac:dyDescent="0.25">
      <c r="H178" s="65"/>
      <c r="I178" s="65"/>
      <c r="J178" s="65"/>
      <c r="K178" s="65"/>
      <c r="L178" s="65"/>
      <c r="M178" s="65"/>
      <c r="N178" s="65"/>
      <c r="O178" s="65"/>
    </row>
    <row r="179" spans="8:15" x14ac:dyDescent="0.25">
      <c r="H179" s="65"/>
      <c r="I179" s="65"/>
      <c r="J179" s="65"/>
      <c r="K179" s="65"/>
      <c r="L179" s="65"/>
      <c r="M179" s="65"/>
      <c r="N179" s="65"/>
      <c r="O179" s="65"/>
    </row>
    <row r="180" spans="8:15" x14ac:dyDescent="0.25">
      <c r="H180" s="65"/>
      <c r="I180" s="65"/>
      <c r="J180" s="65"/>
      <c r="K180" s="65"/>
      <c r="L180" s="65"/>
      <c r="M180" s="65"/>
      <c r="N180" s="65"/>
      <c r="O180" s="65"/>
    </row>
    <row r="181" spans="8:15" x14ac:dyDescent="0.25">
      <c r="H181" s="65"/>
      <c r="I181" s="65"/>
      <c r="J181" s="65"/>
      <c r="K181" s="65"/>
      <c r="L181" s="65"/>
      <c r="M181" s="65"/>
      <c r="N181" s="65"/>
      <c r="O181" s="65"/>
    </row>
    <row r="182" spans="8:15" x14ac:dyDescent="0.25">
      <c r="H182" s="65"/>
      <c r="I182" s="65"/>
      <c r="J182" s="65"/>
      <c r="K182" s="65"/>
      <c r="L182" s="65"/>
      <c r="M182" s="65"/>
      <c r="N182" s="65"/>
      <c r="O182" s="65"/>
    </row>
  </sheetData>
  <sheetProtection selectLockedCells="1" selectUnlockedCells="1"/>
  <dataValidations count="2">
    <dataValidation type="list" allowBlank="1" showErrorMessage="1" sqref="J32">
      <formula1>MPP</formula1>
      <formula2>0</formula2>
    </dataValidation>
    <dataValidation type="list" allowBlank="1" showErrorMessage="1" sqref="J34">
      <formula1>tolshina2</formula1>
      <formula2>0</formula2>
    </dataValidation>
  </dataValidations>
  <pageMargins left="0.75" right="0.75" top="1" bottom="1" header="0.51180555555555551" footer="0.51180555555555551"/>
  <pageSetup paperSize="9" scale="81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" sqref="S1"/>
    </sheetView>
  </sheetViews>
  <sheetFormatPr defaultRowHeight="13.2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7"/>
  <sheetViews>
    <sheetView topLeftCell="A82" workbookViewId="0">
      <selection activeCell="B128" sqref="B128"/>
    </sheetView>
  </sheetViews>
  <sheetFormatPr defaultRowHeight="13.2" x14ac:dyDescent="0.25"/>
  <cols>
    <col min="2" max="30" width="17.6640625" customWidth="1"/>
    <col min="31" max="31" width="17.6640625" style="81" customWidth="1"/>
    <col min="32" max="36" width="17.6640625" customWidth="1"/>
  </cols>
  <sheetData>
    <row r="1" spans="1:34" x14ac:dyDescent="0.25">
      <c r="A1" s="71"/>
      <c r="C1">
        <v>0.20799999999999999</v>
      </c>
      <c r="D1">
        <v>0.254</v>
      </c>
      <c r="E1">
        <v>0.3</v>
      </c>
      <c r="F1">
        <v>0.30499999999999999</v>
      </c>
      <c r="G1">
        <v>0.33800000000000002</v>
      </c>
      <c r="H1">
        <v>0.40600000000000003</v>
      </c>
      <c r="I1">
        <v>0.5</v>
      </c>
      <c r="J1">
        <v>0.50800000000000001</v>
      </c>
      <c r="K1">
        <v>0.51</v>
      </c>
      <c r="L1">
        <v>0.61</v>
      </c>
      <c r="M1">
        <v>0.63500000000000001</v>
      </c>
      <c r="N1">
        <v>0.76</v>
      </c>
      <c r="O1">
        <v>0.76200000000000001</v>
      </c>
      <c r="P1">
        <v>0.79</v>
      </c>
      <c r="Q1" s="82">
        <v>0.8</v>
      </c>
      <c r="R1" s="82">
        <v>0.81299999999999994</v>
      </c>
      <c r="S1" s="83">
        <v>1</v>
      </c>
      <c r="T1" s="84">
        <v>1.016</v>
      </c>
      <c r="U1" s="83">
        <v>1.1399999999999999</v>
      </c>
      <c r="V1" s="83">
        <v>1.2</v>
      </c>
      <c r="W1" s="83">
        <v>1.27</v>
      </c>
      <c r="X1" s="82">
        <v>1.5</v>
      </c>
      <c r="Y1" s="85">
        <v>1.52</v>
      </c>
      <c r="Z1" s="85">
        <v>1.58</v>
      </c>
      <c r="AA1" s="85">
        <v>1.524</v>
      </c>
      <c r="AB1" s="83">
        <v>1.6</v>
      </c>
      <c r="AC1" s="82">
        <v>1.8</v>
      </c>
      <c r="AD1" s="83">
        <v>2</v>
      </c>
      <c r="AE1" s="84">
        <v>2.032</v>
      </c>
      <c r="AF1" s="83">
        <v>2.36</v>
      </c>
      <c r="AG1" s="83">
        <v>3</v>
      </c>
      <c r="AH1" s="83"/>
    </row>
    <row r="2" spans="1:34" x14ac:dyDescent="0.25">
      <c r="B2">
        <v>0.2</v>
      </c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F2" s="86"/>
      <c r="AG2" s="86"/>
    </row>
    <row r="3" spans="1:34" x14ac:dyDescent="0.25">
      <c r="A3" t="s">
        <v>30</v>
      </c>
      <c r="B3" s="87">
        <v>0.2</v>
      </c>
      <c r="C3" s="87">
        <v>0.20799999999999999</v>
      </c>
      <c r="D3" s="87">
        <v>0.254</v>
      </c>
      <c r="E3" s="87">
        <v>0.3</v>
      </c>
      <c r="F3" s="87">
        <v>0.30499999999999999</v>
      </c>
      <c r="G3" s="87">
        <v>0.33800000000000002</v>
      </c>
      <c r="H3" s="87">
        <v>0.40600000000000003</v>
      </c>
      <c r="I3" s="88">
        <v>0.5</v>
      </c>
      <c r="J3" s="89">
        <v>0.50800000000000001</v>
      </c>
      <c r="K3" s="89">
        <v>0.51</v>
      </c>
      <c r="L3" s="89">
        <v>0.61</v>
      </c>
      <c r="M3" s="89">
        <v>0.63500000000000001</v>
      </c>
      <c r="N3" s="89">
        <v>0.76</v>
      </c>
      <c r="O3" s="89">
        <v>0.76200000000000001</v>
      </c>
      <c r="P3" s="89">
        <v>0.79</v>
      </c>
      <c r="Q3" s="88">
        <v>0.8</v>
      </c>
      <c r="R3" s="88">
        <v>0.81299999999999994</v>
      </c>
      <c r="S3" s="88">
        <v>1</v>
      </c>
      <c r="T3" s="89">
        <v>1.016</v>
      </c>
      <c r="U3" s="88">
        <v>1.1399999999999999</v>
      </c>
      <c r="V3" s="90"/>
      <c r="W3" s="90">
        <v>1.27</v>
      </c>
      <c r="X3" s="88">
        <v>1.5</v>
      </c>
      <c r="Y3" s="89">
        <v>1.52</v>
      </c>
      <c r="Z3" s="89">
        <v>1.58</v>
      </c>
      <c r="AA3" s="89">
        <v>1.524</v>
      </c>
      <c r="AB3" s="90"/>
      <c r="AC3" s="90"/>
      <c r="AD3" s="91">
        <v>2</v>
      </c>
      <c r="AE3" s="87">
        <v>2.032</v>
      </c>
      <c r="AF3" s="92">
        <v>2.36</v>
      </c>
      <c r="AG3" s="92">
        <v>3</v>
      </c>
      <c r="AH3" s="93"/>
    </row>
    <row r="4" spans="1:34" x14ac:dyDescent="0.25">
      <c r="B4" s="9"/>
      <c r="C4" s="9"/>
      <c r="D4" s="9"/>
      <c r="E4" s="9"/>
      <c r="F4" s="9"/>
      <c r="G4" s="9"/>
      <c r="H4" s="9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5"/>
      <c r="AF4" s="9"/>
      <c r="AG4" s="9"/>
    </row>
    <row r="5" spans="1:34" x14ac:dyDescent="0.25">
      <c r="B5" s="96"/>
      <c r="C5" s="96"/>
      <c r="D5" s="96"/>
      <c r="E5" s="96"/>
      <c r="F5" s="96"/>
      <c r="G5" s="96"/>
      <c r="H5" s="96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8"/>
      <c r="AF5" s="96"/>
      <c r="AG5" s="96"/>
    </row>
    <row r="6" spans="1:34" ht="14.4" x14ac:dyDescent="0.3"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</row>
    <row r="7" spans="1:34" x14ac:dyDescent="0.25"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</row>
    <row r="8" spans="1:34" x14ac:dyDescent="0.25"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</row>
    <row r="9" spans="1:34" ht="14.4" x14ac:dyDescent="0.3"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</row>
    <row r="10" spans="1:34" x14ac:dyDescent="0.25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</row>
    <row r="11" spans="1:34" x14ac:dyDescent="0.25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</row>
    <row r="12" spans="1:34" ht="14.4" x14ac:dyDescent="0.3"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</row>
    <row r="13" spans="1:34" ht="14.4" x14ac:dyDescent="0.3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</row>
    <row r="14" spans="1:34" ht="14.4" x14ac:dyDescent="0.3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</row>
    <row r="15" spans="1:34" ht="14.4" x14ac:dyDescent="0.3">
      <c r="B1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C1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D1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E1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F1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G1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H1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I1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J1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K1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L1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M1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N1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O1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P1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Q1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R1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S1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T1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U1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V1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W1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X1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Y1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Z1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A1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B1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C1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D1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E1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F1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G1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</row>
    <row r="16" spans="1:34" ht="14.4" x14ac:dyDescent="0.3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</row>
    <row r="17" spans="2:33" ht="14.4" x14ac:dyDescent="0.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</row>
    <row r="18" spans="2:33" ht="14.4" x14ac:dyDescent="0.3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</row>
    <row r="19" spans="2:33" x14ac:dyDescent="0.2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</row>
    <row r="20" spans="2:33" x14ac:dyDescent="0.25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</row>
    <row r="21" spans="2:33" ht="14.4" x14ac:dyDescent="0.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</row>
    <row r="22" spans="2:33" x14ac:dyDescent="0.25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</row>
    <row r="23" spans="2:33" x14ac:dyDescent="0.25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</row>
    <row r="24" spans="2:33" ht="14.4" x14ac:dyDescent="0.3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</row>
    <row r="25" spans="2:33" x14ac:dyDescent="0.25">
      <c r="B25" s="96"/>
      <c r="C25" s="96"/>
      <c r="D25" s="96"/>
      <c r="E25" s="96"/>
      <c r="F25" s="96"/>
      <c r="G25" s="96"/>
      <c r="H25" s="96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8"/>
      <c r="AF25" s="96"/>
      <c r="AG25" s="96"/>
    </row>
    <row r="26" spans="2:33" x14ac:dyDescent="0.25">
      <c r="B26" s="9"/>
      <c r="C26" s="9"/>
      <c r="D26" s="9"/>
      <c r="E26" s="9"/>
      <c r="F26" s="9"/>
      <c r="G26" s="9"/>
      <c r="H26" s="9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95"/>
      <c r="AF26" s="9"/>
      <c r="AG26" s="9"/>
    </row>
    <row r="29" spans="2:33" x14ac:dyDescent="0.25">
      <c r="B29" s="105"/>
      <c r="C29" s="105"/>
      <c r="D29" s="105"/>
      <c r="E29" s="105"/>
      <c r="F29" s="105"/>
      <c r="G29" s="105"/>
      <c r="H29" s="105"/>
      <c r="I29" s="106">
        <v>0.5</v>
      </c>
      <c r="J29" s="106"/>
      <c r="K29" s="106"/>
      <c r="L29" s="106"/>
      <c r="M29" s="106"/>
      <c r="N29" s="106"/>
      <c r="O29" s="106"/>
      <c r="P29" s="106"/>
      <c r="Q29" s="106">
        <v>0.8</v>
      </c>
      <c r="R29" s="106"/>
      <c r="S29" s="106">
        <v>1</v>
      </c>
      <c r="T29" s="106"/>
      <c r="U29" s="106"/>
      <c r="V29" s="107"/>
      <c r="W29" s="107"/>
      <c r="X29" s="106">
        <v>1.5</v>
      </c>
      <c r="Y29" s="106"/>
      <c r="Z29" s="106"/>
      <c r="AA29" s="106"/>
      <c r="AB29" s="107"/>
      <c r="AC29" s="107"/>
      <c r="AD29" s="106">
        <v>2</v>
      </c>
      <c r="AE29" s="87"/>
      <c r="AF29" s="105"/>
      <c r="AG29" s="105"/>
    </row>
    <row r="30" spans="2:33" x14ac:dyDescent="0.25">
      <c r="B30" s="9"/>
      <c r="C30" s="9"/>
      <c r="D30" s="9"/>
      <c r="E30" s="9"/>
      <c r="F30" s="9"/>
      <c r="G30" s="9"/>
      <c r="H30" s="9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5"/>
      <c r="AF30" s="9"/>
      <c r="AG30" s="9"/>
    </row>
    <row r="31" spans="2:33" x14ac:dyDescent="0.25">
      <c r="B31" s="96"/>
      <c r="C31" s="96"/>
      <c r="D31" s="96"/>
      <c r="E31" s="96"/>
      <c r="F31" s="96"/>
      <c r="G31" s="96"/>
      <c r="H31" s="96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8"/>
      <c r="AF31" s="96"/>
      <c r="AG31" s="96"/>
    </row>
    <row r="32" spans="2:33" ht="14.4" x14ac:dyDescent="0.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</row>
    <row r="33" spans="2:33" x14ac:dyDescent="0.2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</row>
    <row r="34" spans="2:33" x14ac:dyDescent="0.2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</row>
    <row r="35" spans="2:33" ht="14.4" x14ac:dyDescent="0.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</row>
    <row r="36" spans="2:33" x14ac:dyDescent="0.2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</row>
    <row r="37" spans="2:33" x14ac:dyDescent="0.2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</row>
    <row r="38" spans="2:33" ht="14.4" x14ac:dyDescent="0.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</row>
    <row r="39" spans="2:33" ht="14.4" x14ac:dyDescent="0.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</row>
    <row r="40" spans="2:33" ht="14.4" x14ac:dyDescent="0.3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</row>
    <row r="41" spans="2:33" ht="14.4" x14ac:dyDescent="0.3">
      <c r="B41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C41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D41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E41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F41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G41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H41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I41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J41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K41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L41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M41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N41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O41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P41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Q41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R41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S41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T41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U41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V41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W41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X41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Y41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Z41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A41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B41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C41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D41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E41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F41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G41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</row>
    <row r="42" spans="2:33" ht="14.4" x14ac:dyDescent="0.3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</row>
    <row r="43" spans="2:33" ht="14.4" x14ac:dyDescent="0.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</row>
    <row r="44" spans="2:33" ht="14.4" x14ac:dyDescent="0.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</row>
    <row r="45" spans="2:33" x14ac:dyDescent="0.2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</row>
    <row r="46" spans="2:33" x14ac:dyDescent="0.2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</row>
    <row r="47" spans="2:33" ht="14.4" x14ac:dyDescent="0.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</row>
    <row r="48" spans="2:33" x14ac:dyDescent="0.2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</row>
    <row r="49" spans="1:33" x14ac:dyDescent="0.2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</row>
    <row r="50" spans="1:33" ht="14.4" x14ac:dyDescent="0.3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99"/>
      <c r="AD50" s="99"/>
      <c r="AE50" s="99"/>
      <c r="AF50" s="99"/>
      <c r="AG50" s="99"/>
    </row>
    <row r="51" spans="1:33" x14ac:dyDescent="0.25">
      <c r="B51" s="96"/>
      <c r="C51" s="96"/>
      <c r="D51" s="96"/>
      <c r="E51" s="96"/>
      <c r="F51" s="96"/>
      <c r="G51" s="96"/>
      <c r="H51" s="96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8"/>
      <c r="AF51" s="96"/>
      <c r="AG51" s="96"/>
    </row>
    <row r="52" spans="1:33" x14ac:dyDescent="0.25">
      <c r="B52" s="9"/>
      <c r="C52" s="9"/>
      <c r="D52" s="9"/>
      <c r="E52" s="9"/>
      <c r="F52" s="9"/>
      <c r="G52" s="9"/>
      <c r="H52" s="9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95"/>
      <c r="AF52" s="9"/>
      <c r="AG52" s="9"/>
    </row>
    <row r="55" spans="1:33" x14ac:dyDescent="0.25">
      <c r="A55">
        <v>1</v>
      </c>
      <c r="B55" s="92"/>
      <c r="C55" s="92"/>
      <c r="D55" s="92"/>
      <c r="E55" s="92"/>
      <c r="F55" s="92"/>
      <c r="G55" s="92"/>
      <c r="H55" s="92"/>
      <c r="I55" s="88">
        <v>0.5</v>
      </c>
      <c r="J55" s="88"/>
      <c r="K55" s="88"/>
      <c r="L55" s="88"/>
      <c r="M55" s="88"/>
      <c r="N55" s="88"/>
      <c r="O55" s="88"/>
      <c r="P55" s="88"/>
      <c r="Q55" s="88">
        <v>0.8</v>
      </c>
      <c r="R55" s="88"/>
      <c r="S55" s="88">
        <v>1</v>
      </c>
      <c r="T55" s="88"/>
      <c r="U55" s="88"/>
      <c r="V55" s="90"/>
      <c r="W55" s="90"/>
      <c r="X55" s="88">
        <v>1.5</v>
      </c>
      <c r="Y55" s="88"/>
      <c r="Z55" s="88"/>
      <c r="AA55" s="88"/>
      <c r="AB55" s="90"/>
      <c r="AC55" s="90"/>
      <c r="AD55" s="91">
        <v>2</v>
      </c>
      <c r="AE55" s="87"/>
      <c r="AF55" s="92"/>
      <c r="AG55" s="92"/>
    </row>
    <row r="56" spans="1:33" x14ac:dyDescent="0.25">
      <c r="B56" s="9"/>
      <c r="C56" s="9"/>
      <c r="D56" s="9"/>
      <c r="E56" s="9"/>
      <c r="F56" s="9"/>
      <c r="G56" s="9"/>
      <c r="H56" s="9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5"/>
      <c r="AF56" s="9"/>
      <c r="AG56" s="9"/>
    </row>
    <row r="57" spans="1:33" x14ac:dyDescent="0.25">
      <c r="B57" s="96"/>
      <c r="C57" s="96"/>
      <c r="D57" s="96"/>
      <c r="E57" s="96"/>
      <c r="F57" s="96"/>
      <c r="G57" s="96"/>
      <c r="H57" s="96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8"/>
      <c r="AF57" s="96"/>
      <c r="AG57" s="96"/>
    </row>
    <row r="58" spans="1:33" ht="14.4" x14ac:dyDescent="0.3">
      <c r="B58" s="108" t="str">
        <f>CONCATENATE("фольга ",Лист1!$I$22," мкм")</f>
        <v>фольга 18 мкм</v>
      </c>
      <c r="C58" s="108" t="str">
        <f>CONCATENATE("фольга ",Лист1!$I$22," мкм")</f>
        <v>фольга 18 мкм</v>
      </c>
      <c r="D58" s="108" t="str">
        <f>CONCATENATE("фольга ",Лист1!$I$22," мкм")</f>
        <v>фольга 18 мкм</v>
      </c>
      <c r="E58" s="108" t="str">
        <f>CONCATENATE("фольга ",Лист1!$I$22," мкм")</f>
        <v>фольга 18 мкм</v>
      </c>
      <c r="F58" s="108" t="str">
        <f>CONCATENATE("фольга ",Лист1!$I$22," мкм")</f>
        <v>фольга 18 мкм</v>
      </c>
      <c r="G58" s="108" t="str">
        <f>CONCATENATE("фольга ",Лист1!$I$22," мкм")</f>
        <v>фольга 18 мкм</v>
      </c>
      <c r="H58" s="108" t="str">
        <f>CONCATENATE("фольга ",Лист1!$I$22," мкм")</f>
        <v>фольга 18 мкм</v>
      </c>
      <c r="I58" s="108" t="str">
        <f>CONCATENATE("фольга ",Лист1!$I$22," мкм")</f>
        <v>фольга 18 мкм</v>
      </c>
      <c r="J58" s="108" t="str">
        <f>CONCATENATE("фольга ",Лист1!$I$22," мкм")</f>
        <v>фольга 18 мкм</v>
      </c>
      <c r="K58" s="108" t="str">
        <f>CONCATENATE("фольга ",Лист1!$I$22," мкм")</f>
        <v>фольга 18 мкм</v>
      </c>
      <c r="L58" s="108" t="str">
        <f>CONCATENATE("фольга ",Лист1!$I$22," мкм")</f>
        <v>фольга 18 мкм</v>
      </c>
      <c r="M58" s="108" t="str">
        <f>CONCATENATE("фольга ",Лист1!$I$22," мкм")</f>
        <v>фольга 18 мкм</v>
      </c>
      <c r="N58" s="108" t="str">
        <f>CONCATENATE("фольга ",Лист1!$I$22," мкм")</f>
        <v>фольга 18 мкм</v>
      </c>
      <c r="O58" s="108" t="str">
        <f>CONCATENATE("фольга ",Лист1!$I$22," мкм")</f>
        <v>фольга 18 мкм</v>
      </c>
      <c r="P58" s="108" t="str">
        <f>CONCATENATE("фольга ",Лист1!$I$22," мкм")</f>
        <v>фольга 18 мкм</v>
      </c>
      <c r="Q58" s="108" t="str">
        <f>CONCATENATE("фольга ",Лист1!$I$22," мкм")</f>
        <v>фольга 18 мкм</v>
      </c>
      <c r="R58" s="108" t="str">
        <f>CONCATENATE("фольга ",Лист1!$I$22," мкм")</f>
        <v>фольга 18 мкм</v>
      </c>
      <c r="S58" s="108" t="str">
        <f>CONCATENATE("фольга ",Лист1!$I$22," мкм")</f>
        <v>фольга 18 мкм</v>
      </c>
      <c r="T58" s="108" t="str">
        <f>CONCATENATE("фольга ",Лист1!$I$22," мкм")</f>
        <v>фольга 18 мкм</v>
      </c>
      <c r="U58" s="108" t="str">
        <f>CONCATENATE("фольга ",Лист1!$I$22," мкм")</f>
        <v>фольга 18 мкм</v>
      </c>
      <c r="V58" s="108" t="str">
        <f>CONCATENATE("фольга ",Лист1!$I$22," мкм")</f>
        <v>фольга 18 мкм</v>
      </c>
      <c r="W58" s="108" t="str">
        <f>CONCATENATE("фольга ",Лист1!$I$22," мкм")</f>
        <v>фольга 18 мкм</v>
      </c>
      <c r="X58" s="108" t="str">
        <f>CONCATENATE("фольга ",Лист1!$I$22," мкм")</f>
        <v>фольга 18 мкм</v>
      </c>
      <c r="Y58" s="108" t="str">
        <f>CONCATENATE("фольга ",Лист1!$I$22," мкм")</f>
        <v>фольга 18 мкм</v>
      </c>
      <c r="Z58" s="108" t="str">
        <f>CONCATENATE("фольга ",Лист1!$I$22," мкм")</f>
        <v>фольга 18 мкм</v>
      </c>
      <c r="AA58" s="108" t="str">
        <f>CONCATENATE("фольга ",Лист1!$I$22," мкм")</f>
        <v>фольга 18 мкм</v>
      </c>
      <c r="AB58" s="108" t="str">
        <f>CONCATENATE("фольга ",Лист1!$I$22," мкм")</f>
        <v>фольга 18 мкм</v>
      </c>
      <c r="AC58" s="108" t="str">
        <f>CONCATENATE("фольга ",Лист1!$I$22," мкм")</f>
        <v>фольга 18 мкм</v>
      </c>
      <c r="AD58" s="108" t="str">
        <f>CONCATENATE("фольга ",Лист1!$I$22," мкм")</f>
        <v>фольга 18 мкм</v>
      </c>
      <c r="AE58" s="108" t="str">
        <f>CONCATENATE("фольга ",Лист1!$I$22," мкм")</f>
        <v>фольга 18 мкм</v>
      </c>
      <c r="AF58" s="108" t="str">
        <f>CONCATENATE("фольга ",Лист1!$I$22," мкм")</f>
        <v>фольга 18 мкм</v>
      </c>
      <c r="AG58" s="108" t="str">
        <f>CONCATENATE("фольга ",Лист1!$I$22," мкм")</f>
        <v>фольга 18 мкм</v>
      </c>
    </row>
    <row r="59" spans="1:33" x14ac:dyDescent="0.2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</row>
    <row r="60" spans="1:33" x14ac:dyDescent="0.2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</row>
    <row r="61" spans="1:33" ht="14.4" x14ac:dyDescent="0.3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</row>
    <row r="62" spans="1:33" x14ac:dyDescent="0.2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</row>
    <row r="63" spans="1:33" x14ac:dyDescent="0.2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</row>
    <row r="64" spans="1:33" ht="14.4" x14ac:dyDescent="0.3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</row>
    <row r="65" spans="2:33" ht="14.4" x14ac:dyDescent="0.3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</row>
    <row r="66" spans="2:33" ht="14.4" x14ac:dyDescent="0.3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99"/>
      <c r="AG66" s="99"/>
    </row>
    <row r="67" spans="2:33" ht="14.4" x14ac:dyDescent="0.3">
      <c r="B67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C67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D67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E67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F67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G67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H67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I67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J67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K67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L67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M67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N67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O67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P67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Q67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R67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S67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T67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U67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V67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W67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X67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Y67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Z67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A67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B67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C67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D67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E67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F67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G67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</row>
    <row r="68" spans="2:33" ht="14.4" x14ac:dyDescent="0.3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99"/>
      <c r="AB68" s="99"/>
      <c r="AC68" s="99"/>
      <c r="AD68" s="99"/>
      <c r="AE68" s="99"/>
      <c r="AF68" s="99"/>
      <c r="AG68" s="99"/>
    </row>
    <row r="69" spans="2:33" ht="14.4" x14ac:dyDescent="0.3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</row>
    <row r="70" spans="2:33" ht="14.4" x14ac:dyDescent="0.3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  <c r="AC70" s="102"/>
      <c r="AD70" s="102"/>
      <c r="AE70" s="102"/>
      <c r="AF70" s="102"/>
      <c r="AG70" s="102"/>
    </row>
    <row r="71" spans="2:33" x14ac:dyDescent="0.2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</row>
    <row r="72" spans="2:33" x14ac:dyDescent="0.2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</row>
    <row r="73" spans="2:33" ht="14.4" x14ac:dyDescent="0.3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</row>
    <row r="74" spans="2:33" x14ac:dyDescent="0.2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</row>
    <row r="75" spans="2:33" x14ac:dyDescent="0.2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</row>
    <row r="76" spans="2:33" ht="14.4" x14ac:dyDescent="0.3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</row>
    <row r="77" spans="2:33" x14ac:dyDescent="0.25">
      <c r="B77" s="96"/>
      <c r="C77" s="96"/>
      <c r="D77" s="96"/>
      <c r="E77" s="96"/>
      <c r="F77" s="96"/>
      <c r="G77" s="96"/>
      <c r="H77" s="96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8"/>
      <c r="AF77" s="96"/>
      <c r="AG77" s="96"/>
    </row>
    <row r="78" spans="2:33" x14ac:dyDescent="0.25">
      <c r="B78" s="9"/>
      <c r="C78" s="9"/>
      <c r="D78" s="9"/>
      <c r="E78" s="9"/>
      <c r="F78" s="9"/>
      <c r="G78" s="9"/>
      <c r="H78" s="9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  <c r="AB78" s="104"/>
      <c r="AC78" s="104"/>
      <c r="AD78" s="104"/>
      <c r="AE78" s="95"/>
      <c r="AF78" s="9"/>
      <c r="AG78" s="9"/>
    </row>
    <row r="81" spans="2:33" x14ac:dyDescent="0.25">
      <c r="B81" s="105"/>
      <c r="C81" s="105"/>
      <c r="D81" s="105"/>
      <c r="E81" s="105"/>
      <c r="F81" s="105"/>
      <c r="G81" s="105"/>
      <c r="H81" s="105"/>
      <c r="I81" s="106">
        <v>0.5</v>
      </c>
      <c r="J81" s="106"/>
      <c r="K81" s="106"/>
      <c r="L81" s="106"/>
      <c r="M81" s="106"/>
      <c r="N81" s="106"/>
      <c r="O81" s="106"/>
      <c r="P81" s="106"/>
      <c r="Q81" s="106">
        <v>0.8</v>
      </c>
      <c r="R81" s="106"/>
      <c r="S81" s="106">
        <v>1</v>
      </c>
      <c r="T81" s="106"/>
      <c r="U81" s="106"/>
      <c r="V81" s="107"/>
      <c r="W81" s="107"/>
      <c r="X81" s="106">
        <v>1.5</v>
      </c>
      <c r="Y81" s="106"/>
      <c r="Z81" s="106"/>
      <c r="AA81" s="106"/>
      <c r="AB81" s="107"/>
      <c r="AC81" s="107"/>
      <c r="AD81" s="106">
        <v>2</v>
      </c>
      <c r="AE81" s="87"/>
      <c r="AF81" s="105"/>
      <c r="AG81" s="105"/>
    </row>
    <row r="82" spans="2:33" x14ac:dyDescent="0.25">
      <c r="B82" s="9"/>
      <c r="C82" s="9"/>
      <c r="D82" s="9"/>
      <c r="E82" s="9"/>
      <c r="F82" s="9"/>
      <c r="G82" s="9"/>
      <c r="H82" s="9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5"/>
      <c r="AF82" s="9"/>
      <c r="AG82" s="9"/>
    </row>
    <row r="83" spans="2:33" x14ac:dyDescent="0.25">
      <c r="B83" s="96"/>
      <c r="C83" s="96"/>
      <c r="D83" s="96"/>
      <c r="E83" s="96"/>
      <c r="F83" s="96"/>
      <c r="G83" s="96"/>
      <c r="H83" s="96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8"/>
      <c r="AF83" s="96"/>
      <c r="AG83" s="96"/>
    </row>
    <row r="84" spans="2:33" ht="14.4" x14ac:dyDescent="0.3">
      <c r="B84" s="108" t="s">
        <v>175</v>
      </c>
      <c r="C84" s="108" t="s">
        <v>175</v>
      </c>
      <c r="D84" s="108" t="s">
        <v>175</v>
      </c>
      <c r="E84" s="108" t="s">
        <v>175</v>
      </c>
      <c r="F84" s="108" t="s">
        <v>175</v>
      </c>
      <c r="G84" s="108" t="s">
        <v>175</v>
      </c>
      <c r="H84" s="108" t="s">
        <v>175</v>
      </c>
      <c r="I84" s="108" t="s">
        <v>175</v>
      </c>
      <c r="J84" s="108" t="s">
        <v>175</v>
      </c>
      <c r="K84" s="108" t="s">
        <v>175</v>
      </c>
      <c r="L84" s="108" t="s">
        <v>175</v>
      </c>
      <c r="M84" s="108" t="s">
        <v>175</v>
      </c>
      <c r="N84" s="108" t="s">
        <v>175</v>
      </c>
      <c r="O84" s="108" t="s">
        <v>175</v>
      </c>
      <c r="P84" s="108" t="s">
        <v>175</v>
      </c>
      <c r="Q84" s="108" t="s">
        <v>175</v>
      </c>
      <c r="R84" s="108" t="s">
        <v>175</v>
      </c>
      <c r="S84" s="108" t="s">
        <v>175</v>
      </c>
      <c r="T84" s="108" t="s">
        <v>175</v>
      </c>
      <c r="U84" s="108" t="s">
        <v>175</v>
      </c>
      <c r="V84" s="108" t="s">
        <v>175</v>
      </c>
      <c r="W84" s="108" t="s">
        <v>175</v>
      </c>
      <c r="X84" s="108" t="s">
        <v>175</v>
      </c>
      <c r="Y84" s="108" t="s">
        <v>175</v>
      </c>
      <c r="Z84" s="108" t="s">
        <v>175</v>
      </c>
      <c r="AA84" s="108" t="s">
        <v>175</v>
      </c>
      <c r="AB84" s="108" t="s">
        <v>175</v>
      </c>
      <c r="AC84" s="108" t="s">
        <v>175</v>
      </c>
      <c r="AD84" s="108" t="s">
        <v>175</v>
      </c>
      <c r="AE84" s="108" t="s">
        <v>175</v>
      </c>
      <c r="AF84" s="108" t="s">
        <v>175</v>
      </c>
      <c r="AG84" s="108" t="s">
        <v>175</v>
      </c>
    </row>
    <row r="85" spans="2:33" x14ac:dyDescent="0.2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</row>
    <row r="86" spans="2:33" x14ac:dyDescent="0.2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</row>
    <row r="87" spans="2:33" ht="14.4" x14ac:dyDescent="0.3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</row>
    <row r="88" spans="2:33" x14ac:dyDescent="0.2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</row>
    <row r="89" spans="2:33" x14ac:dyDescent="0.2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0"/>
    </row>
    <row r="90" spans="2:33" ht="14.4" x14ac:dyDescent="0.3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</row>
    <row r="91" spans="2:33" ht="14.4" x14ac:dyDescent="0.3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</row>
    <row r="92" spans="2:33" ht="14.4" x14ac:dyDescent="0.3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</row>
    <row r="93" spans="2:33" ht="14.4" x14ac:dyDescent="0.3">
      <c r="B93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C93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D93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E93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F93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G93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H93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I93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J93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K93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L93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M93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N93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O93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P93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Q93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R93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S93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T93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U93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V93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W93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X93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Y93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Z93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A93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B93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C93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D93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E93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F93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G93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</row>
    <row r="94" spans="2:33" ht="14.4" x14ac:dyDescent="0.3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</row>
    <row r="95" spans="2:33" ht="14.4" x14ac:dyDescent="0.3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</row>
    <row r="96" spans="2:33" ht="14.4" x14ac:dyDescent="0.3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</row>
    <row r="97" spans="1:33" x14ac:dyDescent="0.2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  <c r="AA97" s="100"/>
      <c r="AB97" s="100"/>
      <c r="AC97" s="100"/>
      <c r="AD97" s="100"/>
      <c r="AE97" s="100"/>
      <c r="AF97" s="100"/>
      <c r="AG97" s="100"/>
    </row>
    <row r="98" spans="1:33" x14ac:dyDescent="0.2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  <c r="AA98" s="100"/>
      <c r="AB98" s="100"/>
      <c r="AC98" s="100"/>
      <c r="AD98" s="100"/>
      <c r="AE98" s="100"/>
      <c r="AF98" s="100"/>
      <c r="AG98" s="100"/>
    </row>
    <row r="99" spans="1:33" ht="14.4" x14ac:dyDescent="0.3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  <c r="AF99" s="101"/>
      <c r="AG99" s="101"/>
    </row>
    <row r="100" spans="1:33" x14ac:dyDescent="0.2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100"/>
    </row>
    <row r="101" spans="1:33" x14ac:dyDescent="0.2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  <c r="AB101" s="100"/>
      <c r="AC101" s="100"/>
      <c r="AD101" s="100"/>
      <c r="AE101" s="100"/>
      <c r="AF101" s="100"/>
      <c r="AG101" s="100"/>
    </row>
    <row r="102" spans="1:33" ht="14.4" x14ac:dyDescent="0.3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99"/>
      <c r="AB102" s="99"/>
      <c r="AC102" s="99"/>
      <c r="AD102" s="99"/>
      <c r="AE102" s="99"/>
      <c r="AF102" s="99"/>
      <c r="AG102" s="99"/>
    </row>
    <row r="103" spans="1:33" x14ac:dyDescent="0.25">
      <c r="B103" s="96"/>
      <c r="C103" s="96"/>
      <c r="D103" s="96"/>
      <c r="E103" s="96"/>
      <c r="F103" s="96"/>
      <c r="G103" s="96"/>
      <c r="H103" s="96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  <c r="AE103" s="98"/>
      <c r="AF103" s="96"/>
      <c r="AG103" s="96"/>
    </row>
    <row r="104" spans="1:33" x14ac:dyDescent="0.25">
      <c r="B104" s="9"/>
      <c r="C104" s="9"/>
      <c r="D104" s="9"/>
      <c r="E104" s="9"/>
      <c r="F104" s="9"/>
      <c r="G104" s="9"/>
      <c r="H104" s="9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/>
      <c r="AC104" s="104"/>
      <c r="AD104" s="104"/>
      <c r="AE104" s="95"/>
      <c r="AF104" s="9"/>
      <c r="AG104" s="9"/>
    </row>
    <row r="107" spans="1:33" x14ac:dyDescent="0.25">
      <c r="A107">
        <v>2</v>
      </c>
      <c r="B107" s="92"/>
      <c r="C107" s="92"/>
      <c r="D107" s="92"/>
      <c r="E107" s="92"/>
      <c r="F107" s="92"/>
      <c r="G107" s="92"/>
      <c r="H107" s="92"/>
      <c r="I107" s="88">
        <v>0.5</v>
      </c>
      <c r="J107" s="88"/>
      <c r="K107" s="88"/>
      <c r="L107" s="88"/>
      <c r="M107" s="88"/>
      <c r="N107" s="88"/>
      <c r="O107" s="88"/>
      <c r="P107" s="88"/>
      <c r="Q107" s="88">
        <v>0.8</v>
      </c>
      <c r="R107" s="88"/>
      <c r="S107" s="88">
        <v>1</v>
      </c>
      <c r="T107" s="88"/>
      <c r="U107" s="88"/>
      <c r="V107" s="90"/>
      <c r="W107" s="90"/>
      <c r="X107" s="88">
        <v>1.5</v>
      </c>
      <c r="Y107" s="88"/>
      <c r="Z107" s="88"/>
      <c r="AA107" s="88"/>
      <c r="AB107" s="90"/>
      <c r="AC107" s="90"/>
      <c r="AD107" s="91">
        <v>2</v>
      </c>
      <c r="AE107" s="87"/>
      <c r="AF107" s="92"/>
      <c r="AG107" s="92"/>
    </row>
    <row r="108" spans="1:33" x14ac:dyDescent="0.25">
      <c r="B108" s="9"/>
      <c r="C108" s="9"/>
      <c r="D108" s="9"/>
      <c r="E108" s="9"/>
      <c r="F108" s="9"/>
      <c r="G108" s="9"/>
      <c r="H108" s="9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5"/>
      <c r="AF108" s="9"/>
      <c r="AG108" s="9"/>
    </row>
    <row r="109" spans="1:33" x14ac:dyDescent="0.25">
      <c r="B109" s="96"/>
      <c r="C109" s="96"/>
      <c r="D109" s="96"/>
      <c r="E109" s="96"/>
      <c r="F109" s="96"/>
      <c r="G109" s="96"/>
      <c r="H109" s="96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7"/>
      <c r="AE109" s="98"/>
      <c r="AF109" s="96"/>
      <c r="AG109" s="96"/>
    </row>
    <row r="110" spans="1:33" ht="14.4" x14ac:dyDescent="0.3">
      <c r="B110" s="108" t="str">
        <f>CONCATENATE("фольга ",Лист1!$I$22," мкм")</f>
        <v>фольга 18 мкм</v>
      </c>
      <c r="C110" s="108" t="str">
        <f>CONCATENATE("фольга ",Лист1!$I$22," мкм")</f>
        <v>фольга 18 мкм</v>
      </c>
      <c r="D110" s="108" t="str">
        <f>CONCATENATE("фольга ",Лист1!$I$22," мкм")</f>
        <v>фольга 18 мкм</v>
      </c>
      <c r="E110" s="108" t="str">
        <f>CONCATENATE("фольга ",Лист1!$I$22," мкм")</f>
        <v>фольга 18 мкм</v>
      </c>
      <c r="F110" s="108" t="str">
        <f>CONCATENATE("фольга ",Лист1!$I$22," мкм")</f>
        <v>фольга 18 мкм</v>
      </c>
      <c r="G110" s="108" t="str">
        <f>CONCATENATE("фольга ",Лист1!$I$22," мкм")</f>
        <v>фольга 18 мкм</v>
      </c>
      <c r="H110" s="108" t="str">
        <f>CONCATENATE("фольга ",Лист1!$I$22," мкм")</f>
        <v>фольга 18 мкм</v>
      </c>
      <c r="I110" s="108" t="str">
        <f>CONCATENATE("фольга ",Лист1!$I$22," мкм")</f>
        <v>фольга 18 мкм</v>
      </c>
      <c r="J110" s="108" t="str">
        <f>CONCATENATE("фольга ",Лист1!$I$22," мкм")</f>
        <v>фольга 18 мкм</v>
      </c>
      <c r="K110" s="108" t="str">
        <f>CONCATENATE("фольга ",Лист1!$I$22," мкм")</f>
        <v>фольга 18 мкм</v>
      </c>
      <c r="L110" s="108" t="str">
        <f>CONCATENATE("фольга ",Лист1!$I$22," мкм")</f>
        <v>фольга 18 мкм</v>
      </c>
      <c r="M110" s="108" t="str">
        <f>CONCATENATE("фольга ",Лист1!$I$22," мкм")</f>
        <v>фольга 18 мкм</v>
      </c>
      <c r="N110" s="108" t="str">
        <f>CONCATENATE("фольга ",Лист1!$I$22," мкм")</f>
        <v>фольга 18 мкм</v>
      </c>
      <c r="O110" s="108" t="str">
        <f>CONCATENATE("фольга ",Лист1!$I$22," мкм")</f>
        <v>фольга 18 мкм</v>
      </c>
      <c r="P110" s="108" t="str">
        <f>CONCATENATE("фольга ",Лист1!$I$22," мкм")</f>
        <v>фольга 18 мкм</v>
      </c>
      <c r="Q110" s="108" t="str">
        <f>CONCATENATE("фольга ",Лист1!$I$22," мкм")</f>
        <v>фольга 18 мкм</v>
      </c>
      <c r="R110" s="108" t="str">
        <f>CONCATENATE("фольга ",Лист1!$I$22," мкм")</f>
        <v>фольга 18 мкм</v>
      </c>
      <c r="S110" s="108" t="str">
        <f>CONCATENATE("фольга ",Лист1!$I$22," мкм")</f>
        <v>фольга 18 мкм</v>
      </c>
      <c r="T110" s="108" t="str">
        <f>CONCATENATE("фольга ",Лист1!$I$22," мкм")</f>
        <v>фольга 18 мкм</v>
      </c>
      <c r="U110" s="108" t="str">
        <f>CONCATENATE("фольга ",Лист1!$I$22," мкм")</f>
        <v>фольга 18 мкм</v>
      </c>
      <c r="V110" s="108" t="str">
        <f>CONCATENATE("фольга ",Лист1!$I$22," мкм")</f>
        <v>фольга 18 мкм</v>
      </c>
      <c r="W110" s="108" t="str">
        <f>CONCATENATE("фольга ",Лист1!$I$22," мкм")</f>
        <v>фольга 18 мкм</v>
      </c>
      <c r="X110" s="108" t="str">
        <f>CONCATENATE("фольга ",Лист1!$I$22," мкм")</f>
        <v>фольга 18 мкм</v>
      </c>
      <c r="Y110" s="108" t="str">
        <f>CONCATENATE("фольга ",Лист1!$I$22," мкм")</f>
        <v>фольга 18 мкм</v>
      </c>
      <c r="Z110" s="108" t="str">
        <f>CONCATENATE("фольга ",Лист1!$I$22," мкм")</f>
        <v>фольга 18 мкм</v>
      </c>
      <c r="AA110" s="108" t="str">
        <f>CONCATENATE("фольга ",Лист1!$I$22," мкм")</f>
        <v>фольга 18 мкм</v>
      </c>
      <c r="AB110" s="108" t="str">
        <f>CONCATENATE("фольга ",Лист1!$I$22," мкм")</f>
        <v>фольга 18 мкм</v>
      </c>
      <c r="AC110" s="108" t="str">
        <f>CONCATENATE("фольга ",Лист1!$I$22," мкм")</f>
        <v>фольга 18 мкм</v>
      </c>
      <c r="AD110" s="108" t="str">
        <f>CONCATENATE("фольга ",Лист1!$I$22," мкм")</f>
        <v>фольга 18 мкм</v>
      </c>
      <c r="AE110" s="108" t="str">
        <f>CONCATENATE("фольга ",Лист1!$I$22," мкм")</f>
        <v>фольга 18 мкм</v>
      </c>
      <c r="AF110" s="108" t="str">
        <f>CONCATENATE("фольга ",Лист1!$I$22," мкм")</f>
        <v>фольга 18 мкм</v>
      </c>
      <c r="AG110" s="108" t="str">
        <f>CONCATENATE("фольга ",Лист1!$I$22," мкм")</f>
        <v>фольга 18 мкм</v>
      </c>
    </row>
    <row r="111" spans="1:33" x14ac:dyDescent="0.2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  <c r="AA111" s="100"/>
      <c r="AB111" s="100"/>
      <c r="AC111" s="100"/>
      <c r="AD111" s="100"/>
      <c r="AE111" s="100"/>
      <c r="AF111" s="100"/>
      <c r="AG111" s="100"/>
    </row>
    <row r="112" spans="1:33" x14ac:dyDescent="0.2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</row>
    <row r="113" spans="2:33" ht="14.4" x14ac:dyDescent="0.3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  <c r="AF113" s="101"/>
      <c r="AG113" s="101"/>
    </row>
    <row r="114" spans="2:33" x14ac:dyDescent="0.2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</row>
    <row r="115" spans="2:33" x14ac:dyDescent="0.2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  <c r="AA115" s="100"/>
      <c r="AB115" s="100"/>
      <c r="AC115" s="100"/>
      <c r="AD115" s="100"/>
      <c r="AE115" s="100"/>
      <c r="AF115" s="100"/>
      <c r="AG115" s="100"/>
    </row>
    <row r="116" spans="2:33" ht="14.4" x14ac:dyDescent="0.3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  <c r="AA116" s="102"/>
      <c r="AB116" s="102"/>
      <c r="AC116" s="102"/>
      <c r="AD116" s="102"/>
      <c r="AE116" s="102"/>
      <c r="AF116" s="102"/>
      <c r="AG116" s="102"/>
    </row>
    <row r="117" spans="2:33" ht="14.4" x14ac:dyDescent="0.3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G117" s="101"/>
    </row>
    <row r="118" spans="2:33" ht="14.4" x14ac:dyDescent="0.3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  <c r="AA118" s="99"/>
      <c r="AB118" s="99"/>
      <c r="AC118" s="99"/>
      <c r="AD118" s="99"/>
      <c r="AE118" s="99"/>
      <c r="AF118" s="99"/>
      <c r="AG118" s="99"/>
    </row>
    <row r="119" spans="2:33" ht="14.4" x14ac:dyDescent="0.3">
      <c r="B119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C119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D119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E119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F119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G119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H119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I119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J119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K119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L119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M119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N119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O119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P119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Q119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R119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S119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T119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U119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V119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W119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X119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Y119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Z119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A119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B119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C119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D119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E119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F119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G119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</row>
    <row r="120" spans="2:33" ht="14.4" x14ac:dyDescent="0.3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  <c r="AA120" s="99"/>
      <c r="AB120" s="99"/>
      <c r="AC120" s="99"/>
      <c r="AD120" s="99"/>
      <c r="AE120" s="99"/>
      <c r="AF120" s="99"/>
      <c r="AG120" s="99"/>
    </row>
    <row r="121" spans="2:33" ht="14.4" x14ac:dyDescent="0.3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01"/>
      <c r="AF121" s="101"/>
      <c r="AG121" s="101"/>
    </row>
    <row r="122" spans="2:33" ht="14.4" x14ac:dyDescent="0.3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02"/>
      <c r="AE122" s="102"/>
      <c r="AF122" s="102"/>
      <c r="AG122" s="102"/>
    </row>
    <row r="123" spans="2:33" x14ac:dyDescent="0.25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  <c r="AA123" s="100"/>
      <c r="AB123" s="100"/>
      <c r="AC123" s="100"/>
      <c r="AD123" s="100"/>
      <c r="AE123" s="100"/>
      <c r="AF123" s="100"/>
      <c r="AG123" s="100"/>
    </row>
    <row r="124" spans="2:33" x14ac:dyDescent="0.25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0"/>
    </row>
    <row r="125" spans="2:33" ht="14.4" x14ac:dyDescent="0.3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  <c r="AF125" s="101"/>
      <c r="AG125" s="101"/>
    </row>
    <row r="126" spans="2:33" x14ac:dyDescent="0.25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0"/>
    </row>
    <row r="127" spans="2:33" x14ac:dyDescent="0.25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  <c r="AA127" s="100"/>
      <c r="AB127" s="100"/>
      <c r="AC127" s="100"/>
      <c r="AD127" s="100"/>
      <c r="AE127" s="100"/>
      <c r="AF127" s="100"/>
      <c r="AG127" s="100"/>
    </row>
    <row r="128" spans="2:33" ht="14.4" x14ac:dyDescent="0.3">
      <c r="B128" s="108" t="str">
        <f>CONCATENATE("фольга ",Лист1!$I$22," мкм")</f>
        <v>фольга 18 мкм</v>
      </c>
      <c r="C128" s="108" t="str">
        <f>CONCATENATE("фольга ",Лист1!$I$22," мкм")</f>
        <v>фольга 18 мкм</v>
      </c>
      <c r="D128" s="108" t="str">
        <f>CONCATENATE("фольга ",Лист1!$I$22," мкм")</f>
        <v>фольга 18 мкм</v>
      </c>
      <c r="E128" s="108" t="str">
        <f>CONCATENATE("фольга ",Лист1!$I$22," мкм")</f>
        <v>фольга 18 мкм</v>
      </c>
      <c r="F128" s="108" t="str">
        <f>CONCATENATE("фольга ",Лист1!$I$22," мкм")</f>
        <v>фольга 18 мкм</v>
      </c>
      <c r="G128" s="108" t="str">
        <f>CONCATENATE("фольга ",Лист1!$I$22," мкм")</f>
        <v>фольга 18 мкм</v>
      </c>
      <c r="H128" s="108" t="str">
        <f>CONCATENATE("фольга ",Лист1!$I$22," мкм")</f>
        <v>фольга 18 мкм</v>
      </c>
      <c r="I128" s="108" t="str">
        <f>CONCATENATE("фольга ",Лист1!$I$22," мкм")</f>
        <v>фольга 18 мкм</v>
      </c>
      <c r="J128" s="108" t="str">
        <f>CONCATENATE("фольга ",Лист1!$I$22," мкм")</f>
        <v>фольга 18 мкм</v>
      </c>
      <c r="K128" s="108" t="str">
        <f>CONCATENATE("фольга ",Лист1!$I$22," мкм")</f>
        <v>фольга 18 мкм</v>
      </c>
      <c r="L128" s="108" t="str">
        <f>CONCATENATE("фольга ",Лист1!$I$22," мкм")</f>
        <v>фольга 18 мкм</v>
      </c>
      <c r="M128" s="108" t="str">
        <f>CONCATENATE("фольга ",Лист1!$I$22," мкм")</f>
        <v>фольга 18 мкм</v>
      </c>
      <c r="N128" s="108" t="str">
        <f>CONCATENATE("фольга ",Лист1!$I$22," мкм")</f>
        <v>фольга 18 мкм</v>
      </c>
      <c r="O128" s="108" t="str">
        <f>CONCATENATE("фольга ",Лист1!$I$22," мкм")</f>
        <v>фольга 18 мкм</v>
      </c>
      <c r="P128" s="108" t="str">
        <f>CONCATENATE("фольга ",Лист1!$I$22," мкм")</f>
        <v>фольга 18 мкм</v>
      </c>
      <c r="Q128" s="108" t="str">
        <f>CONCATENATE("фольга ",Лист1!$I$22," мкм")</f>
        <v>фольга 18 мкм</v>
      </c>
      <c r="R128" s="108" t="str">
        <f>CONCATENATE("фольга ",Лист1!$I$22," мкм")</f>
        <v>фольга 18 мкм</v>
      </c>
      <c r="S128" s="108" t="str">
        <f>CONCATENATE("фольга ",Лист1!$I$22," мкм")</f>
        <v>фольга 18 мкм</v>
      </c>
      <c r="T128" s="108" t="str">
        <f>CONCATENATE("фольга ",Лист1!$I$22," мкм")</f>
        <v>фольга 18 мкм</v>
      </c>
      <c r="U128" s="108" t="str">
        <f>CONCATENATE("фольга ",Лист1!$I$22," мкм")</f>
        <v>фольга 18 мкм</v>
      </c>
      <c r="V128" s="108" t="str">
        <f>CONCATENATE("фольга ",Лист1!$I$22," мкм")</f>
        <v>фольга 18 мкм</v>
      </c>
      <c r="W128" s="108" t="str">
        <f>CONCATENATE("фольга ",Лист1!$I$22," мкм")</f>
        <v>фольга 18 мкм</v>
      </c>
      <c r="X128" s="108" t="str">
        <f>CONCATENATE("фольга ",Лист1!$I$22," мкм")</f>
        <v>фольга 18 мкм</v>
      </c>
      <c r="Y128" s="108" t="str">
        <f>CONCATENATE("фольга ",Лист1!$I$22," мкм")</f>
        <v>фольга 18 мкм</v>
      </c>
      <c r="Z128" s="108" t="str">
        <f>CONCATENATE("фольга ",Лист1!$I$22," мкм")</f>
        <v>фольга 18 мкм</v>
      </c>
      <c r="AA128" s="108" t="str">
        <f>CONCATENATE("фольга ",Лист1!$I$22," мкм")</f>
        <v>фольга 18 мкм</v>
      </c>
      <c r="AB128" s="108" t="str">
        <f>CONCATENATE("фольга ",Лист1!$I$22," мкм")</f>
        <v>фольга 18 мкм</v>
      </c>
      <c r="AC128" s="108" t="str">
        <f>CONCATENATE("фольга ",Лист1!$I$22," мкм")</f>
        <v>фольга 18 мкм</v>
      </c>
      <c r="AD128" s="108" t="str">
        <f>CONCATENATE("фольга ",Лист1!$I$22," мкм")</f>
        <v>фольга 18 мкм</v>
      </c>
      <c r="AE128" s="108" t="str">
        <f>CONCATENATE("фольга ",Лист1!$I$22," мкм")</f>
        <v>фольга 18 мкм</v>
      </c>
      <c r="AF128" s="108" t="str">
        <f>CONCATENATE("фольга ",Лист1!$I$22," мкм")</f>
        <v>фольга 18 мкм</v>
      </c>
      <c r="AG128" s="108" t="str">
        <f>CONCATENATE("фольга ",Лист1!$I$22," мкм")</f>
        <v>фольга 18 мкм</v>
      </c>
    </row>
    <row r="129" spans="2:33" x14ac:dyDescent="0.25">
      <c r="B129" s="96"/>
      <c r="C129" s="96"/>
      <c r="D129" s="96"/>
      <c r="E129" s="96"/>
      <c r="F129" s="96"/>
      <c r="G129" s="96"/>
      <c r="H129" s="96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  <c r="AE129" s="98"/>
      <c r="AF129" s="96"/>
      <c r="AG129" s="96"/>
    </row>
    <row r="130" spans="2:33" x14ac:dyDescent="0.25">
      <c r="B130" s="9"/>
      <c r="C130" s="9"/>
      <c r="D130" s="9"/>
      <c r="E130" s="9"/>
      <c r="F130" s="9"/>
      <c r="G130" s="9"/>
      <c r="H130" s="9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  <c r="AA130" s="104"/>
      <c r="AB130" s="104"/>
      <c r="AC130" s="104"/>
      <c r="AD130" s="104"/>
      <c r="AE130" s="95"/>
      <c r="AF130" s="9"/>
      <c r="AG130" s="9"/>
    </row>
    <row r="133" spans="2:33" x14ac:dyDescent="0.25">
      <c r="B133" s="105"/>
      <c r="C133" s="105"/>
      <c r="D133" s="105"/>
      <c r="E133" s="105"/>
      <c r="F133" s="105"/>
      <c r="G133" s="105"/>
      <c r="H133" s="105"/>
      <c r="I133" s="106">
        <v>0.5</v>
      </c>
      <c r="J133" s="106"/>
      <c r="K133" s="106"/>
      <c r="L133" s="106"/>
      <c r="M133" s="106"/>
      <c r="N133" s="106"/>
      <c r="O133" s="106"/>
      <c r="P133" s="106"/>
      <c r="Q133" s="106">
        <v>0.8</v>
      </c>
      <c r="R133" s="106"/>
      <c r="S133" s="106">
        <v>1</v>
      </c>
      <c r="T133" s="106"/>
      <c r="U133" s="106"/>
      <c r="V133" s="107"/>
      <c r="W133" s="107"/>
      <c r="X133" s="106">
        <v>1.5</v>
      </c>
      <c r="Y133" s="106"/>
      <c r="Z133" s="106"/>
      <c r="AA133" s="106"/>
      <c r="AB133" s="107"/>
      <c r="AC133" s="107"/>
      <c r="AD133" s="106">
        <v>2</v>
      </c>
      <c r="AE133" s="87"/>
      <c r="AF133" s="105"/>
      <c r="AG133" s="105"/>
    </row>
    <row r="134" spans="2:33" x14ac:dyDescent="0.25">
      <c r="B134" s="9"/>
      <c r="C134" s="9"/>
      <c r="D134" s="9"/>
      <c r="E134" s="9"/>
      <c r="F134" s="9"/>
      <c r="G134" s="9"/>
      <c r="H134" s="9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  <c r="AA134" s="94"/>
      <c r="AB134" s="94"/>
      <c r="AC134" s="94"/>
      <c r="AD134" s="94"/>
      <c r="AE134" s="95"/>
      <c r="AF134" s="9"/>
      <c r="AG134" s="9"/>
    </row>
    <row r="135" spans="2:33" x14ac:dyDescent="0.25">
      <c r="B135" s="96"/>
      <c r="C135" s="96"/>
      <c r="D135" s="96"/>
      <c r="E135" s="96"/>
      <c r="F135" s="96"/>
      <c r="G135" s="96"/>
      <c r="H135" s="96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  <c r="AC135" s="97"/>
      <c r="AD135" s="97"/>
      <c r="AE135" s="98"/>
      <c r="AF135" s="96"/>
      <c r="AG135" s="96"/>
    </row>
    <row r="136" spans="2:33" ht="14.4" x14ac:dyDescent="0.3">
      <c r="B136" s="108" t="s">
        <v>175</v>
      </c>
      <c r="C136" s="108" t="s">
        <v>175</v>
      </c>
      <c r="D136" s="108" t="s">
        <v>175</v>
      </c>
      <c r="E136" s="108" t="s">
        <v>175</v>
      </c>
      <c r="F136" s="108" t="s">
        <v>175</v>
      </c>
      <c r="G136" s="108" t="s">
        <v>175</v>
      </c>
      <c r="H136" s="108" t="s">
        <v>175</v>
      </c>
      <c r="I136" s="108" t="s">
        <v>175</v>
      </c>
      <c r="J136" s="108" t="s">
        <v>175</v>
      </c>
      <c r="K136" s="108" t="s">
        <v>175</v>
      </c>
      <c r="L136" s="108" t="s">
        <v>175</v>
      </c>
      <c r="M136" s="108" t="s">
        <v>175</v>
      </c>
      <c r="N136" s="108" t="s">
        <v>175</v>
      </c>
      <c r="O136" s="108" t="s">
        <v>175</v>
      </c>
      <c r="P136" s="108" t="s">
        <v>175</v>
      </c>
      <c r="Q136" s="108" t="s">
        <v>175</v>
      </c>
      <c r="R136" s="108" t="s">
        <v>175</v>
      </c>
      <c r="S136" s="108" t="s">
        <v>175</v>
      </c>
      <c r="T136" s="108" t="s">
        <v>175</v>
      </c>
      <c r="U136" s="108" t="s">
        <v>175</v>
      </c>
      <c r="V136" s="108" t="s">
        <v>175</v>
      </c>
      <c r="W136" s="108" t="s">
        <v>175</v>
      </c>
      <c r="X136" s="108" t="s">
        <v>175</v>
      </c>
      <c r="Y136" s="108" t="s">
        <v>175</v>
      </c>
      <c r="Z136" s="108" t="s">
        <v>175</v>
      </c>
      <c r="AA136" s="108" t="s">
        <v>175</v>
      </c>
      <c r="AB136" s="108" t="s">
        <v>175</v>
      </c>
      <c r="AC136" s="108" t="s">
        <v>175</v>
      </c>
      <c r="AD136" s="108" t="s">
        <v>175</v>
      </c>
      <c r="AE136" s="108" t="s">
        <v>175</v>
      </c>
      <c r="AF136" s="108" t="s">
        <v>175</v>
      </c>
      <c r="AG136" s="108" t="s">
        <v>175</v>
      </c>
    </row>
    <row r="137" spans="2:33" x14ac:dyDescent="0.25"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  <c r="AA137" s="100"/>
      <c r="AB137" s="100"/>
      <c r="AC137" s="100"/>
      <c r="AD137" s="100"/>
      <c r="AE137" s="100"/>
      <c r="AF137" s="100"/>
      <c r="AG137" s="100"/>
    </row>
    <row r="138" spans="2:33" x14ac:dyDescent="0.25"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0"/>
    </row>
    <row r="139" spans="2:33" ht="14.4" x14ac:dyDescent="0.3">
      <c r="B139" s="101"/>
      <c r="C139" s="101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101"/>
      <c r="AG139" s="101"/>
    </row>
    <row r="140" spans="2:33" x14ac:dyDescent="0.25"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  <c r="AA140" s="100"/>
      <c r="AB140" s="100"/>
      <c r="AC140" s="100"/>
      <c r="AD140" s="100"/>
      <c r="AE140" s="100"/>
      <c r="AF140" s="100"/>
      <c r="AG140" s="100"/>
    </row>
    <row r="141" spans="2:33" x14ac:dyDescent="0.25"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  <c r="Z141" s="100"/>
      <c r="AA141" s="100"/>
      <c r="AB141" s="100"/>
      <c r="AC141" s="100"/>
      <c r="AD141" s="100"/>
      <c r="AE141" s="100"/>
      <c r="AF141" s="100"/>
      <c r="AG141" s="100"/>
    </row>
    <row r="142" spans="2:33" ht="14.4" x14ac:dyDescent="0.3"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  <c r="Z142" s="102"/>
      <c r="AA142" s="102"/>
      <c r="AB142" s="102"/>
      <c r="AC142" s="102"/>
      <c r="AD142" s="102"/>
      <c r="AE142" s="102"/>
      <c r="AF142" s="102"/>
      <c r="AG142" s="102"/>
    </row>
    <row r="143" spans="2:33" ht="14.4" x14ac:dyDescent="0.3">
      <c r="B143" s="101"/>
      <c r="C143" s="101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  <c r="AA143" s="101"/>
      <c r="AB143" s="101"/>
      <c r="AC143" s="101"/>
      <c r="AD143" s="101"/>
      <c r="AE143" s="101"/>
      <c r="AF143" s="101"/>
      <c r="AG143" s="101"/>
    </row>
    <row r="144" spans="2:33" ht="14.4" x14ac:dyDescent="0.3">
      <c r="B144" s="99"/>
      <c r="C144" s="99"/>
      <c r="D144" s="99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  <c r="AA144" s="99"/>
      <c r="AB144" s="99"/>
      <c r="AC144" s="99"/>
      <c r="AD144" s="99"/>
      <c r="AE144" s="99"/>
      <c r="AF144" s="99"/>
      <c r="AG144" s="99"/>
    </row>
    <row r="145" spans="1:33" ht="14.4" x14ac:dyDescent="0.3">
      <c r="B14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C14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D14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E14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F14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G14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H14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I14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J14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K14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L14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M14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N14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O14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P14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Q14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R14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S14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T14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U14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V14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W14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X14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Y14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Z14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A14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B14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C14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D14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E14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F14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G145" s="103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</row>
    <row r="146" spans="1:33" ht="14.4" x14ac:dyDescent="0.3">
      <c r="B146" s="99"/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  <c r="AA146" s="99"/>
      <c r="AB146" s="99"/>
      <c r="AC146" s="99"/>
      <c r="AD146" s="99"/>
      <c r="AE146" s="99"/>
      <c r="AF146" s="99"/>
      <c r="AG146" s="99"/>
    </row>
    <row r="147" spans="1:33" ht="14.4" x14ac:dyDescent="0.3">
      <c r="B147" s="101"/>
      <c r="C147" s="101"/>
      <c r="D147" s="101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  <c r="AA147" s="101"/>
      <c r="AB147" s="101"/>
      <c r="AC147" s="101"/>
      <c r="AD147" s="101"/>
      <c r="AE147" s="101"/>
      <c r="AF147" s="101"/>
      <c r="AG147" s="101"/>
    </row>
    <row r="148" spans="1:33" ht="14.4" x14ac:dyDescent="0.3"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  <c r="AA148" s="102"/>
      <c r="AB148" s="102"/>
      <c r="AC148" s="102"/>
      <c r="AD148" s="102"/>
      <c r="AE148" s="102"/>
      <c r="AF148" s="102"/>
      <c r="AG148" s="102"/>
    </row>
    <row r="149" spans="1:33" x14ac:dyDescent="0.25"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0"/>
    </row>
    <row r="150" spans="1:33" x14ac:dyDescent="0.25"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  <c r="AA150" s="100"/>
      <c r="AB150" s="100"/>
      <c r="AC150" s="100"/>
      <c r="AD150" s="100"/>
      <c r="AE150" s="100"/>
      <c r="AF150" s="100"/>
      <c r="AG150" s="100"/>
    </row>
    <row r="151" spans="1:33" ht="14.4" x14ac:dyDescent="0.3">
      <c r="B151" s="101"/>
      <c r="C151" s="101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101"/>
      <c r="T151" s="101"/>
      <c r="U151" s="101"/>
      <c r="V151" s="101"/>
      <c r="W151" s="101"/>
      <c r="X151" s="101"/>
      <c r="Y151" s="101"/>
      <c r="Z151" s="101"/>
      <c r="AA151" s="101"/>
      <c r="AB151" s="101"/>
      <c r="AC151" s="101"/>
      <c r="AD151" s="101"/>
      <c r="AE151" s="101"/>
      <c r="AF151" s="101"/>
      <c r="AG151" s="101"/>
    </row>
    <row r="152" spans="1:33" x14ac:dyDescent="0.25"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  <c r="Y152" s="100"/>
      <c r="Z152" s="100"/>
      <c r="AA152" s="100"/>
      <c r="AB152" s="100"/>
      <c r="AC152" s="100"/>
      <c r="AD152" s="100"/>
      <c r="AE152" s="100"/>
      <c r="AF152" s="100"/>
      <c r="AG152" s="100"/>
    </row>
    <row r="153" spans="1:33" x14ac:dyDescent="0.25"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  <c r="Y153" s="100"/>
      <c r="Z153" s="100"/>
      <c r="AA153" s="100"/>
      <c r="AB153" s="100"/>
      <c r="AC153" s="100"/>
      <c r="AD153" s="100"/>
      <c r="AE153" s="100"/>
      <c r="AF153" s="100"/>
      <c r="AG153" s="100"/>
    </row>
    <row r="154" spans="1:33" ht="14.4" x14ac:dyDescent="0.3">
      <c r="B154" s="108" t="s">
        <v>175</v>
      </c>
      <c r="C154" s="108" t="s">
        <v>175</v>
      </c>
      <c r="D154" s="108" t="s">
        <v>175</v>
      </c>
      <c r="E154" s="108" t="s">
        <v>175</v>
      </c>
      <c r="F154" s="108" t="s">
        <v>175</v>
      </c>
      <c r="G154" s="108" t="s">
        <v>175</v>
      </c>
      <c r="H154" s="108" t="s">
        <v>175</v>
      </c>
      <c r="I154" s="108" t="s">
        <v>175</v>
      </c>
      <c r="J154" s="108" t="s">
        <v>175</v>
      </c>
      <c r="K154" s="108" t="s">
        <v>175</v>
      </c>
      <c r="L154" s="108" t="s">
        <v>175</v>
      </c>
      <c r="M154" s="108" t="s">
        <v>175</v>
      </c>
      <c r="N154" s="108" t="s">
        <v>175</v>
      </c>
      <c r="O154" s="108" t="s">
        <v>175</v>
      </c>
      <c r="P154" s="108" t="s">
        <v>175</v>
      </c>
      <c r="Q154" s="108" t="s">
        <v>175</v>
      </c>
      <c r="R154" s="108" t="s">
        <v>175</v>
      </c>
      <c r="S154" s="108" t="s">
        <v>175</v>
      </c>
      <c r="T154" s="108" t="s">
        <v>175</v>
      </c>
      <c r="U154" s="108" t="s">
        <v>175</v>
      </c>
      <c r="V154" s="108" t="s">
        <v>175</v>
      </c>
      <c r="W154" s="108" t="s">
        <v>175</v>
      </c>
      <c r="X154" s="108" t="s">
        <v>175</v>
      </c>
      <c r="Y154" s="108" t="s">
        <v>175</v>
      </c>
      <c r="Z154" s="108" t="s">
        <v>175</v>
      </c>
      <c r="AA154" s="108" t="s">
        <v>175</v>
      </c>
      <c r="AB154" s="108" t="s">
        <v>175</v>
      </c>
      <c r="AC154" s="108" t="s">
        <v>175</v>
      </c>
      <c r="AD154" s="108" t="s">
        <v>175</v>
      </c>
      <c r="AE154" s="108" t="s">
        <v>175</v>
      </c>
      <c r="AF154" s="108" t="s">
        <v>175</v>
      </c>
      <c r="AG154" s="108" t="s">
        <v>175</v>
      </c>
    </row>
    <row r="155" spans="1:33" x14ac:dyDescent="0.25">
      <c r="B155" s="96"/>
      <c r="C155" s="96"/>
      <c r="D155" s="96"/>
      <c r="E155" s="96"/>
      <c r="F155" s="96"/>
      <c r="G155" s="96"/>
      <c r="H155" s="96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  <c r="AC155" s="97"/>
      <c r="AD155" s="97"/>
      <c r="AE155" s="98"/>
      <c r="AF155" s="96"/>
      <c r="AG155" s="96"/>
    </row>
    <row r="156" spans="1:33" x14ac:dyDescent="0.25">
      <c r="B156" s="9"/>
      <c r="C156" s="9"/>
      <c r="D156" s="9"/>
      <c r="E156" s="9"/>
      <c r="F156" s="9"/>
      <c r="G156" s="9"/>
      <c r="H156" s="9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  <c r="AA156" s="104"/>
      <c r="AB156" s="104"/>
      <c r="AC156" s="104"/>
      <c r="AD156" s="104"/>
      <c r="AE156" s="95"/>
      <c r="AF156" s="9"/>
      <c r="AG156" s="9"/>
    </row>
    <row r="157" spans="1:33" x14ac:dyDescent="0.25">
      <c r="AB157" s="65"/>
      <c r="AC157" s="65"/>
    </row>
    <row r="159" spans="1:33" x14ac:dyDescent="0.25">
      <c r="A159">
        <v>4</v>
      </c>
      <c r="Q159" s="88">
        <v>0.8</v>
      </c>
      <c r="R159" s="88"/>
      <c r="S159" s="88">
        <v>1</v>
      </c>
      <c r="T159" s="92"/>
      <c r="U159" s="92"/>
      <c r="V159" s="86"/>
      <c r="W159" s="86"/>
      <c r="X159" s="88">
        <v>1.5</v>
      </c>
      <c r="Y159" s="88"/>
      <c r="Z159" s="88"/>
      <c r="AA159" s="88"/>
      <c r="AB159" s="88">
        <v>1.6</v>
      </c>
      <c r="AC159" s="86"/>
      <c r="AD159" s="88">
        <v>2</v>
      </c>
      <c r="AE159" s="87"/>
      <c r="AF159" s="92"/>
      <c r="AG159" s="92"/>
    </row>
    <row r="160" spans="1:33" x14ac:dyDescent="0.25"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5"/>
      <c r="AF160" s="9"/>
      <c r="AG160" s="9"/>
    </row>
    <row r="161" spans="17:33" x14ac:dyDescent="0.25"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  <c r="AB161" s="97"/>
      <c r="AC161" s="97"/>
      <c r="AD161" s="97"/>
      <c r="AE161" s="98"/>
      <c r="AF161" s="96"/>
      <c r="AG161" s="96"/>
    </row>
    <row r="162" spans="17:33" ht="14.4" x14ac:dyDescent="0.3">
      <c r="Q162" s="108" t="s">
        <v>176</v>
      </c>
      <c r="R162" s="108"/>
      <c r="S162" s="108" t="s">
        <v>176</v>
      </c>
      <c r="T162" s="108"/>
      <c r="U162" s="108"/>
      <c r="V162" s="108"/>
      <c r="W162" s="108"/>
      <c r="X162" s="108" t="s">
        <v>176</v>
      </c>
      <c r="Y162" s="108"/>
      <c r="Z162" s="108"/>
      <c r="AA162" s="108"/>
      <c r="AB162" s="108" t="s">
        <v>176</v>
      </c>
      <c r="AC162" s="108"/>
      <c r="AD162" s="108" t="s">
        <v>176</v>
      </c>
      <c r="AE162" s="109"/>
      <c r="AF162" s="99"/>
      <c r="AG162" s="99"/>
    </row>
    <row r="163" spans="17:33" x14ac:dyDescent="0.25"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  <c r="AA163" s="110"/>
      <c r="AB163" s="110"/>
      <c r="AC163" s="110"/>
      <c r="AD163" s="110"/>
      <c r="AE163" s="111"/>
      <c r="AF163" s="100"/>
      <c r="AG163" s="100"/>
    </row>
    <row r="164" spans="17:33" x14ac:dyDescent="0.25"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  <c r="AA164" s="110"/>
      <c r="AB164" s="110"/>
      <c r="AC164" s="110"/>
      <c r="AD164" s="110"/>
      <c r="AE164" s="111"/>
      <c r="AF164" s="100"/>
      <c r="AG164" s="100"/>
    </row>
    <row r="165" spans="17:33" ht="14.4" x14ac:dyDescent="0.3">
      <c r="Q165" s="112" t="s">
        <v>177</v>
      </c>
      <c r="R165" s="112"/>
      <c r="S165" s="112" t="s">
        <v>178</v>
      </c>
      <c r="T165" s="101"/>
      <c r="U165" s="101"/>
      <c r="X165" s="112" t="s">
        <v>179</v>
      </c>
      <c r="Y165" s="112"/>
      <c r="Z165" s="112"/>
      <c r="AA165" s="112"/>
      <c r="AB165" s="112" t="s">
        <v>180</v>
      </c>
      <c r="AD165" s="112" t="s">
        <v>181</v>
      </c>
      <c r="AE165" s="113"/>
      <c r="AF165" s="101"/>
      <c r="AG165" s="101"/>
    </row>
    <row r="166" spans="17:33" x14ac:dyDescent="0.25"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  <c r="AA166" s="110"/>
      <c r="AB166" s="110"/>
      <c r="AC166" s="110"/>
      <c r="AD166" s="110"/>
      <c r="AE166" s="111"/>
      <c r="AF166" s="100"/>
      <c r="AG166" s="100"/>
    </row>
    <row r="167" spans="17:33" x14ac:dyDescent="0.25"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  <c r="AA167" s="110"/>
      <c r="AB167" s="110"/>
      <c r="AC167" s="110"/>
      <c r="AD167" s="110"/>
      <c r="AE167" s="111"/>
      <c r="AF167" s="100"/>
      <c r="AG167" s="100"/>
    </row>
    <row r="168" spans="17:33" ht="14.4" x14ac:dyDescent="0.3">
      <c r="Q168" s="114"/>
      <c r="R168" s="114"/>
      <c r="S168" s="114"/>
      <c r="T168" s="114"/>
      <c r="U168" s="114"/>
      <c r="V168" s="114"/>
      <c r="W168" s="114"/>
      <c r="X168" s="114"/>
      <c r="Y168" s="114"/>
      <c r="Z168" s="114"/>
      <c r="AA168" s="114"/>
      <c r="AB168" s="114"/>
      <c r="AC168" s="114"/>
      <c r="AD168" s="114"/>
      <c r="AE168" s="115"/>
      <c r="AF168" s="102"/>
      <c r="AG168" s="102"/>
    </row>
    <row r="169" spans="17:33" ht="14.4" x14ac:dyDescent="0.3">
      <c r="Q169" s="112"/>
      <c r="R169" s="112"/>
      <c r="S169" s="112"/>
      <c r="T169" s="112"/>
      <c r="U169" s="112"/>
      <c r="V169" s="112"/>
      <c r="W169" s="112"/>
      <c r="X169" s="112"/>
      <c r="Y169" s="112"/>
      <c r="Z169" s="112"/>
      <c r="AA169" s="112"/>
      <c r="AB169" s="112"/>
      <c r="AC169" s="112"/>
      <c r="AD169" s="112"/>
      <c r="AE169" s="113"/>
      <c r="AF169" s="101"/>
      <c r="AG169" s="101"/>
    </row>
    <row r="170" spans="17:33" ht="14.4" x14ac:dyDescent="0.3">
      <c r="Q170" s="108" t="s">
        <v>176</v>
      </c>
      <c r="R170" s="108"/>
      <c r="S170" s="108" t="s">
        <v>176</v>
      </c>
      <c r="T170" s="108"/>
      <c r="U170" s="108"/>
      <c r="V170" s="108"/>
      <c r="W170" s="108"/>
      <c r="X170" s="108" t="s">
        <v>176</v>
      </c>
      <c r="Y170" s="108"/>
      <c r="Z170" s="108"/>
      <c r="AA170" s="108"/>
      <c r="AB170" s="108" t="s">
        <v>176</v>
      </c>
      <c r="AC170" s="108"/>
      <c r="AD170" s="108" t="s">
        <v>176</v>
      </c>
      <c r="AE170" s="109"/>
      <c r="AF170" s="99"/>
      <c r="AG170" s="99"/>
    </row>
    <row r="171" spans="17:33" ht="14.4" x14ac:dyDescent="0.3">
      <c r="Q171" s="112" t="s">
        <v>182</v>
      </c>
      <c r="R171" s="112"/>
      <c r="S171" s="112" t="s">
        <v>182</v>
      </c>
      <c r="T171" s="101"/>
      <c r="U171" s="101"/>
      <c r="X171" s="112" t="s">
        <v>183</v>
      </c>
      <c r="Y171" s="112"/>
      <c r="Z171" s="112"/>
      <c r="AA171" s="112"/>
      <c r="AB171" s="112" t="s">
        <v>183</v>
      </c>
      <c r="AD171" s="112" t="s">
        <v>183</v>
      </c>
      <c r="AE171" s="113"/>
      <c r="AF171" s="101"/>
      <c r="AG171" s="101"/>
    </row>
    <row r="172" spans="17:33" ht="14.4" x14ac:dyDescent="0.3">
      <c r="Q172" s="108" t="s">
        <v>176</v>
      </c>
      <c r="R172" s="108"/>
      <c r="S172" s="108" t="s">
        <v>176</v>
      </c>
      <c r="T172" s="108"/>
      <c r="U172" s="108"/>
      <c r="V172" s="108"/>
      <c r="W172" s="108"/>
      <c r="X172" s="108" t="s">
        <v>176</v>
      </c>
      <c r="Y172" s="108"/>
      <c r="Z172" s="108"/>
      <c r="AA172" s="108"/>
      <c r="AB172" s="108" t="s">
        <v>176</v>
      </c>
      <c r="AC172" s="108"/>
      <c r="AD172" s="108" t="s">
        <v>176</v>
      </c>
      <c r="AE172" s="109"/>
      <c r="AF172" s="99"/>
      <c r="AG172" s="99"/>
    </row>
    <row r="173" spans="17:33" ht="14.4" x14ac:dyDescent="0.3">
      <c r="Q173" s="112"/>
      <c r="R173" s="112"/>
      <c r="S173" s="112"/>
      <c r="T173" s="112"/>
      <c r="U173" s="112"/>
      <c r="V173" s="112"/>
      <c r="W173" s="112"/>
      <c r="X173" s="112"/>
      <c r="Y173" s="112"/>
      <c r="Z173" s="112"/>
      <c r="AA173" s="112"/>
      <c r="AB173" s="112"/>
      <c r="AC173" s="112"/>
      <c r="AD173" s="112"/>
      <c r="AE173" s="113"/>
      <c r="AF173" s="101"/>
      <c r="AG173" s="101"/>
    </row>
    <row r="174" spans="17:33" ht="14.4" x14ac:dyDescent="0.3">
      <c r="Q174" s="114"/>
      <c r="R174" s="114"/>
      <c r="S174" s="114"/>
      <c r="T174" s="114"/>
      <c r="U174" s="114"/>
      <c r="V174" s="114"/>
      <c r="W174" s="114"/>
      <c r="X174" s="114"/>
      <c r="Y174" s="114"/>
      <c r="Z174" s="114"/>
      <c r="AA174" s="114"/>
      <c r="AB174" s="114"/>
      <c r="AC174" s="114"/>
      <c r="AD174" s="114"/>
      <c r="AE174" s="115"/>
      <c r="AF174" s="102"/>
      <c r="AG174" s="102"/>
    </row>
    <row r="175" spans="17:33" x14ac:dyDescent="0.25"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  <c r="AA175" s="110"/>
      <c r="AB175" s="110"/>
      <c r="AC175" s="110"/>
      <c r="AD175" s="110"/>
      <c r="AE175" s="111"/>
      <c r="AF175" s="100"/>
      <c r="AG175" s="100"/>
    </row>
    <row r="176" spans="17:33" x14ac:dyDescent="0.25"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  <c r="AA176" s="110"/>
      <c r="AB176" s="110"/>
      <c r="AC176" s="110"/>
      <c r="AD176" s="110"/>
      <c r="AE176" s="111"/>
      <c r="AF176" s="100"/>
      <c r="AG176" s="100"/>
    </row>
    <row r="177" spans="17:33" ht="14.4" x14ac:dyDescent="0.3">
      <c r="Q177" s="112" t="s">
        <v>177</v>
      </c>
      <c r="R177" s="112"/>
      <c r="S177" s="112" t="s">
        <v>178</v>
      </c>
      <c r="T177" s="101"/>
      <c r="U177" s="101"/>
      <c r="X177" s="112" t="s">
        <v>179</v>
      </c>
      <c r="Y177" s="112"/>
      <c r="Z177" s="112"/>
      <c r="AA177" s="112"/>
      <c r="AB177" s="112" t="s">
        <v>180</v>
      </c>
      <c r="AD177" s="112" t="s">
        <v>181</v>
      </c>
      <c r="AE177" s="113"/>
      <c r="AF177" s="101"/>
      <c r="AG177" s="101"/>
    </row>
    <row r="178" spans="17:33" x14ac:dyDescent="0.25"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  <c r="AA178" s="110"/>
      <c r="AB178" s="110"/>
      <c r="AC178" s="110"/>
      <c r="AD178" s="110"/>
      <c r="AE178" s="111"/>
      <c r="AF178" s="100"/>
      <c r="AG178" s="100"/>
    </row>
    <row r="179" spans="17:33" x14ac:dyDescent="0.25"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  <c r="AA179" s="110"/>
      <c r="AB179" s="110"/>
      <c r="AC179" s="110"/>
      <c r="AD179" s="110"/>
      <c r="AE179" s="111"/>
      <c r="AF179" s="100"/>
      <c r="AG179" s="100"/>
    </row>
    <row r="180" spans="17:33" ht="14.4" x14ac:dyDescent="0.3">
      <c r="Q180" s="108" t="s">
        <v>176</v>
      </c>
      <c r="R180" s="108"/>
      <c r="S180" s="108" t="s">
        <v>176</v>
      </c>
      <c r="T180" s="108"/>
      <c r="U180" s="108"/>
      <c r="V180" s="108"/>
      <c r="W180" s="108"/>
      <c r="X180" s="108" t="s">
        <v>176</v>
      </c>
      <c r="Y180" s="108"/>
      <c r="Z180" s="108"/>
      <c r="AA180" s="108"/>
      <c r="AB180" s="108" t="s">
        <v>176</v>
      </c>
      <c r="AC180" s="108"/>
      <c r="AD180" s="108" t="s">
        <v>176</v>
      </c>
      <c r="AE180" s="109"/>
      <c r="AF180" s="99"/>
      <c r="AG180" s="99"/>
    </row>
    <row r="181" spans="17:33" x14ac:dyDescent="0.25">
      <c r="Q181" s="97"/>
      <c r="R181" s="97"/>
      <c r="S181" s="97"/>
      <c r="T181" s="97"/>
      <c r="U181" s="97"/>
      <c r="V181" s="97"/>
      <c r="W181" s="97"/>
      <c r="X181" s="97"/>
      <c r="Y181" s="97"/>
      <c r="Z181" s="97"/>
      <c r="AA181" s="97"/>
      <c r="AB181" s="97"/>
      <c r="AC181" s="97"/>
      <c r="AD181" s="97"/>
      <c r="AE181" s="98"/>
      <c r="AF181" s="96"/>
      <c r="AG181" s="96"/>
    </row>
    <row r="182" spans="17:33" x14ac:dyDescent="0.25"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  <c r="AA182" s="104"/>
      <c r="AB182" s="104"/>
      <c r="AC182" s="104"/>
      <c r="AD182" s="104"/>
      <c r="AE182" s="95"/>
      <c r="AF182" s="9"/>
      <c r="AG182" s="9"/>
    </row>
    <row r="185" spans="17:33" x14ac:dyDescent="0.25">
      <c r="S185" s="106">
        <v>1</v>
      </c>
      <c r="T185" s="105"/>
      <c r="U185" s="105"/>
      <c r="X185" s="106">
        <v>1.5</v>
      </c>
      <c r="Y185" s="106"/>
      <c r="Z185" s="106"/>
      <c r="AA185" s="106"/>
      <c r="AB185" s="106">
        <v>1.6</v>
      </c>
      <c r="AD185" s="89">
        <v>2</v>
      </c>
      <c r="AE185" s="87"/>
      <c r="AF185" s="87"/>
      <c r="AG185" s="87"/>
    </row>
    <row r="186" spans="17:33" x14ac:dyDescent="0.25">
      <c r="S186" s="94"/>
      <c r="T186" s="9"/>
      <c r="U186" s="9"/>
      <c r="X186" s="94"/>
      <c r="Y186" s="94"/>
      <c r="Z186" s="94"/>
      <c r="AA186" s="94"/>
      <c r="AB186" s="94"/>
      <c r="AC186" s="65"/>
      <c r="AD186" s="94"/>
      <c r="AE186" s="95"/>
      <c r="AF186" s="9"/>
      <c r="AG186" s="9"/>
    </row>
    <row r="187" spans="17:33" x14ac:dyDescent="0.25">
      <c r="S187" s="97"/>
      <c r="T187" s="96"/>
      <c r="U187" s="96"/>
      <c r="X187" s="97"/>
      <c r="Y187" s="97"/>
      <c r="Z187" s="97"/>
      <c r="AA187" s="97"/>
      <c r="AB187" s="97"/>
      <c r="AC187" s="65"/>
      <c r="AD187" s="97"/>
      <c r="AE187" s="98"/>
      <c r="AF187" s="96"/>
      <c r="AG187" s="96"/>
    </row>
    <row r="188" spans="17:33" ht="14.4" x14ac:dyDescent="0.3">
      <c r="S188" s="108" t="s">
        <v>175</v>
      </c>
      <c r="T188" s="99"/>
      <c r="U188" s="99"/>
      <c r="X188" s="108" t="s">
        <v>175</v>
      </c>
      <c r="Y188" s="108"/>
      <c r="Z188" s="108"/>
      <c r="AA188" s="108"/>
      <c r="AB188" s="108" t="s">
        <v>175</v>
      </c>
      <c r="AC188" s="65"/>
      <c r="AD188" s="108" t="s">
        <v>175</v>
      </c>
      <c r="AE188" s="109"/>
      <c r="AF188" s="99"/>
      <c r="AG188" s="99"/>
    </row>
    <row r="189" spans="17:33" x14ac:dyDescent="0.25">
      <c r="S189" s="110"/>
      <c r="T189" s="100"/>
      <c r="U189" s="100"/>
      <c r="X189" s="110"/>
      <c r="Y189" s="110"/>
      <c r="Z189" s="110"/>
      <c r="AA189" s="110"/>
      <c r="AB189" s="110"/>
      <c r="AC189" s="65"/>
      <c r="AD189" s="110"/>
      <c r="AE189" s="111"/>
      <c r="AF189" s="100"/>
      <c r="AG189" s="100"/>
    </row>
    <row r="190" spans="17:33" x14ac:dyDescent="0.25">
      <c r="S190" s="110"/>
      <c r="T190" s="100"/>
      <c r="U190" s="100"/>
      <c r="X190" s="110"/>
      <c r="Y190" s="110"/>
      <c r="Z190" s="110"/>
      <c r="AA190" s="110"/>
      <c r="AB190" s="110"/>
      <c r="AC190" s="65"/>
      <c r="AD190" s="110"/>
      <c r="AE190" s="111"/>
      <c r="AF190" s="100"/>
      <c r="AG190" s="100"/>
    </row>
    <row r="191" spans="17:33" ht="14.4" x14ac:dyDescent="0.3">
      <c r="S191" s="112" t="s">
        <v>177</v>
      </c>
      <c r="T191" s="101"/>
      <c r="U191" s="101"/>
      <c r="X191" s="112" t="s">
        <v>179</v>
      </c>
      <c r="Y191" s="112"/>
      <c r="Z191" s="112"/>
      <c r="AA191" s="112"/>
      <c r="AB191" s="112" t="s">
        <v>180</v>
      </c>
      <c r="AC191" s="65"/>
      <c r="AD191" s="112" t="s">
        <v>181</v>
      </c>
      <c r="AE191" s="113"/>
      <c r="AF191" s="101"/>
      <c r="AG191" s="101"/>
    </row>
    <row r="192" spans="17:33" x14ac:dyDescent="0.25">
      <c r="S192" s="110"/>
      <c r="T192" s="100"/>
      <c r="U192" s="100"/>
      <c r="X192" s="110"/>
      <c r="Y192" s="110"/>
      <c r="Z192" s="110"/>
      <c r="AA192" s="110"/>
      <c r="AB192" s="110"/>
      <c r="AC192" s="65"/>
      <c r="AD192" s="110"/>
      <c r="AE192" s="111"/>
      <c r="AF192" s="100"/>
      <c r="AG192" s="100"/>
    </row>
    <row r="193" spans="19:33" x14ac:dyDescent="0.25">
      <c r="S193" s="110"/>
      <c r="T193" s="100"/>
      <c r="U193" s="100"/>
      <c r="X193" s="110"/>
      <c r="Y193" s="110"/>
      <c r="Z193" s="110"/>
      <c r="AA193" s="110"/>
      <c r="AB193" s="110"/>
      <c r="AC193" s="65"/>
      <c r="AD193" s="110"/>
      <c r="AE193" s="111"/>
      <c r="AF193" s="100"/>
      <c r="AG193" s="100"/>
    </row>
    <row r="194" spans="19:33" ht="14.4" x14ac:dyDescent="0.3">
      <c r="S194" s="114"/>
      <c r="T194" s="102"/>
      <c r="U194" s="102"/>
      <c r="X194" s="114"/>
      <c r="Y194" s="114"/>
      <c r="Z194" s="114"/>
      <c r="AA194" s="114"/>
      <c r="AB194" s="114"/>
      <c r="AC194" s="65"/>
      <c r="AD194" s="114"/>
      <c r="AE194" s="115"/>
      <c r="AF194" s="102"/>
      <c r="AG194" s="102"/>
    </row>
    <row r="195" spans="19:33" ht="14.4" x14ac:dyDescent="0.3">
      <c r="S195" s="112"/>
      <c r="T195" s="101"/>
      <c r="U195" s="101"/>
      <c r="X195" s="112"/>
      <c r="Y195" s="112"/>
      <c r="Z195" s="112"/>
      <c r="AA195" s="112"/>
      <c r="AB195" s="112"/>
      <c r="AC195" s="65"/>
      <c r="AD195" s="112"/>
      <c r="AE195" s="113"/>
      <c r="AF195" s="101"/>
      <c r="AG195" s="101"/>
    </row>
    <row r="196" spans="19:33" ht="14.4" x14ac:dyDescent="0.3">
      <c r="S196" s="108" t="s">
        <v>175</v>
      </c>
      <c r="T196" s="99"/>
      <c r="U196" s="99"/>
      <c r="X196" s="108" t="s">
        <v>175</v>
      </c>
      <c r="Y196" s="108"/>
      <c r="Z196" s="108"/>
      <c r="AA196" s="108"/>
      <c r="AB196" s="108" t="s">
        <v>175</v>
      </c>
      <c r="AC196" s="65"/>
      <c r="AD196" s="108" t="s">
        <v>175</v>
      </c>
      <c r="AE196" s="109"/>
      <c r="AF196" s="99"/>
      <c r="AG196" s="99"/>
    </row>
    <row r="197" spans="19:33" ht="14.4" x14ac:dyDescent="0.3">
      <c r="S197" s="112" t="s">
        <v>182</v>
      </c>
      <c r="T197" s="101"/>
      <c r="U197" s="101"/>
      <c r="X197" s="112" t="s">
        <v>183</v>
      </c>
      <c r="Y197" s="112"/>
      <c r="Z197" s="112"/>
      <c r="AA197" s="112"/>
      <c r="AB197" s="112" t="s">
        <v>183</v>
      </c>
      <c r="AC197" s="65"/>
      <c r="AD197" s="112" t="s">
        <v>183</v>
      </c>
      <c r="AE197" s="113"/>
      <c r="AF197" s="101"/>
      <c r="AG197" s="101"/>
    </row>
    <row r="198" spans="19:33" ht="14.4" x14ac:dyDescent="0.3">
      <c r="S198" s="108" t="s">
        <v>175</v>
      </c>
      <c r="T198" s="99"/>
      <c r="U198" s="99"/>
      <c r="X198" s="108" t="s">
        <v>175</v>
      </c>
      <c r="Y198" s="108"/>
      <c r="Z198" s="108"/>
      <c r="AA198" s="108"/>
      <c r="AB198" s="108" t="s">
        <v>175</v>
      </c>
      <c r="AC198" s="65"/>
      <c r="AD198" s="108" t="s">
        <v>175</v>
      </c>
      <c r="AE198" s="109"/>
      <c r="AF198" s="99"/>
      <c r="AG198" s="99"/>
    </row>
    <row r="199" spans="19:33" ht="14.4" x14ac:dyDescent="0.3">
      <c r="S199" s="112"/>
      <c r="T199" s="101"/>
      <c r="U199" s="101"/>
      <c r="X199" s="112"/>
      <c r="Y199" s="112"/>
      <c r="Z199" s="112"/>
      <c r="AA199" s="112"/>
      <c r="AB199" s="112"/>
      <c r="AC199" s="65"/>
      <c r="AD199" s="112"/>
      <c r="AE199" s="113"/>
      <c r="AF199" s="101"/>
      <c r="AG199" s="101"/>
    </row>
    <row r="200" spans="19:33" ht="14.4" x14ac:dyDescent="0.3">
      <c r="S200" s="114"/>
      <c r="T200" s="102"/>
      <c r="U200" s="102"/>
      <c r="X200" s="114"/>
      <c r="Y200" s="114"/>
      <c r="Z200" s="114"/>
      <c r="AA200" s="114"/>
      <c r="AB200" s="114"/>
      <c r="AC200" s="65"/>
      <c r="AD200" s="114"/>
      <c r="AE200" s="115"/>
      <c r="AF200" s="102"/>
      <c r="AG200" s="102"/>
    </row>
    <row r="201" spans="19:33" x14ac:dyDescent="0.25">
      <c r="S201" s="110"/>
      <c r="T201" s="100"/>
      <c r="U201" s="100"/>
      <c r="X201" s="110"/>
      <c r="Y201" s="110"/>
      <c r="Z201" s="110"/>
      <c r="AA201" s="110"/>
      <c r="AB201" s="110"/>
      <c r="AC201" s="65"/>
      <c r="AD201" s="110"/>
      <c r="AE201" s="111"/>
      <c r="AF201" s="100"/>
      <c r="AG201" s="100"/>
    </row>
    <row r="202" spans="19:33" x14ac:dyDescent="0.25">
      <c r="S202" s="110"/>
      <c r="T202" s="100"/>
      <c r="U202" s="100"/>
      <c r="X202" s="110"/>
      <c r="Y202" s="110"/>
      <c r="Z202" s="110"/>
      <c r="AA202" s="110"/>
      <c r="AB202" s="110"/>
      <c r="AC202" s="65"/>
      <c r="AD202" s="110"/>
      <c r="AE202" s="111"/>
      <c r="AF202" s="100"/>
      <c r="AG202" s="100"/>
    </row>
    <row r="203" spans="19:33" ht="14.4" x14ac:dyDescent="0.3">
      <c r="S203" s="112" t="s">
        <v>177</v>
      </c>
      <c r="T203" s="101"/>
      <c r="U203" s="101"/>
      <c r="X203" s="112" t="s">
        <v>179</v>
      </c>
      <c r="Y203" s="112"/>
      <c r="Z203" s="112"/>
      <c r="AA203" s="112"/>
      <c r="AB203" s="112" t="s">
        <v>180</v>
      </c>
      <c r="AC203" s="65"/>
      <c r="AD203" s="112" t="s">
        <v>181</v>
      </c>
      <c r="AE203" s="113"/>
      <c r="AF203" s="101"/>
      <c r="AG203" s="101"/>
    </row>
    <row r="204" spans="19:33" x14ac:dyDescent="0.25">
      <c r="S204" s="110"/>
      <c r="T204" s="100"/>
      <c r="U204" s="100"/>
      <c r="X204" s="110"/>
      <c r="Y204" s="110"/>
      <c r="Z204" s="110"/>
      <c r="AA204" s="110"/>
      <c r="AB204" s="110"/>
      <c r="AC204" s="65"/>
      <c r="AD204" s="110"/>
      <c r="AE204" s="111"/>
      <c r="AF204" s="100"/>
      <c r="AG204" s="100"/>
    </row>
    <row r="205" spans="19:33" x14ac:dyDescent="0.25">
      <c r="S205" s="110"/>
      <c r="T205" s="100"/>
      <c r="U205" s="100"/>
      <c r="X205" s="110"/>
      <c r="Y205" s="110"/>
      <c r="Z205" s="110"/>
      <c r="AA205" s="110"/>
      <c r="AB205" s="110"/>
      <c r="AC205" s="65"/>
      <c r="AD205" s="110"/>
      <c r="AE205" s="111"/>
      <c r="AF205" s="100"/>
      <c r="AG205" s="100"/>
    </row>
    <row r="206" spans="19:33" ht="14.4" x14ac:dyDescent="0.3">
      <c r="S206" s="108" t="s">
        <v>175</v>
      </c>
      <c r="T206" s="99"/>
      <c r="U206" s="99"/>
      <c r="X206" s="108" t="s">
        <v>175</v>
      </c>
      <c r="Y206" s="108"/>
      <c r="Z206" s="108"/>
      <c r="AA206" s="108"/>
      <c r="AB206" s="108" t="s">
        <v>175</v>
      </c>
      <c r="AC206" s="65"/>
      <c r="AD206" s="108" t="s">
        <v>175</v>
      </c>
      <c r="AE206" s="109"/>
      <c r="AF206" s="99"/>
      <c r="AG206" s="99"/>
    </row>
    <row r="207" spans="19:33" x14ac:dyDescent="0.25">
      <c r="S207" s="97"/>
      <c r="T207" s="96"/>
      <c r="U207" s="96"/>
      <c r="X207" s="97"/>
      <c r="Y207" s="97"/>
      <c r="Z207" s="97"/>
      <c r="AA207" s="97"/>
      <c r="AB207" s="97"/>
      <c r="AC207" s="65"/>
      <c r="AD207" s="97"/>
      <c r="AE207" s="98"/>
      <c r="AF207" s="96"/>
      <c r="AG207" s="96"/>
    </row>
    <row r="208" spans="19:33" x14ac:dyDescent="0.25">
      <c r="S208" s="104"/>
      <c r="T208" s="9"/>
      <c r="U208" s="9"/>
      <c r="X208" s="104"/>
      <c r="Y208" s="104"/>
      <c r="Z208" s="104"/>
      <c r="AA208" s="104"/>
      <c r="AB208" s="104"/>
      <c r="AC208" s="65"/>
      <c r="AD208" s="104"/>
      <c r="AE208" s="95"/>
      <c r="AF208" s="9"/>
      <c r="AG208" s="9"/>
    </row>
    <row r="211" spans="1:33" x14ac:dyDescent="0.25">
      <c r="A211">
        <v>6</v>
      </c>
      <c r="Q211" s="86"/>
      <c r="R211" s="86"/>
      <c r="S211" s="86"/>
      <c r="T211" s="86"/>
      <c r="U211" s="86"/>
      <c r="V211" s="88">
        <v>1.2</v>
      </c>
      <c r="W211" s="88"/>
      <c r="X211" s="88">
        <v>1.5</v>
      </c>
      <c r="Y211" s="88"/>
      <c r="Z211" s="88"/>
      <c r="AA211" s="88"/>
      <c r="AB211" s="88">
        <v>1.6</v>
      </c>
      <c r="AC211" s="88">
        <v>1.8</v>
      </c>
      <c r="AD211" s="88">
        <v>2</v>
      </c>
      <c r="AE211" s="87"/>
      <c r="AF211" s="92"/>
      <c r="AG211" s="92"/>
    </row>
    <row r="212" spans="1:33" x14ac:dyDescent="0.25">
      <c r="V212" s="94"/>
      <c r="W212" s="94"/>
      <c r="X212" s="94"/>
      <c r="Y212" s="94"/>
      <c r="Z212" s="94"/>
      <c r="AA212" s="94"/>
      <c r="AB212" s="94"/>
      <c r="AC212" s="94"/>
      <c r="AD212" s="94"/>
      <c r="AE212" s="95"/>
      <c r="AF212" s="9"/>
      <c r="AG212" s="9"/>
    </row>
    <row r="213" spans="1:33" x14ac:dyDescent="0.25">
      <c r="V213" s="97"/>
      <c r="W213" s="97"/>
      <c r="X213" s="97"/>
      <c r="Y213" s="97"/>
      <c r="Z213" s="97"/>
      <c r="AA213" s="97"/>
      <c r="AB213" s="97"/>
      <c r="AC213" s="97"/>
      <c r="AD213" s="97"/>
      <c r="AE213" s="98"/>
      <c r="AF213" s="96"/>
      <c r="AG213" s="96"/>
    </row>
    <row r="214" spans="1:33" ht="14.4" x14ac:dyDescent="0.3">
      <c r="V214" s="108" t="s">
        <v>176</v>
      </c>
      <c r="W214" s="108"/>
      <c r="X214" s="108" t="s">
        <v>176</v>
      </c>
      <c r="Y214" s="108"/>
      <c r="Z214" s="108"/>
      <c r="AA214" s="108"/>
      <c r="AB214" s="108" t="s">
        <v>176</v>
      </c>
      <c r="AC214" s="108" t="s">
        <v>176</v>
      </c>
      <c r="AD214" s="108" t="s">
        <v>176</v>
      </c>
      <c r="AE214" s="109"/>
      <c r="AF214" s="99"/>
      <c r="AG214" s="99"/>
    </row>
    <row r="215" spans="1:33" x14ac:dyDescent="0.25">
      <c r="V215" s="110"/>
      <c r="W215" s="110"/>
      <c r="X215" s="110"/>
      <c r="Y215" s="110"/>
      <c r="Z215" s="110"/>
      <c r="AA215" s="110"/>
      <c r="AB215" s="110"/>
      <c r="AC215" s="110"/>
      <c r="AD215" s="110"/>
      <c r="AE215" s="111"/>
      <c r="AF215" s="100"/>
      <c r="AG215" s="100"/>
    </row>
    <row r="216" spans="1:33" x14ac:dyDescent="0.25">
      <c r="V216" s="110"/>
      <c r="W216" s="110"/>
      <c r="X216" s="110"/>
      <c r="Y216" s="110"/>
      <c r="Z216" s="110"/>
      <c r="AA216" s="110"/>
      <c r="AB216" s="110"/>
      <c r="AC216" s="110"/>
      <c r="AD216" s="110"/>
      <c r="AE216" s="111"/>
      <c r="AF216" s="100"/>
      <c r="AG216" s="100"/>
    </row>
    <row r="217" spans="1:33" ht="14.4" x14ac:dyDescent="0.3">
      <c r="V217" s="112" t="s">
        <v>177</v>
      </c>
      <c r="W217" s="112"/>
      <c r="X217" s="112" t="s">
        <v>177</v>
      </c>
      <c r="Y217" s="112"/>
      <c r="Z217" s="112"/>
      <c r="AA217" s="112"/>
      <c r="AB217" s="112" t="s">
        <v>178</v>
      </c>
      <c r="AC217" s="112" t="s">
        <v>184</v>
      </c>
      <c r="AD217" s="112" t="s">
        <v>185</v>
      </c>
      <c r="AE217" s="113"/>
      <c r="AF217" s="101"/>
      <c r="AG217" s="101"/>
    </row>
    <row r="218" spans="1:33" x14ac:dyDescent="0.25">
      <c r="V218" s="110"/>
      <c r="W218" s="110"/>
      <c r="X218" s="110"/>
      <c r="Y218" s="110"/>
      <c r="Z218" s="110"/>
      <c r="AA218" s="110"/>
      <c r="AB218" s="110"/>
      <c r="AC218" s="110"/>
      <c r="AD218" s="110"/>
      <c r="AE218" s="111"/>
      <c r="AF218" s="100"/>
      <c r="AG218" s="100"/>
    </row>
    <row r="219" spans="1:33" x14ac:dyDescent="0.25">
      <c r="V219" s="110"/>
      <c r="W219" s="110"/>
      <c r="X219" s="110"/>
      <c r="Y219" s="110"/>
      <c r="Z219" s="110"/>
      <c r="AA219" s="110"/>
      <c r="AB219" s="110"/>
      <c r="AC219" s="110"/>
      <c r="AD219" s="110"/>
      <c r="AE219" s="111"/>
      <c r="AF219" s="100"/>
      <c r="AG219" s="100"/>
    </row>
    <row r="220" spans="1:33" ht="14.4" x14ac:dyDescent="0.3">
      <c r="V220" s="108" t="s">
        <v>176</v>
      </c>
      <c r="W220" s="108"/>
      <c r="X220" s="108" t="s">
        <v>176</v>
      </c>
      <c r="Y220" s="108"/>
      <c r="Z220" s="108"/>
      <c r="AA220" s="108"/>
      <c r="AB220" s="108" t="s">
        <v>176</v>
      </c>
      <c r="AC220" s="108" t="s">
        <v>176</v>
      </c>
      <c r="AD220" s="108" t="s">
        <v>176</v>
      </c>
      <c r="AE220" s="109"/>
      <c r="AF220" s="99"/>
      <c r="AG220" s="99"/>
    </row>
    <row r="221" spans="1:33" ht="14.4" x14ac:dyDescent="0.3">
      <c r="V221" s="112" t="s">
        <v>186</v>
      </c>
      <c r="W221" s="112"/>
      <c r="X221" s="112" t="s">
        <v>182</v>
      </c>
      <c r="Y221" s="112"/>
      <c r="Z221" s="112"/>
      <c r="AA221" s="112"/>
      <c r="AB221" s="112" t="s">
        <v>182</v>
      </c>
      <c r="AC221" s="112" t="s">
        <v>182</v>
      </c>
      <c r="AD221" s="112" t="s">
        <v>182</v>
      </c>
      <c r="AE221" s="113"/>
      <c r="AF221" s="101"/>
      <c r="AG221" s="101"/>
    </row>
    <row r="222" spans="1:33" ht="14.4" x14ac:dyDescent="0.3">
      <c r="V222" s="108" t="s">
        <v>176</v>
      </c>
      <c r="W222" s="108"/>
      <c r="X222" s="108" t="s">
        <v>176</v>
      </c>
      <c r="Y222" s="108"/>
      <c r="Z222" s="108"/>
      <c r="AA222" s="108"/>
      <c r="AB222" s="108" t="s">
        <v>176</v>
      </c>
      <c r="AC222" s="108" t="s">
        <v>176</v>
      </c>
      <c r="AD222" s="108" t="s">
        <v>176</v>
      </c>
      <c r="AE222" s="109"/>
      <c r="AF222" s="99"/>
      <c r="AG222" s="99"/>
    </row>
    <row r="223" spans="1:33" ht="14.4" x14ac:dyDescent="0.3">
      <c r="V223" s="112" t="s">
        <v>177</v>
      </c>
      <c r="W223" s="112"/>
      <c r="X223" s="112" t="s">
        <v>177</v>
      </c>
      <c r="Y223" s="112"/>
      <c r="Z223" s="112"/>
      <c r="AA223" s="112"/>
      <c r="AB223" s="112" t="s">
        <v>177</v>
      </c>
      <c r="AC223" s="112" t="s">
        <v>177</v>
      </c>
      <c r="AD223" s="112" t="s">
        <v>184</v>
      </c>
      <c r="AE223" s="113"/>
      <c r="AF223" s="101"/>
      <c r="AG223" s="101"/>
    </row>
    <row r="224" spans="1:33" ht="14.4" x14ac:dyDescent="0.3">
      <c r="V224" s="108" t="s">
        <v>176</v>
      </c>
      <c r="W224" s="108"/>
      <c r="X224" s="108" t="s">
        <v>176</v>
      </c>
      <c r="Y224" s="108"/>
      <c r="Z224" s="108"/>
      <c r="AA224" s="108"/>
      <c r="AB224" s="108" t="s">
        <v>176</v>
      </c>
      <c r="AC224" s="108" t="s">
        <v>176</v>
      </c>
      <c r="AD224" s="108" t="s">
        <v>176</v>
      </c>
      <c r="AE224" s="109"/>
      <c r="AF224" s="99"/>
      <c r="AG224" s="99"/>
    </row>
    <row r="225" spans="22:33" ht="14.4" x14ac:dyDescent="0.3">
      <c r="V225" s="112" t="s">
        <v>186</v>
      </c>
      <c r="W225" s="112"/>
      <c r="X225" s="112" t="s">
        <v>182</v>
      </c>
      <c r="Y225" s="112"/>
      <c r="Z225" s="112"/>
      <c r="AA225" s="112"/>
      <c r="AB225" s="112" t="s">
        <v>182</v>
      </c>
      <c r="AC225" s="112" t="s">
        <v>182</v>
      </c>
      <c r="AD225" s="112" t="s">
        <v>182</v>
      </c>
      <c r="AE225" s="113"/>
      <c r="AF225" s="101"/>
      <c r="AG225" s="101"/>
    </row>
    <row r="226" spans="22:33" ht="14.4" x14ac:dyDescent="0.3">
      <c r="V226" s="108" t="s">
        <v>176</v>
      </c>
      <c r="W226" s="108"/>
      <c r="X226" s="108" t="s">
        <v>176</v>
      </c>
      <c r="Y226" s="108"/>
      <c r="Z226" s="108"/>
      <c r="AA226" s="108"/>
      <c r="AB226" s="108" t="s">
        <v>176</v>
      </c>
      <c r="AC226" s="108" t="s">
        <v>176</v>
      </c>
      <c r="AD226" s="108" t="s">
        <v>176</v>
      </c>
      <c r="AE226" s="109"/>
      <c r="AF226" s="99"/>
      <c r="AG226" s="99"/>
    </row>
    <row r="227" spans="22:33" x14ac:dyDescent="0.25">
      <c r="V227" s="110"/>
      <c r="W227" s="110"/>
      <c r="X227" s="110"/>
      <c r="Y227" s="110"/>
      <c r="Z227" s="110"/>
      <c r="AA227" s="110"/>
      <c r="AB227" s="110"/>
      <c r="AC227" s="110"/>
      <c r="AD227" s="110"/>
      <c r="AE227" s="111"/>
      <c r="AF227" s="100"/>
      <c r="AG227" s="100"/>
    </row>
    <row r="228" spans="22:33" x14ac:dyDescent="0.25">
      <c r="V228" s="110"/>
      <c r="W228" s="110"/>
      <c r="X228" s="110"/>
      <c r="Y228" s="110"/>
      <c r="Z228" s="110"/>
      <c r="AA228" s="110"/>
      <c r="AB228" s="110"/>
      <c r="AC228" s="110"/>
      <c r="AD228" s="110"/>
      <c r="AE228" s="111"/>
      <c r="AF228" s="100"/>
      <c r="AG228" s="100"/>
    </row>
    <row r="229" spans="22:33" ht="14.4" x14ac:dyDescent="0.3">
      <c r="V229" s="112" t="s">
        <v>177</v>
      </c>
      <c r="W229" s="112"/>
      <c r="X229" s="112" t="s">
        <v>177</v>
      </c>
      <c r="Y229" s="112"/>
      <c r="Z229" s="112"/>
      <c r="AA229" s="112"/>
      <c r="AB229" s="112" t="s">
        <v>178</v>
      </c>
      <c r="AC229" s="112" t="s">
        <v>184</v>
      </c>
      <c r="AD229" s="112" t="s">
        <v>185</v>
      </c>
      <c r="AE229" s="113"/>
      <c r="AF229" s="101"/>
      <c r="AG229" s="101"/>
    </row>
    <row r="230" spans="22:33" x14ac:dyDescent="0.25">
      <c r="V230" s="110"/>
      <c r="W230" s="110"/>
      <c r="X230" s="110"/>
      <c r="Y230" s="110"/>
      <c r="Z230" s="110"/>
      <c r="AA230" s="110"/>
      <c r="AB230" s="110"/>
      <c r="AC230" s="110"/>
      <c r="AD230" s="110"/>
      <c r="AE230" s="111"/>
      <c r="AF230" s="100"/>
      <c r="AG230" s="100"/>
    </row>
    <row r="231" spans="22:33" x14ac:dyDescent="0.25">
      <c r="V231" s="110"/>
      <c r="W231" s="110"/>
      <c r="X231" s="110"/>
      <c r="Y231" s="110"/>
      <c r="Z231" s="110"/>
      <c r="AA231" s="110"/>
      <c r="AB231" s="110"/>
      <c r="AC231" s="110"/>
      <c r="AD231" s="110"/>
      <c r="AE231" s="111"/>
      <c r="AF231" s="100"/>
      <c r="AG231" s="100"/>
    </row>
    <row r="232" spans="22:33" ht="14.4" x14ac:dyDescent="0.3">
      <c r="V232" s="108" t="s">
        <v>176</v>
      </c>
      <c r="W232" s="108"/>
      <c r="X232" s="108" t="s">
        <v>176</v>
      </c>
      <c r="Y232" s="108"/>
      <c r="Z232" s="108"/>
      <c r="AA232" s="108"/>
      <c r="AB232" s="108" t="s">
        <v>176</v>
      </c>
      <c r="AC232" s="108" t="s">
        <v>176</v>
      </c>
      <c r="AD232" s="108" t="s">
        <v>176</v>
      </c>
      <c r="AE232" s="109"/>
      <c r="AF232" s="99"/>
      <c r="AG232" s="99"/>
    </row>
    <row r="233" spans="22:33" x14ac:dyDescent="0.25">
      <c r="V233" s="97"/>
      <c r="W233" s="97"/>
      <c r="X233" s="97"/>
      <c r="Y233" s="97"/>
      <c r="Z233" s="97"/>
      <c r="AA233" s="97"/>
      <c r="AB233" s="97"/>
      <c r="AC233" s="97"/>
      <c r="AD233" s="97"/>
      <c r="AE233" s="98"/>
      <c r="AF233" s="96"/>
      <c r="AG233" s="96"/>
    </row>
    <row r="234" spans="22:33" x14ac:dyDescent="0.25">
      <c r="V234" s="104"/>
      <c r="W234" s="104"/>
      <c r="X234" s="104"/>
      <c r="Y234" s="104"/>
      <c r="Z234" s="104"/>
      <c r="AA234" s="104"/>
      <c r="AB234" s="104"/>
      <c r="AC234" s="104"/>
      <c r="AD234" s="104"/>
      <c r="AE234" s="95"/>
      <c r="AF234" s="9"/>
      <c r="AG234" s="9"/>
    </row>
    <row r="237" spans="22:33" x14ac:dyDescent="0.25">
      <c r="V237" s="106">
        <v>1.2</v>
      </c>
      <c r="W237" s="106"/>
      <c r="X237" s="106">
        <v>1.5</v>
      </c>
      <c r="Y237" s="106"/>
      <c r="Z237" s="106"/>
      <c r="AA237" s="106"/>
      <c r="AB237" s="106">
        <v>1.6</v>
      </c>
      <c r="AC237" s="106">
        <v>1.8</v>
      </c>
      <c r="AD237" s="106">
        <v>2</v>
      </c>
      <c r="AE237" s="87"/>
      <c r="AF237" s="105"/>
      <c r="AG237" s="105"/>
    </row>
    <row r="238" spans="22:33" x14ac:dyDescent="0.25">
      <c r="V238" s="94"/>
      <c r="W238" s="94"/>
      <c r="X238" s="94"/>
      <c r="Y238" s="94"/>
      <c r="Z238" s="94"/>
      <c r="AA238" s="94"/>
      <c r="AB238" s="94"/>
      <c r="AC238" s="94"/>
      <c r="AD238" s="94"/>
      <c r="AE238" s="95"/>
      <c r="AF238" s="9"/>
      <c r="AG238" s="9"/>
    </row>
    <row r="239" spans="22:33" x14ac:dyDescent="0.25">
      <c r="V239" s="97"/>
      <c r="W239" s="97"/>
      <c r="X239" s="97"/>
      <c r="Y239" s="97"/>
      <c r="Z239" s="97"/>
      <c r="AA239" s="97"/>
      <c r="AB239" s="97"/>
      <c r="AC239" s="97"/>
      <c r="AD239" s="97"/>
      <c r="AE239" s="98"/>
      <c r="AF239" s="96"/>
      <c r="AG239" s="96"/>
    </row>
    <row r="240" spans="22:33" ht="14.4" x14ac:dyDescent="0.3">
      <c r="V240" s="108" t="s">
        <v>175</v>
      </c>
      <c r="W240" s="108"/>
      <c r="X240" s="108" t="s">
        <v>175</v>
      </c>
      <c r="Y240" s="108"/>
      <c r="Z240" s="108"/>
      <c r="AA240" s="108"/>
      <c r="AB240" s="108" t="s">
        <v>175</v>
      </c>
      <c r="AC240" s="108" t="s">
        <v>175</v>
      </c>
      <c r="AD240" s="108" t="s">
        <v>175</v>
      </c>
      <c r="AE240" s="109"/>
      <c r="AF240" s="99"/>
      <c r="AG240" s="99"/>
    </row>
    <row r="241" spans="22:33" x14ac:dyDescent="0.25">
      <c r="V241" s="110"/>
      <c r="W241" s="110"/>
      <c r="X241" s="110"/>
      <c r="Y241" s="110"/>
      <c r="Z241" s="110"/>
      <c r="AA241" s="110"/>
      <c r="AB241" s="110"/>
      <c r="AC241" s="110"/>
      <c r="AD241" s="110"/>
      <c r="AE241" s="111"/>
      <c r="AF241" s="100"/>
      <c r="AG241" s="100"/>
    </row>
    <row r="242" spans="22:33" x14ac:dyDescent="0.25">
      <c r="V242" s="110"/>
      <c r="W242" s="110"/>
      <c r="X242" s="110"/>
      <c r="Y242" s="110"/>
      <c r="Z242" s="110"/>
      <c r="AA242" s="110"/>
      <c r="AB242" s="110"/>
      <c r="AC242" s="110"/>
      <c r="AD242" s="110"/>
      <c r="AE242" s="111"/>
      <c r="AF242" s="100"/>
      <c r="AG242" s="100"/>
    </row>
    <row r="243" spans="22:33" ht="14.4" x14ac:dyDescent="0.3">
      <c r="V243" s="112" t="s">
        <v>177</v>
      </c>
      <c r="W243" s="112"/>
      <c r="X243" s="112" t="s">
        <v>184</v>
      </c>
      <c r="Y243" s="112"/>
      <c r="Z243" s="112"/>
      <c r="AA243" s="112"/>
      <c r="AB243" s="112" t="s">
        <v>177</v>
      </c>
      <c r="AC243" s="112" t="s">
        <v>178</v>
      </c>
      <c r="AD243" s="112" t="s">
        <v>184</v>
      </c>
      <c r="AE243" s="113"/>
      <c r="AF243" s="101"/>
      <c r="AG243" s="101"/>
    </row>
    <row r="244" spans="22:33" x14ac:dyDescent="0.25">
      <c r="V244" s="110"/>
      <c r="W244" s="110"/>
      <c r="X244" s="110"/>
      <c r="Y244" s="110"/>
      <c r="Z244" s="110"/>
      <c r="AA244" s="110"/>
      <c r="AB244" s="110"/>
      <c r="AC244" s="110"/>
      <c r="AD244" s="110"/>
      <c r="AE244" s="111"/>
      <c r="AF244" s="100"/>
      <c r="AG244" s="100"/>
    </row>
    <row r="245" spans="22:33" x14ac:dyDescent="0.25">
      <c r="V245" s="110"/>
      <c r="W245" s="110"/>
      <c r="X245" s="110"/>
      <c r="Y245" s="110"/>
      <c r="Z245" s="110"/>
      <c r="AA245" s="110"/>
      <c r="AB245" s="110"/>
      <c r="AC245" s="110"/>
      <c r="AD245" s="110"/>
      <c r="AE245" s="111"/>
      <c r="AF245" s="100"/>
      <c r="AG245" s="100"/>
    </row>
    <row r="246" spans="22:33" ht="14.4" x14ac:dyDescent="0.3">
      <c r="V246" s="108" t="s">
        <v>175</v>
      </c>
      <c r="W246" s="108"/>
      <c r="X246" s="108" t="s">
        <v>175</v>
      </c>
      <c r="Y246" s="108"/>
      <c r="Z246" s="108"/>
      <c r="AA246" s="108"/>
      <c r="AB246" s="108" t="s">
        <v>175</v>
      </c>
      <c r="AC246" s="108" t="s">
        <v>175</v>
      </c>
      <c r="AD246" s="108" t="s">
        <v>175</v>
      </c>
      <c r="AE246" s="109"/>
      <c r="AF246" s="99"/>
      <c r="AG246" s="99"/>
    </row>
    <row r="247" spans="22:33" ht="14.4" x14ac:dyDescent="0.3">
      <c r="V247" s="112" t="s">
        <v>186</v>
      </c>
      <c r="W247" s="112"/>
      <c r="X247" s="112" t="s">
        <v>186</v>
      </c>
      <c r="Y247" s="112"/>
      <c r="Z247" s="112"/>
      <c r="AA247" s="112"/>
      <c r="AB247" s="112" t="s">
        <v>182</v>
      </c>
      <c r="AC247" s="112" t="s">
        <v>182</v>
      </c>
      <c r="AD247" s="112" t="s">
        <v>182</v>
      </c>
      <c r="AE247" s="113"/>
      <c r="AF247" s="101"/>
      <c r="AG247" s="101"/>
    </row>
    <row r="248" spans="22:33" ht="14.4" x14ac:dyDescent="0.3">
      <c r="V248" s="108" t="s">
        <v>175</v>
      </c>
      <c r="W248" s="108"/>
      <c r="X248" s="108" t="s">
        <v>175</v>
      </c>
      <c r="Y248" s="108"/>
      <c r="Z248" s="108"/>
      <c r="AA248" s="108"/>
      <c r="AB248" s="108" t="s">
        <v>175</v>
      </c>
      <c r="AC248" s="108" t="s">
        <v>175</v>
      </c>
      <c r="AD248" s="108" t="s">
        <v>175</v>
      </c>
      <c r="AE248" s="109"/>
      <c r="AF248" s="99"/>
      <c r="AG248" s="99"/>
    </row>
    <row r="249" spans="22:33" ht="14.4" x14ac:dyDescent="0.3">
      <c r="V249" s="112" t="s">
        <v>177</v>
      </c>
      <c r="W249" s="112"/>
      <c r="X249" s="112" t="s">
        <v>177</v>
      </c>
      <c r="Y249" s="112"/>
      <c r="Z249" s="112"/>
      <c r="AA249" s="112"/>
      <c r="AB249" s="112" t="s">
        <v>177</v>
      </c>
      <c r="AC249" s="112" t="s">
        <v>178</v>
      </c>
      <c r="AD249" s="112" t="s">
        <v>184</v>
      </c>
      <c r="AE249" s="113"/>
      <c r="AF249" s="101"/>
      <c r="AG249" s="101"/>
    </row>
    <row r="250" spans="22:33" ht="14.4" x14ac:dyDescent="0.3">
      <c r="V250" s="108" t="s">
        <v>175</v>
      </c>
      <c r="W250" s="108"/>
      <c r="X250" s="108" t="s">
        <v>175</v>
      </c>
      <c r="Y250" s="108"/>
      <c r="Z250" s="108"/>
      <c r="AA250" s="108"/>
      <c r="AB250" s="108" t="s">
        <v>175</v>
      </c>
      <c r="AC250" s="108" t="s">
        <v>175</v>
      </c>
      <c r="AD250" s="108" t="s">
        <v>175</v>
      </c>
      <c r="AE250" s="109"/>
      <c r="AF250" s="99"/>
      <c r="AG250" s="99"/>
    </row>
    <row r="251" spans="22:33" ht="14.4" x14ac:dyDescent="0.3">
      <c r="V251" s="112" t="s">
        <v>186</v>
      </c>
      <c r="W251" s="112"/>
      <c r="X251" s="112" t="s">
        <v>186</v>
      </c>
      <c r="Y251" s="112"/>
      <c r="Z251" s="112"/>
      <c r="AA251" s="112"/>
      <c r="AB251" s="112" t="s">
        <v>182</v>
      </c>
      <c r="AC251" s="112" t="s">
        <v>182</v>
      </c>
      <c r="AD251" s="112" t="s">
        <v>182</v>
      </c>
      <c r="AE251" s="113"/>
      <c r="AF251" s="101"/>
      <c r="AG251" s="101"/>
    </row>
    <row r="252" spans="22:33" ht="14.4" x14ac:dyDescent="0.3">
      <c r="V252" s="108" t="s">
        <v>175</v>
      </c>
      <c r="W252" s="108"/>
      <c r="X252" s="108" t="s">
        <v>175</v>
      </c>
      <c r="Y252" s="108"/>
      <c r="Z252" s="108"/>
      <c r="AA252" s="108"/>
      <c r="AB252" s="108" t="s">
        <v>175</v>
      </c>
      <c r="AC252" s="108" t="s">
        <v>175</v>
      </c>
      <c r="AD252" s="108" t="s">
        <v>175</v>
      </c>
      <c r="AE252" s="109"/>
      <c r="AF252" s="99"/>
      <c r="AG252" s="99"/>
    </row>
    <row r="253" spans="22:33" x14ac:dyDescent="0.25">
      <c r="V253" s="110"/>
      <c r="W253" s="110"/>
      <c r="X253" s="110"/>
      <c r="Y253" s="110"/>
      <c r="Z253" s="110"/>
      <c r="AA253" s="110"/>
      <c r="AB253" s="110"/>
      <c r="AC253" s="110"/>
      <c r="AD253" s="110"/>
      <c r="AE253" s="111"/>
      <c r="AF253" s="100"/>
      <c r="AG253" s="100"/>
    </row>
    <row r="254" spans="22:33" x14ac:dyDescent="0.25">
      <c r="V254" s="110"/>
      <c r="W254" s="110"/>
      <c r="X254" s="110"/>
      <c r="Y254" s="110"/>
      <c r="Z254" s="110"/>
      <c r="AA254" s="110"/>
      <c r="AB254" s="110"/>
      <c r="AC254" s="110"/>
      <c r="AD254" s="110"/>
      <c r="AE254" s="111"/>
      <c r="AF254" s="100"/>
      <c r="AG254" s="100"/>
    </row>
    <row r="255" spans="22:33" ht="14.4" x14ac:dyDescent="0.3">
      <c r="V255" s="112" t="s">
        <v>177</v>
      </c>
      <c r="W255" s="112"/>
      <c r="X255" s="112" t="s">
        <v>184</v>
      </c>
      <c r="Y255" s="112"/>
      <c r="Z255" s="112"/>
      <c r="AA255" s="112"/>
      <c r="AB255" s="112" t="s">
        <v>177</v>
      </c>
      <c r="AC255" s="112" t="s">
        <v>178</v>
      </c>
      <c r="AD255" s="112" t="s">
        <v>184</v>
      </c>
      <c r="AE255" s="113"/>
      <c r="AF255" s="101"/>
      <c r="AG255" s="101"/>
    </row>
    <row r="256" spans="22:33" x14ac:dyDescent="0.25">
      <c r="V256" s="110"/>
      <c r="W256" s="110"/>
      <c r="X256" s="110"/>
      <c r="Y256" s="110"/>
      <c r="Z256" s="110"/>
      <c r="AA256" s="110"/>
      <c r="AB256" s="110"/>
      <c r="AC256" s="110"/>
      <c r="AD256" s="110"/>
      <c r="AE256" s="111"/>
      <c r="AF256" s="100"/>
      <c r="AG256" s="100"/>
    </row>
    <row r="257" spans="1:33" x14ac:dyDescent="0.25">
      <c r="V257" s="110"/>
      <c r="W257" s="110"/>
      <c r="X257" s="110"/>
      <c r="Y257" s="110"/>
      <c r="Z257" s="110"/>
      <c r="AA257" s="110"/>
      <c r="AB257" s="110"/>
      <c r="AC257" s="110"/>
      <c r="AD257" s="110"/>
      <c r="AE257" s="111"/>
      <c r="AF257" s="100"/>
      <c r="AG257" s="100"/>
    </row>
    <row r="258" spans="1:33" ht="14.4" x14ac:dyDescent="0.3">
      <c r="V258" s="108" t="s">
        <v>175</v>
      </c>
      <c r="W258" s="108"/>
      <c r="X258" s="108" t="s">
        <v>175</v>
      </c>
      <c r="Y258" s="108"/>
      <c r="Z258" s="108"/>
      <c r="AA258" s="108"/>
      <c r="AB258" s="108" t="s">
        <v>175</v>
      </c>
      <c r="AC258" s="108" t="s">
        <v>175</v>
      </c>
      <c r="AD258" s="108" t="s">
        <v>175</v>
      </c>
      <c r="AE258" s="109"/>
      <c r="AF258" s="99"/>
      <c r="AG258" s="99"/>
    </row>
    <row r="259" spans="1:33" x14ac:dyDescent="0.25">
      <c r="V259" s="97"/>
      <c r="W259" s="97"/>
      <c r="X259" s="97"/>
      <c r="Y259" s="97"/>
      <c r="Z259" s="97"/>
      <c r="AA259" s="97"/>
      <c r="AB259" s="97"/>
      <c r="AC259" s="97"/>
      <c r="AD259" s="97"/>
      <c r="AE259" s="98"/>
      <c r="AF259" s="96"/>
      <c r="AG259" s="96"/>
    </row>
    <row r="260" spans="1:33" x14ac:dyDescent="0.25">
      <c r="V260" s="104"/>
      <c r="W260" s="104"/>
      <c r="X260" s="104"/>
      <c r="Y260" s="104"/>
      <c r="Z260" s="104"/>
      <c r="AA260" s="104"/>
      <c r="AB260" s="104"/>
      <c r="AC260" s="104"/>
      <c r="AD260" s="104"/>
      <c r="AE260" s="95"/>
      <c r="AF260" s="9"/>
      <c r="AG260" s="9"/>
    </row>
    <row r="263" spans="1:33" x14ac:dyDescent="0.25">
      <c r="A263">
        <v>8</v>
      </c>
      <c r="X263" s="106" t="s">
        <v>187</v>
      </c>
      <c r="Y263" s="106"/>
      <c r="Z263" s="106"/>
      <c r="AA263" s="106"/>
      <c r="AB263" s="106" t="s">
        <v>188</v>
      </c>
      <c r="AC263" s="106" t="s">
        <v>189</v>
      </c>
      <c r="AD263" s="106" t="s">
        <v>190</v>
      </c>
      <c r="AE263" s="87"/>
      <c r="AF263" s="105"/>
      <c r="AG263" s="105"/>
    </row>
    <row r="264" spans="1:33" x14ac:dyDescent="0.25">
      <c r="X264" s="94"/>
      <c r="Y264" s="94"/>
      <c r="Z264" s="94"/>
      <c r="AA264" s="94"/>
      <c r="AB264" s="94"/>
      <c r="AC264" s="94"/>
      <c r="AD264" s="94"/>
      <c r="AE264" s="95"/>
      <c r="AF264" s="9"/>
      <c r="AG264" s="9"/>
    </row>
    <row r="265" spans="1:33" x14ac:dyDescent="0.25">
      <c r="X265" s="97"/>
      <c r="Y265" s="97"/>
      <c r="Z265" s="97"/>
      <c r="AA265" s="97"/>
      <c r="AB265" s="97"/>
      <c r="AC265" s="97"/>
      <c r="AD265" s="97"/>
      <c r="AE265" s="98"/>
      <c r="AF265" s="96"/>
      <c r="AG265" s="96"/>
    </row>
    <row r="266" spans="1:33" ht="14.4" x14ac:dyDescent="0.3">
      <c r="X266" s="108" t="s">
        <v>176</v>
      </c>
      <c r="Y266" s="108"/>
      <c r="Z266" s="108"/>
      <c r="AA266" s="108"/>
      <c r="AB266" s="108" t="s">
        <v>176</v>
      </c>
      <c r="AC266" s="108" t="s">
        <v>176</v>
      </c>
      <c r="AD266" s="108" t="s">
        <v>176</v>
      </c>
      <c r="AE266" s="109"/>
      <c r="AF266" s="99"/>
      <c r="AG266" s="99"/>
    </row>
    <row r="267" spans="1:33" x14ac:dyDescent="0.25">
      <c r="X267" s="110"/>
      <c r="Y267" s="110"/>
      <c r="Z267" s="110"/>
      <c r="AA267" s="110"/>
      <c r="AB267" s="110"/>
      <c r="AC267" s="110"/>
      <c r="AD267" s="110"/>
      <c r="AE267" s="111"/>
      <c r="AF267" s="100"/>
      <c r="AG267" s="100"/>
    </row>
    <row r="268" spans="1:33" x14ac:dyDescent="0.25">
      <c r="X268" s="110"/>
      <c r="Y268" s="110"/>
      <c r="Z268" s="110"/>
      <c r="AA268" s="110"/>
      <c r="AB268" s="110"/>
      <c r="AC268" s="110"/>
      <c r="AD268" s="110"/>
      <c r="AE268" s="111"/>
      <c r="AF268" s="100"/>
      <c r="AG268" s="100"/>
    </row>
    <row r="269" spans="1:33" ht="14.4" x14ac:dyDescent="0.3">
      <c r="X269" s="112" t="s">
        <v>177</v>
      </c>
      <c r="Y269" s="112"/>
      <c r="Z269" s="112"/>
      <c r="AA269" s="112"/>
      <c r="AB269" s="112" t="s">
        <v>177</v>
      </c>
      <c r="AC269" s="112" t="s">
        <v>178</v>
      </c>
      <c r="AD269" s="112" t="s">
        <v>184</v>
      </c>
      <c r="AE269" s="113"/>
      <c r="AF269" s="101"/>
      <c r="AG269" s="101"/>
    </row>
    <row r="270" spans="1:33" ht="14.4" x14ac:dyDescent="0.3">
      <c r="X270" s="108" t="s">
        <v>176</v>
      </c>
      <c r="Y270" s="108"/>
      <c r="Z270" s="108"/>
      <c r="AA270" s="108"/>
      <c r="AB270" s="108" t="s">
        <v>176</v>
      </c>
      <c r="AC270" s="108" t="s">
        <v>176</v>
      </c>
      <c r="AD270" s="108" t="s">
        <v>176</v>
      </c>
      <c r="AE270" s="109"/>
      <c r="AF270" s="99"/>
      <c r="AG270" s="99"/>
    </row>
    <row r="271" spans="1:33" ht="14.4" x14ac:dyDescent="0.3">
      <c r="X271" s="112" t="s">
        <v>191</v>
      </c>
      <c r="Y271" s="112"/>
      <c r="Z271" s="112"/>
      <c r="AA271" s="112"/>
      <c r="AB271" s="112" t="s">
        <v>186</v>
      </c>
      <c r="AC271" s="112" t="s">
        <v>186</v>
      </c>
      <c r="AD271" s="112" t="s">
        <v>186</v>
      </c>
      <c r="AE271" s="113"/>
      <c r="AF271" s="101"/>
      <c r="AG271" s="101"/>
    </row>
    <row r="272" spans="1:33" ht="14.4" x14ac:dyDescent="0.3">
      <c r="X272" s="108" t="s">
        <v>176</v>
      </c>
      <c r="Y272" s="108"/>
      <c r="Z272" s="108"/>
      <c r="AA272" s="108"/>
      <c r="AB272" s="108" t="s">
        <v>176</v>
      </c>
      <c r="AC272" s="108" t="s">
        <v>176</v>
      </c>
      <c r="AD272" s="108" t="s">
        <v>176</v>
      </c>
      <c r="AE272" s="109"/>
      <c r="AF272" s="99"/>
      <c r="AG272" s="99"/>
    </row>
    <row r="273" spans="24:33" ht="14.4" x14ac:dyDescent="0.3">
      <c r="X273" s="112" t="s">
        <v>177</v>
      </c>
      <c r="Y273" s="112"/>
      <c r="Z273" s="112"/>
      <c r="AA273" s="112"/>
      <c r="AB273" s="112" t="s">
        <v>177</v>
      </c>
      <c r="AC273" s="112" t="s">
        <v>178</v>
      </c>
      <c r="AD273" s="112" t="s">
        <v>184</v>
      </c>
      <c r="AE273" s="113"/>
      <c r="AF273" s="101"/>
      <c r="AG273" s="101"/>
    </row>
    <row r="274" spans="24:33" ht="14.4" x14ac:dyDescent="0.3">
      <c r="X274" s="108" t="s">
        <v>176</v>
      </c>
      <c r="Y274" s="108"/>
      <c r="Z274" s="108"/>
      <c r="AA274" s="108"/>
      <c r="AB274" s="108" t="s">
        <v>176</v>
      </c>
      <c r="AC274" s="108" t="s">
        <v>176</v>
      </c>
      <c r="AD274" s="108" t="s">
        <v>176</v>
      </c>
      <c r="AE274" s="109"/>
      <c r="AF274" s="99"/>
      <c r="AG274" s="99"/>
    </row>
    <row r="275" spans="24:33" ht="14.4" x14ac:dyDescent="0.3">
      <c r="X275" s="112" t="s">
        <v>191</v>
      </c>
      <c r="Y275" s="112"/>
      <c r="Z275" s="112"/>
      <c r="AA275" s="112"/>
      <c r="AB275" s="112" t="s">
        <v>186</v>
      </c>
      <c r="AC275" s="112" t="s">
        <v>186</v>
      </c>
      <c r="AD275" s="112" t="s">
        <v>186</v>
      </c>
      <c r="AE275" s="113"/>
      <c r="AF275" s="101"/>
      <c r="AG275" s="101"/>
    </row>
    <row r="276" spans="24:33" ht="14.4" x14ac:dyDescent="0.3">
      <c r="X276" s="108" t="s">
        <v>176</v>
      </c>
      <c r="Y276" s="108"/>
      <c r="Z276" s="108"/>
      <c r="AA276" s="108"/>
      <c r="AB276" s="108" t="s">
        <v>176</v>
      </c>
      <c r="AC276" s="108" t="s">
        <v>176</v>
      </c>
      <c r="AD276" s="108" t="s">
        <v>176</v>
      </c>
      <c r="AE276" s="109"/>
      <c r="AF276" s="99"/>
      <c r="AG276" s="99"/>
    </row>
    <row r="277" spans="24:33" ht="14.4" x14ac:dyDescent="0.3">
      <c r="X277" s="112" t="s">
        <v>177</v>
      </c>
      <c r="Y277" s="112"/>
      <c r="Z277" s="112"/>
      <c r="AA277" s="112"/>
      <c r="AB277" s="112" t="s">
        <v>177</v>
      </c>
      <c r="AC277" s="112" t="s">
        <v>178</v>
      </c>
      <c r="AD277" s="112" t="s">
        <v>184</v>
      </c>
      <c r="AE277" s="113"/>
      <c r="AF277" s="101"/>
      <c r="AG277" s="101"/>
    </row>
    <row r="278" spans="24:33" ht="14.4" x14ac:dyDescent="0.3">
      <c r="X278" s="108" t="s">
        <v>176</v>
      </c>
      <c r="Y278" s="108"/>
      <c r="Z278" s="108"/>
      <c r="AA278" s="108"/>
      <c r="AB278" s="108" t="s">
        <v>176</v>
      </c>
      <c r="AC278" s="108" t="s">
        <v>176</v>
      </c>
      <c r="AD278" s="108" t="s">
        <v>176</v>
      </c>
      <c r="AE278" s="109"/>
      <c r="AF278" s="99"/>
      <c r="AG278" s="99"/>
    </row>
    <row r="279" spans="24:33" ht="14.4" x14ac:dyDescent="0.3">
      <c r="X279" s="112" t="s">
        <v>191</v>
      </c>
      <c r="Y279" s="112"/>
      <c r="Z279" s="112"/>
      <c r="AA279" s="112"/>
      <c r="AB279" s="112" t="s">
        <v>186</v>
      </c>
      <c r="AC279" s="112" t="s">
        <v>186</v>
      </c>
      <c r="AD279" s="112" t="s">
        <v>186</v>
      </c>
      <c r="AE279" s="113"/>
      <c r="AF279" s="101"/>
      <c r="AG279" s="101"/>
    </row>
    <row r="280" spans="24:33" ht="14.4" x14ac:dyDescent="0.3">
      <c r="X280" s="108" t="s">
        <v>176</v>
      </c>
      <c r="Y280" s="108"/>
      <c r="Z280" s="108"/>
      <c r="AA280" s="108"/>
      <c r="AB280" s="108" t="s">
        <v>176</v>
      </c>
      <c r="AC280" s="108" t="s">
        <v>176</v>
      </c>
      <c r="AD280" s="108" t="s">
        <v>176</v>
      </c>
      <c r="AE280" s="109"/>
      <c r="AF280" s="99"/>
      <c r="AG280" s="99"/>
    </row>
    <row r="281" spans="24:33" ht="14.4" x14ac:dyDescent="0.3">
      <c r="X281" s="112" t="s">
        <v>177</v>
      </c>
      <c r="Y281" s="112"/>
      <c r="Z281" s="112"/>
      <c r="AA281" s="112"/>
      <c r="AB281" s="112" t="s">
        <v>177</v>
      </c>
      <c r="AC281" s="112" t="s">
        <v>178</v>
      </c>
      <c r="AD281" s="112" t="s">
        <v>184</v>
      </c>
      <c r="AE281" s="113"/>
      <c r="AF281" s="101"/>
      <c r="AG281" s="101"/>
    </row>
    <row r="282" spans="24:33" x14ac:dyDescent="0.25">
      <c r="X282" s="110"/>
      <c r="Y282" s="110"/>
      <c r="Z282" s="110"/>
      <c r="AA282" s="110"/>
      <c r="AB282" s="110"/>
      <c r="AC282" s="110"/>
      <c r="AD282" s="110"/>
      <c r="AE282" s="111"/>
      <c r="AF282" s="100"/>
      <c r="AG282" s="100"/>
    </row>
    <row r="283" spans="24:33" x14ac:dyDescent="0.25">
      <c r="X283" s="110"/>
      <c r="Y283" s="110"/>
      <c r="Z283" s="110"/>
      <c r="AA283" s="110"/>
      <c r="AB283" s="110"/>
      <c r="AC283" s="110"/>
      <c r="AD283" s="110"/>
      <c r="AE283" s="111"/>
      <c r="AF283" s="100"/>
      <c r="AG283" s="100"/>
    </row>
    <row r="284" spans="24:33" ht="14.4" x14ac:dyDescent="0.3">
      <c r="X284" s="108" t="s">
        <v>176</v>
      </c>
      <c r="Y284" s="108"/>
      <c r="Z284" s="108"/>
      <c r="AA284" s="108"/>
      <c r="AB284" s="108" t="s">
        <v>176</v>
      </c>
      <c r="AC284" s="108" t="s">
        <v>176</v>
      </c>
      <c r="AD284" s="108" t="s">
        <v>176</v>
      </c>
      <c r="AE284" s="109"/>
      <c r="AF284" s="99"/>
      <c r="AG284" s="99"/>
    </row>
    <row r="285" spans="24:33" x14ac:dyDescent="0.25">
      <c r="X285" s="97"/>
      <c r="Y285" s="97"/>
      <c r="Z285" s="97"/>
      <c r="AA285" s="97"/>
      <c r="AB285" s="97"/>
      <c r="AC285" s="97"/>
      <c r="AD285" s="97"/>
      <c r="AE285" s="98"/>
      <c r="AF285" s="96"/>
      <c r="AG285" s="96"/>
    </row>
    <row r="286" spans="24:33" x14ac:dyDescent="0.25">
      <c r="X286" s="104"/>
      <c r="Y286" s="104"/>
      <c r="Z286" s="104"/>
      <c r="AA286" s="104"/>
      <c r="AB286" s="104"/>
      <c r="AC286" s="104"/>
      <c r="AD286" s="104"/>
      <c r="AE286" s="95"/>
      <c r="AF286" s="9"/>
      <c r="AG286" s="9"/>
    </row>
    <row r="289" spans="24:33" x14ac:dyDescent="0.25">
      <c r="X289" s="106" t="s">
        <v>192</v>
      </c>
      <c r="Y289" s="105"/>
      <c r="Z289" s="105"/>
      <c r="AA289" s="105"/>
      <c r="AC289" s="106" t="s">
        <v>189</v>
      </c>
      <c r="AD289" s="106" t="s">
        <v>190</v>
      </c>
      <c r="AE289" s="87"/>
      <c r="AF289" s="105"/>
      <c r="AG289" s="105"/>
    </row>
    <row r="290" spans="24:33" x14ac:dyDescent="0.25">
      <c r="X290" s="94"/>
      <c r="Y290" s="9"/>
      <c r="Z290" s="9"/>
      <c r="AA290" s="9"/>
      <c r="AC290" s="94"/>
      <c r="AD290" s="94"/>
      <c r="AE290" s="95"/>
      <c r="AF290" s="9"/>
      <c r="AG290" s="9"/>
    </row>
    <row r="291" spans="24:33" x14ac:dyDescent="0.25">
      <c r="X291" s="97"/>
      <c r="Y291" s="96"/>
      <c r="Z291" s="96"/>
      <c r="AA291" s="96"/>
      <c r="AC291" s="97"/>
      <c r="AD291" s="97"/>
      <c r="AE291" s="98"/>
      <c r="AF291" s="96"/>
      <c r="AG291" s="96"/>
    </row>
    <row r="292" spans="24:33" ht="14.4" x14ac:dyDescent="0.3">
      <c r="X292" s="108" t="s">
        <v>175</v>
      </c>
      <c r="Y292" s="99"/>
      <c r="Z292" s="99"/>
      <c r="AA292" s="99"/>
      <c r="AC292" s="108" t="s">
        <v>175</v>
      </c>
      <c r="AD292" s="108" t="s">
        <v>175</v>
      </c>
      <c r="AE292" s="109"/>
      <c r="AF292" s="99"/>
      <c r="AG292" s="99"/>
    </row>
    <row r="293" spans="24:33" x14ac:dyDescent="0.25">
      <c r="X293" s="110"/>
      <c r="Y293" s="100"/>
      <c r="Z293" s="100"/>
      <c r="AA293" s="100"/>
      <c r="AC293" s="110"/>
      <c r="AD293" s="110"/>
      <c r="AE293" s="111"/>
      <c r="AF293" s="100"/>
      <c r="AG293" s="100"/>
    </row>
    <row r="294" spans="24:33" x14ac:dyDescent="0.25">
      <c r="X294" s="110"/>
      <c r="Y294" s="100"/>
      <c r="Z294" s="100"/>
      <c r="AA294" s="100"/>
      <c r="AC294" s="110"/>
      <c r="AD294" s="110"/>
      <c r="AE294" s="111"/>
      <c r="AF294" s="100"/>
      <c r="AG294" s="100"/>
    </row>
    <row r="295" spans="24:33" ht="14.4" x14ac:dyDescent="0.3">
      <c r="X295" s="112" t="s">
        <v>177</v>
      </c>
      <c r="Y295" s="101"/>
      <c r="Z295" s="101"/>
      <c r="AA295" s="101"/>
      <c r="AC295" s="112" t="s">
        <v>178</v>
      </c>
      <c r="AD295" s="112" t="s">
        <v>184</v>
      </c>
      <c r="AE295" s="113"/>
      <c r="AF295" s="101"/>
      <c r="AG295" s="101"/>
    </row>
    <row r="296" spans="24:33" ht="14.4" x14ac:dyDescent="0.3">
      <c r="X296" s="108" t="s">
        <v>175</v>
      </c>
      <c r="Y296" s="99"/>
      <c r="Z296" s="99"/>
      <c r="AA296" s="99"/>
      <c r="AC296" s="108" t="s">
        <v>175</v>
      </c>
      <c r="AD296" s="108" t="s">
        <v>175</v>
      </c>
      <c r="AE296" s="109"/>
      <c r="AF296" s="99"/>
      <c r="AG296" s="99"/>
    </row>
    <row r="297" spans="24:33" ht="14.4" x14ac:dyDescent="0.3">
      <c r="X297" s="112" t="s">
        <v>191</v>
      </c>
      <c r="Y297" s="101"/>
      <c r="Z297" s="101"/>
      <c r="AA297" s="101"/>
      <c r="AC297" s="112" t="s">
        <v>186</v>
      </c>
      <c r="AD297" s="112" t="s">
        <v>186</v>
      </c>
      <c r="AE297" s="113"/>
      <c r="AF297" s="101"/>
      <c r="AG297" s="101"/>
    </row>
    <row r="298" spans="24:33" ht="14.4" x14ac:dyDescent="0.3">
      <c r="X298" s="108" t="s">
        <v>175</v>
      </c>
      <c r="Y298" s="99"/>
      <c r="Z298" s="99"/>
      <c r="AA298" s="99"/>
      <c r="AC298" s="108" t="s">
        <v>175</v>
      </c>
      <c r="AD298" s="108" t="s">
        <v>175</v>
      </c>
      <c r="AE298" s="109"/>
      <c r="AF298" s="99"/>
      <c r="AG298" s="99"/>
    </row>
    <row r="299" spans="24:33" ht="14.4" x14ac:dyDescent="0.3">
      <c r="X299" s="112" t="s">
        <v>177</v>
      </c>
      <c r="Y299" s="101"/>
      <c r="Z299" s="101"/>
      <c r="AA299" s="101"/>
      <c r="AC299" s="112" t="s">
        <v>177</v>
      </c>
      <c r="AD299" s="112" t="s">
        <v>177</v>
      </c>
      <c r="AE299" s="113"/>
      <c r="AF299" s="101"/>
      <c r="AG299" s="101"/>
    </row>
    <row r="300" spans="24:33" ht="14.4" x14ac:dyDescent="0.3">
      <c r="X300" s="108" t="s">
        <v>175</v>
      </c>
      <c r="Y300" s="99"/>
      <c r="Z300" s="99"/>
      <c r="AA300" s="99"/>
      <c r="AC300" s="108" t="s">
        <v>175</v>
      </c>
      <c r="AD300" s="108" t="s">
        <v>175</v>
      </c>
      <c r="AE300" s="109"/>
      <c r="AF300" s="99"/>
      <c r="AG300" s="99"/>
    </row>
    <row r="301" spans="24:33" ht="14.4" x14ac:dyDescent="0.3">
      <c r="X301" s="112" t="s">
        <v>191</v>
      </c>
      <c r="Y301" s="101"/>
      <c r="Z301" s="101"/>
      <c r="AA301" s="101"/>
      <c r="AC301" s="112" t="s">
        <v>186</v>
      </c>
      <c r="AD301" s="112" t="s">
        <v>186</v>
      </c>
      <c r="AE301" s="113"/>
      <c r="AF301" s="101"/>
      <c r="AG301" s="101"/>
    </row>
    <row r="302" spans="24:33" ht="14.4" x14ac:dyDescent="0.3">
      <c r="X302" s="108" t="s">
        <v>175</v>
      </c>
      <c r="Y302" s="99"/>
      <c r="Z302" s="99"/>
      <c r="AA302" s="99"/>
      <c r="AC302" s="108" t="s">
        <v>175</v>
      </c>
      <c r="AD302" s="108" t="s">
        <v>175</v>
      </c>
      <c r="AE302" s="109"/>
      <c r="AF302" s="99"/>
      <c r="AG302" s="99"/>
    </row>
    <row r="303" spans="24:33" ht="14.4" x14ac:dyDescent="0.3">
      <c r="X303" s="112" t="s">
        <v>177</v>
      </c>
      <c r="Y303" s="101"/>
      <c r="Z303" s="101"/>
      <c r="AA303" s="101"/>
      <c r="AC303" s="112" t="s">
        <v>177</v>
      </c>
      <c r="AD303" s="112" t="s">
        <v>177</v>
      </c>
      <c r="AE303" s="113"/>
      <c r="AF303" s="101"/>
      <c r="AG303" s="101"/>
    </row>
    <row r="304" spans="24:33" ht="14.4" x14ac:dyDescent="0.3">
      <c r="X304" s="108" t="s">
        <v>175</v>
      </c>
      <c r="Y304" s="99"/>
      <c r="Z304" s="99"/>
      <c r="AA304" s="99"/>
      <c r="AC304" s="108" t="s">
        <v>175</v>
      </c>
      <c r="AD304" s="108" t="s">
        <v>175</v>
      </c>
      <c r="AE304" s="109"/>
      <c r="AF304" s="99"/>
      <c r="AG304" s="99"/>
    </row>
    <row r="305" spans="1:33" ht="14.4" x14ac:dyDescent="0.3">
      <c r="X305" s="112" t="s">
        <v>191</v>
      </c>
      <c r="Y305" s="101"/>
      <c r="Z305" s="101"/>
      <c r="AA305" s="101"/>
      <c r="AC305" s="112" t="s">
        <v>186</v>
      </c>
      <c r="AD305" s="112" t="s">
        <v>186</v>
      </c>
      <c r="AE305" s="113"/>
      <c r="AF305" s="101"/>
      <c r="AG305" s="101"/>
    </row>
    <row r="306" spans="1:33" ht="14.4" x14ac:dyDescent="0.3">
      <c r="X306" s="108" t="s">
        <v>175</v>
      </c>
      <c r="Y306" s="99"/>
      <c r="Z306" s="99"/>
      <c r="AA306" s="99"/>
      <c r="AC306" s="108" t="s">
        <v>175</v>
      </c>
      <c r="AD306" s="108" t="s">
        <v>175</v>
      </c>
      <c r="AE306" s="109"/>
      <c r="AF306" s="99"/>
      <c r="AG306" s="99"/>
    </row>
    <row r="307" spans="1:33" ht="14.4" x14ac:dyDescent="0.3">
      <c r="X307" s="112" t="s">
        <v>177</v>
      </c>
      <c r="Y307" s="101"/>
      <c r="Z307" s="101"/>
      <c r="AA307" s="101"/>
      <c r="AC307" s="112" t="s">
        <v>178</v>
      </c>
      <c r="AD307" s="112" t="s">
        <v>184</v>
      </c>
      <c r="AE307" s="113"/>
      <c r="AF307" s="101"/>
      <c r="AG307" s="101"/>
    </row>
    <row r="308" spans="1:33" x14ac:dyDescent="0.25">
      <c r="X308" s="110"/>
      <c r="Y308" s="100"/>
      <c r="Z308" s="100"/>
      <c r="AA308" s="100"/>
      <c r="AC308" s="110"/>
      <c r="AD308" s="110"/>
      <c r="AE308" s="111"/>
      <c r="AF308" s="100"/>
      <c r="AG308" s="100"/>
    </row>
    <row r="309" spans="1:33" x14ac:dyDescent="0.25">
      <c r="X309" s="110"/>
      <c r="Y309" s="100"/>
      <c r="Z309" s="100"/>
      <c r="AA309" s="100"/>
      <c r="AC309" s="110"/>
      <c r="AD309" s="110"/>
      <c r="AE309" s="111"/>
      <c r="AF309" s="100"/>
      <c r="AG309" s="100"/>
    </row>
    <row r="310" spans="1:33" ht="14.4" x14ac:dyDescent="0.3">
      <c r="X310" s="108" t="s">
        <v>175</v>
      </c>
      <c r="Y310" s="99"/>
      <c r="Z310" s="99"/>
      <c r="AA310" s="99"/>
      <c r="AC310" s="108" t="s">
        <v>175</v>
      </c>
      <c r="AD310" s="108" t="s">
        <v>175</v>
      </c>
      <c r="AE310" s="109"/>
      <c r="AF310" s="99"/>
      <c r="AG310" s="99"/>
    </row>
    <row r="311" spans="1:33" x14ac:dyDescent="0.25">
      <c r="X311" s="97"/>
      <c r="Y311" s="96"/>
      <c r="Z311" s="96"/>
      <c r="AA311" s="96"/>
      <c r="AC311" s="97"/>
      <c r="AD311" s="97"/>
      <c r="AE311" s="98"/>
      <c r="AF311" s="96"/>
      <c r="AG311" s="96"/>
    </row>
    <row r="312" spans="1:33" x14ac:dyDescent="0.25">
      <c r="X312" s="104"/>
      <c r="Y312" s="9"/>
      <c r="Z312" s="9"/>
      <c r="AA312" s="9"/>
      <c r="AC312" s="104"/>
      <c r="AD312" s="104"/>
      <c r="AE312" s="95"/>
      <c r="AF312" s="9"/>
      <c r="AG312" s="9"/>
    </row>
    <row r="315" spans="1:33" x14ac:dyDescent="0.25">
      <c r="A315">
        <v>10</v>
      </c>
      <c r="AD315" s="106" t="s">
        <v>193</v>
      </c>
      <c r="AE315" s="87"/>
      <c r="AF315" s="105"/>
      <c r="AG315" s="105"/>
    </row>
    <row r="316" spans="1:33" x14ac:dyDescent="0.25">
      <c r="AD316" s="94"/>
      <c r="AE316" s="95"/>
      <c r="AF316" s="9"/>
      <c r="AG316" s="9"/>
    </row>
    <row r="317" spans="1:33" x14ac:dyDescent="0.25">
      <c r="AD317" s="97"/>
      <c r="AE317" s="98"/>
      <c r="AF317" s="96"/>
      <c r="AG317" s="96"/>
    </row>
    <row r="318" spans="1:33" ht="14.4" x14ac:dyDescent="0.3">
      <c r="AD318" s="108" t="s">
        <v>176</v>
      </c>
      <c r="AE318" s="109"/>
      <c r="AF318" s="99"/>
      <c r="AG318" s="99"/>
    </row>
    <row r="319" spans="1:33" x14ac:dyDescent="0.25">
      <c r="AD319" s="110"/>
      <c r="AE319" s="111"/>
      <c r="AF319" s="100"/>
      <c r="AG319" s="100"/>
    </row>
    <row r="320" spans="1:33" x14ac:dyDescent="0.25">
      <c r="AD320" s="110"/>
      <c r="AE320" s="111"/>
      <c r="AF320" s="100"/>
      <c r="AG320" s="100"/>
    </row>
    <row r="321" spans="30:33" ht="14.4" x14ac:dyDescent="0.3">
      <c r="AD321" s="112" t="s">
        <v>177</v>
      </c>
      <c r="AE321" s="113"/>
      <c r="AF321" s="101"/>
      <c r="AG321" s="101"/>
    </row>
    <row r="322" spans="30:33" ht="14.4" x14ac:dyDescent="0.3">
      <c r="AD322" s="108" t="s">
        <v>176</v>
      </c>
      <c r="AE322" s="109"/>
      <c r="AF322" s="99"/>
      <c r="AG322" s="99"/>
    </row>
    <row r="323" spans="30:33" ht="14.4" x14ac:dyDescent="0.3">
      <c r="AD323" s="112" t="s">
        <v>186</v>
      </c>
      <c r="AE323" s="113"/>
      <c r="AF323" s="101"/>
      <c r="AG323" s="101"/>
    </row>
    <row r="324" spans="30:33" ht="14.4" x14ac:dyDescent="0.3">
      <c r="AD324" s="108" t="s">
        <v>176</v>
      </c>
      <c r="AE324" s="109"/>
      <c r="AF324" s="99"/>
      <c r="AG324" s="99"/>
    </row>
    <row r="325" spans="30:33" ht="14.4" x14ac:dyDescent="0.3">
      <c r="AD325" s="112" t="s">
        <v>177</v>
      </c>
      <c r="AE325" s="113"/>
      <c r="AF325" s="101"/>
      <c r="AG325" s="101"/>
    </row>
    <row r="326" spans="30:33" ht="14.4" x14ac:dyDescent="0.3">
      <c r="AD326" s="108" t="s">
        <v>176</v>
      </c>
      <c r="AE326" s="109"/>
      <c r="AF326" s="99"/>
      <c r="AG326" s="99"/>
    </row>
    <row r="327" spans="30:33" ht="14.4" x14ac:dyDescent="0.3">
      <c r="AD327" s="112" t="s">
        <v>186</v>
      </c>
      <c r="AE327" s="113"/>
      <c r="AF327" s="101"/>
      <c r="AG327" s="101"/>
    </row>
    <row r="328" spans="30:33" ht="14.4" x14ac:dyDescent="0.3">
      <c r="AD328" s="108" t="s">
        <v>176</v>
      </c>
      <c r="AE328" s="109"/>
      <c r="AF328" s="99"/>
      <c r="AG328" s="99"/>
    </row>
    <row r="329" spans="30:33" ht="14.4" x14ac:dyDescent="0.3">
      <c r="AD329" s="112" t="s">
        <v>177</v>
      </c>
      <c r="AE329" s="113"/>
      <c r="AF329" s="101"/>
      <c r="AG329" s="101"/>
    </row>
    <row r="330" spans="30:33" ht="14.4" x14ac:dyDescent="0.3">
      <c r="AD330" s="108" t="s">
        <v>176</v>
      </c>
      <c r="AE330" s="109"/>
      <c r="AF330" s="99"/>
      <c r="AG330" s="99"/>
    </row>
    <row r="331" spans="30:33" ht="14.4" x14ac:dyDescent="0.3">
      <c r="AD331" s="112" t="s">
        <v>186</v>
      </c>
      <c r="AE331" s="113"/>
      <c r="AF331" s="101"/>
      <c r="AG331" s="101"/>
    </row>
    <row r="332" spans="30:33" ht="14.4" x14ac:dyDescent="0.3">
      <c r="AD332" s="108" t="s">
        <v>176</v>
      </c>
      <c r="AE332" s="109"/>
      <c r="AF332" s="99"/>
      <c r="AG332" s="99"/>
    </row>
    <row r="333" spans="30:33" ht="14.4" x14ac:dyDescent="0.3">
      <c r="AD333" s="112" t="s">
        <v>177</v>
      </c>
      <c r="AE333" s="113"/>
      <c r="AF333" s="101"/>
      <c r="AG333" s="101"/>
    </row>
    <row r="334" spans="30:33" x14ac:dyDescent="0.25">
      <c r="AD334" s="110"/>
      <c r="AE334" s="111"/>
      <c r="AF334" s="100"/>
      <c r="AG334" s="100"/>
    </row>
    <row r="335" spans="30:33" x14ac:dyDescent="0.25">
      <c r="AD335" s="110"/>
      <c r="AE335" s="111"/>
      <c r="AF335" s="100"/>
      <c r="AG335" s="100"/>
    </row>
    <row r="336" spans="30:33" ht="14.4" x14ac:dyDescent="0.3">
      <c r="AD336" s="108" t="s">
        <v>176</v>
      </c>
      <c r="AE336" s="109"/>
      <c r="AF336" s="99"/>
      <c r="AG336" s="99"/>
    </row>
    <row r="337" spans="29:34" x14ac:dyDescent="0.25">
      <c r="AD337" s="97"/>
      <c r="AE337" s="98"/>
      <c r="AF337" s="96"/>
      <c r="AG337" s="96"/>
    </row>
    <row r="338" spans="29:34" x14ac:dyDescent="0.25">
      <c r="AD338" s="116"/>
      <c r="AE338" s="95"/>
      <c r="AF338" s="9"/>
      <c r="AG338" s="9"/>
    </row>
    <row r="339" spans="29:34" x14ac:dyDescent="0.25">
      <c r="AC339" s="53"/>
      <c r="AD339" s="53"/>
      <c r="AE339" s="117"/>
      <c r="AF339" s="53"/>
      <c r="AG339" s="53"/>
      <c r="AH339" s="53"/>
    </row>
    <row r="340" spans="29:34" x14ac:dyDescent="0.25">
      <c r="AC340" s="53"/>
      <c r="AD340" s="53"/>
      <c r="AE340" s="117"/>
      <c r="AF340" s="53"/>
      <c r="AG340" s="53"/>
      <c r="AH340" s="53"/>
    </row>
    <row r="341" spans="29:34" x14ac:dyDescent="0.25">
      <c r="AC341" s="53"/>
      <c r="AD341" s="53"/>
      <c r="AE341" s="117"/>
      <c r="AF341" s="53"/>
      <c r="AG341" s="53"/>
      <c r="AH341" s="53"/>
    </row>
    <row r="342" spans="29:34" x14ac:dyDescent="0.25">
      <c r="AC342" s="53"/>
      <c r="AD342" s="53"/>
      <c r="AE342" s="117"/>
      <c r="AF342" s="53"/>
      <c r="AG342" s="53"/>
      <c r="AH342" s="53"/>
    </row>
    <row r="343" spans="29:34" x14ac:dyDescent="0.25">
      <c r="AC343" s="53"/>
      <c r="AD343" s="53"/>
      <c r="AE343" s="117"/>
      <c r="AF343" s="53"/>
      <c r="AG343" s="53"/>
      <c r="AH343" s="53"/>
    </row>
    <row r="344" spans="29:34" x14ac:dyDescent="0.25">
      <c r="AC344" s="53"/>
      <c r="AD344" s="53"/>
      <c r="AE344" s="117"/>
      <c r="AF344" s="53"/>
      <c r="AG344" s="53"/>
      <c r="AH344" s="53"/>
    </row>
    <row r="345" spans="29:34" x14ac:dyDescent="0.25">
      <c r="AC345" s="53"/>
      <c r="AD345" s="53"/>
      <c r="AE345" s="117"/>
      <c r="AF345" s="53"/>
      <c r="AG345" s="53"/>
      <c r="AH345" s="53"/>
    </row>
    <row r="346" spans="29:34" x14ac:dyDescent="0.25">
      <c r="AC346" s="53"/>
      <c r="AD346" s="53"/>
      <c r="AE346" s="117"/>
      <c r="AF346" s="53"/>
      <c r="AG346" s="53"/>
      <c r="AH346" s="53"/>
    </row>
    <row r="347" spans="29:34" x14ac:dyDescent="0.25">
      <c r="AC347" s="53"/>
      <c r="AD347" s="53"/>
      <c r="AE347" s="117"/>
      <c r="AF347" s="53"/>
      <c r="AG347" s="53"/>
      <c r="AH347" s="53"/>
    </row>
    <row r="348" spans="29:34" x14ac:dyDescent="0.25">
      <c r="AC348" s="53"/>
      <c r="AD348" s="53"/>
      <c r="AE348" s="117"/>
      <c r="AF348" s="53"/>
      <c r="AG348" s="53"/>
      <c r="AH348" s="53"/>
    </row>
    <row r="349" spans="29:34" x14ac:dyDescent="0.25">
      <c r="AC349" s="53"/>
      <c r="AD349" s="53"/>
      <c r="AE349" s="117"/>
      <c r="AF349" s="53"/>
      <c r="AG349" s="53"/>
      <c r="AH349" s="53"/>
    </row>
    <row r="350" spans="29:34" x14ac:dyDescent="0.25">
      <c r="AC350" s="53"/>
      <c r="AD350" s="53"/>
      <c r="AE350" s="117"/>
      <c r="AF350" s="53"/>
      <c r="AG350" s="53"/>
      <c r="AH350" s="53"/>
    </row>
    <row r="351" spans="29:34" x14ac:dyDescent="0.25">
      <c r="AC351" s="53"/>
      <c r="AD351" s="53"/>
      <c r="AE351" s="117"/>
      <c r="AF351" s="53"/>
      <c r="AG351" s="53"/>
      <c r="AH351" s="53"/>
    </row>
    <row r="352" spans="29:34" x14ac:dyDescent="0.25">
      <c r="AC352" s="53"/>
      <c r="AD352" s="53"/>
      <c r="AE352" s="117"/>
      <c r="AF352" s="53"/>
      <c r="AG352" s="53"/>
      <c r="AH352" s="53"/>
    </row>
    <row r="353" spans="1:34" x14ac:dyDescent="0.25">
      <c r="AC353" s="53"/>
      <c r="AD353" s="53"/>
      <c r="AE353" s="117"/>
      <c r="AF353" s="53"/>
      <c r="AG353" s="53"/>
      <c r="AH353" s="53"/>
    </row>
    <row r="354" spans="1:34" x14ac:dyDescent="0.25">
      <c r="AC354" s="53"/>
      <c r="AD354" s="53"/>
      <c r="AE354" s="117"/>
      <c r="AF354" s="53"/>
      <c r="AG354" s="53"/>
      <c r="AH354" s="53"/>
    </row>
    <row r="355" spans="1:34" x14ac:dyDescent="0.25">
      <c r="AC355" s="53"/>
      <c r="AD355" s="53"/>
      <c r="AE355" s="117"/>
      <c r="AF355" s="53"/>
      <c r="AG355" s="53"/>
      <c r="AH355" s="53"/>
    </row>
    <row r="356" spans="1:34" x14ac:dyDescent="0.25">
      <c r="AC356" s="53"/>
      <c r="AD356" s="53"/>
      <c r="AE356" s="117"/>
      <c r="AF356" s="53"/>
      <c r="AG356" s="53"/>
      <c r="AH356" s="53"/>
    </row>
    <row r="357" spans="1:34" x14ac:dyDescent="0.25">
      <c r="AC357" s="53"/>
      <c r="AD357" s="53"/>
      <c r="AE357" s="117"/>
      <c r="AF357" s="53"/>
      <c r="AG357" s="53"/>
      <c r="AH357" s="53"/>
    </row>
    <row r="358" spans="1:34" x14ac:dyDescent="0.25">
      <c r="AC358" s="53"/>
      <c r="AD358" s="53"/>
      <c r="AE358" s="117"/>
      <c r="AF358" s="53"/>
      <c r="AG358" s="53"/>
      <c r="AH358" s="53"/>
    </row>
    <row r="359" spans="1:34" x14ac:dyDescent="0.25">
      <c r="AC359" s="53"/>
      <c r="AD359" s="53"/>
      <c r="AE359" s="117"/>
      <c r="AF359" s="53"/>
      <c r="AG359" s="53"/>
      <c r="AH359" s="53"/>
    </row>
    <row r="360" spans="1:34" x14ac:dyDescent="0.25">
      <c r="AC360" s="53"/>
      <c r="AD360" s="53"/>
      <c r="AE360" s="117"/>
      <c r="AF360" s="53"/>
      <c r="AG360" s="53"/>
      <c r="AH360" s="53"/>
    </row>
    <row r="361" spans="1:34" x14ac:dyDescent="0.25">
      <c r="AC361" s="53"/>
      <c r="AD361" s="53"/>
      <c r="AE361" s="117"/>
      <c r="AF361" s="53"/>
      <c r="AG361" s="53"/>
      <c r="AH361" s="53"/>
    </row>
    <row r="362" spans="1:34" x14ac:dyDescent="0.25">
      <c r="AC362" s="53"/>
      <c r="AD362" s="53"/>
      <c r="AE362" s="117"/>
      <c r="AF362" s="53"/>
      <c r="AG362" s="53"/>
      <c r="AH362" s="53"/>
    </row>
    <row r="363" spans="1:34" x14ac:dyDescent="0.25">
      <c r="AC363" s="53"/>
      <c r="AD363" s="53"/>
      <c r="AE363" s="117"/>
      <c r="AF363" s="53"/>
      <c r="AG363" s="53"/>
      <c r="AH363" s="53"/>
    </row>
    <row r="364" spans="1:34" x14ac:dyDescent="0.25">
      <c r="AC364" s="53"/>
      <c r="AD364" s="53"/>
      <c r="AE364" s="117"/>
      <c r="AF364" s="53"/>
      <c r="AG364" s="53"/>
      <c r="AH364" s="53"/>
    </row>
    <row r="365" spans="1:34" x14ac:dyDescent="0.25">
      <c r="AC365" s="53"/>
      <c r="AD365" s="53"/>
      <c r="AE365" s="117"/>
      <c r="AF365" s="53"/>
      <c r="AG365" s="53"/>
      <c r="AH365" s="53"/>
    </row>
    <row r="366" spans="1:34" x14ac:dyDescent="0.25">
      <c r="A366" t="s">
        <v>194</v>
      </c>
      <c r="AC366" s="53"/>
      <c r="AD366" s="53"/>
      <c r="AE366" s="117"/>
      <c r="AF366" s="53"/>
      <c r="AG366" s="53"/>
      <c r="AH366" s="53"/>
    </row>
    <row r="367" spans="1:34" x14ac:dyDescent="0.25">
      <c r="A367">
        <v>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9"/>
  <sheetViews>
    <sheetView showGridLines="0" workbookViewId="0"/>
  </sheetViews>
  <sheetFormatPr defaultRowHeight="13.2" x14ac:dyDescent="0.25"/>
  <cols>
    <col min="1" max="1" width="1.109375" customWidth="1"/>
    <col min="2" max="2" width="64.44140625" customWidth="1"/>
    <col min="3" max="3" width="1.5546875" customWidth="1"/>
    <col min="4" max="4" width="5.5546875" customWidth="1"/>
    <col min="5" max="6" width="16" customWidth="1"/>
  </cols>
  <sheetData>
    <row r="1" spans="2:6" x14ac:dyDescent="0.25">
      <c r="B1" s="118" t="s">
        <v>196</v>
      </c>
      <c r="C1" s="118"/>
      <c r="D1" s="125"/>
      <c r="E1" s="125"/>
      <c r="F1" s="125"/>
    </row>
    <row r="2" spans="2:6" x14ac:dyDescent="0.25">
      <c r="B2" s="118" t="s">
        <v>197</v>
      </c>
      <c r="C2" s="118"/>
      <c r="D2" s="125"/>
      <c r="E2" s="125"/>
      <c r="F2" s="125"/>
    </row>
    <row r="3" spans="2:6" x14ac:dyDescent="0.25">
      <c r="B3" s="119"/>
      <c r="C3" s="119"/>
      <c r="D3" s="126"/>
      <c r="E3" s="126"/>
      <c r="F3" s="126"/>
    </row>
    <row r="4" spans="2:6" ht="39.6" x14ac:dyDescent="0.25">
      <c r="B4" s="119" t="s">
        <v>198</v>
      </c>
      <c r="C4" s="119"/>
      <c r="D4" s="126"/>
      <c r="E4" s="126"/>
      <c r="F4" s="126"/>
    </row>
    <row r="5" spans="2:6" x14ac:dyDescent="0.25">
      <c r="B5" s="119"/>
      <c r="C5" s="119"/>
      <c r="D5" s="126"/>
      <c r="E5" s="126"/>
      <c r="F5" s="126"/>
    </row>
    <row r="6" spans="2:6" ht="26.4" x14ac:dyDescent="0.25">
      <c r="B6" s="118" t="s">
        <v>199</v>
      </c>
      <c r="C6" s="118"/>
      <c r="D6" s="125"/>
      <c r="E6" s="125" t="s">
        <v>200</v>
      </c>
      <c r="F6" s="125" t="s">
        <v>201</v>
      </c>
    </row>
    <row r="7" spans="2:6" ht="13.8" thickBot="1" x14ac:dyDescent="0.3">
      <c r="B7" s="119"/>
      <c r="C7" s="119"/>
      <c r="D7" s="126"/>
      <c r="E7" s="126"/>
      <c r="F7" s="126"/>
    </row>
    <row r="8" spans="2:6" ht="52.8" x14ac:dyDescent="0.25">
      <c r="B8" s="120" t="s">
        <v>202</v>
      </c>
      <c r="C8" s="121"/>
      <c r="D8" s="127"/>
      <c r="E8" s="127">
        <v>4</v>
      </c>
      <c r="F8" s="128"/>
    </row>
    <row r="9" spans="2:6" x14ac:dyDescent="0.25">
      <c r="B9" s="122"/>
      <c r="C9" s="119"/>
      <c r="D9" s="126"/>
      <c r="E9" s="129" t="s">
        <v>203</v>
      </c>
      <c r="F9" s="130" t="s">
        <v>207</v>
      </c>
    </row>
    <row r="10" spans="2:6" x14ac:dyDescent="0.25">
      <c r="B10" s="122"/>
      <c r="C10" s="119"/>
      <c r="D10" s="126"/>
      <c r="E10" s="129" t="s">
        <v>204</v>
      </c>
      <c r="F10" s="130"/>
    </row>
    <row r="11" spans="2:6" x14ac:dyDescent="0.25">
      <c r="B11" s="122"/>
      <c r="C11" s="119"/>
      <c r="D11" s="126"/>
      <c r="E11" s="129" t="s">
        <v>205</v>
      </c>
      <c r="F11" s="130"/>
    </row>
    <row r="12" spans="2:6" ht="13.8" thickBot="1" x14ac:dyDescent="0.3">
      <c r="B12" s="123"/>
      <c r="C12" s="124"/>
      <c r="D12" s="131"/>
      <c r="E12" s="132" t="s">
        <v>206</v>
      </c>
      <c r="F12" s="133"/>
    </row>
    <row r="13" spans="2:6" ht="13.8" thickBot="1" x14ac:dyDescent="0.3">
      <c r="B13" s="119"/>
      <c r="C13" s="119"/>
      <c r="D13" s="126"/>
      <c r="E13" s="126"/>
      <c r="F13" s="126"/>
    </row>
    <row r="14" spans="2:6" ht="66" x14ac:dyDescent="0.25">
      <c r="B14" s="120" t="s">
        <v>208</v>
      </c>
      <c r="C14" s="121"/>
      <c r="D14" s="127"/>
      <c r="E14" s="127">
        <v>3</v>
      </c>
      <c r="F14" s="128"/>
    </row>
    <row r="15" spans="2:6" x14ac:dyDescent="0.25">
      <c r="B15" s="122"/>
      <c r="C15" s="119"/>
      <c r="D15" s="126"/>
      <c r="E15" s="129" t="s">
        <v>209</v>
      </c>
      <c r="F15" s="130" t="s">
        <v>207</v>
      </c>
    </row>
    <row r="16" spans="2:6" x14ac:dyDescent="0.25">
      <c r="B16" s="122"/>
      <c r="C16" s="119"/>
      <c r="D16" s="126"/>
      <c r="E16" s="129" t="s">
        <v>210</v>
      </c>
      <c r="F16" s="130"/>
    </row>
    <row r="17" spans="2:6" ht="13.8" thickBot="1" x14ac:dyDescent="0.3">
      <c r="B17" s="123"/>
      <c r="C17" s="124"/>
      <c r="D17" s="131"/>
      <c r="E17" s="132" t="s">
        <v>211</v>
      </c>
      <c r="F17" s="133"/>
    </row>
    <row r="18" spans="2:6" x14ac:dyDescent="0.25">
      <c r="B18" s="119"/>
      <c r="C18" s="119"/>
      <c r="D18" s="126"/>
      <c r="E18" s="126"/>
      <c r="F18" s="126"/>
    </row>
    <row r="19" spans="2:6" x14ac:dyDescent="0.25">
      <c r="B19" s="119"/>
      <c r="C19" s="119"/>
      <c r="D19" s="126"/>
      <c r="E19" s="126"/>
      <c r="F19" s="126"/>
    </row>
  </sheetData>
  <hyperlinks>
    <hyperlink ref="E9" location="'Лист1'!I40:J40" display="'Лист1'!I40:J40"/>
    <hyperlink ref="E10" location="'Лист1'!I60:J60" display="'Лист1'!I60:J60"/>
    <hyperlink ref="E11" location="'Лист1'!L40:M40" display="'Лист1'!L40:M40"/>
    <hyperlink ref="E12" location="'Лист1'!L60:M60" display="'Лист1'!L60:M60"/>
    <hyperlink ref="E15" location="'Лист1'!D40:F40" display="'Лист1'!D40:F40"/>
    <hyperlink ref="E16" location="'Лист1'!L24:N24" display="'Лист1'!L24:N24"/>
    <hyperlink ref="E17" location="'Лист1'!D60:F60" display="'Лист1'!D60:F6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5</vt:i4>
      </vt:variant>
    </vt:vector>
  </HeadingPairs>
  <TitlesOfParts>
    <vt:vector size="10" baseType="lpstr">
      <vt:lpstr>Лист1</vt:lpstr>
      <vt:lpstr>Лист2</vt:lpstr>
      <vt:lpstr>Лист3</vt:lpstr>
      <vt:lpstr>Лист4</vt:lpstr>
      <vt:lpstr>Отчет о совместимости</vt:lpstr>
      <vt:lpstr>_all3</vt:lpstr>
      <vt:lpstr>Лист2!Excel_BuiltIn__FilterDatabase</vt:lpstr>
      <vt:lpstr>Лист1!Excel_BuiltIn_Print_Area</vt:lpstr>
      <vt:lpstr>material1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VKozochkin</dc:creator>
  <cp:lastModifiedBy>Alex Ulyanov</cp:lastModifiedBy>
  <dcterms:created xsi:type="dcterms:W3CDTF">2022-08-26T10:04:13Z</dcterms:created>
  <dcterms:modified xsi:type="dcterms:W3CDTF">2023-05-01T12:24:25Z</dcterms:modified>
</cp:coreProperties>
</file>