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" sheetId="1" r:id="rId4"/>
    <sheet state="visible" name="data" sheetId="2" r:id="rId5"/>
  </sheets>
  <definedNames>
    <definedName name="teams">dash!$A$3:$A$34</definedName>
    <definedName name="NamedRange1">dash!$A$3:$A$34</definedName>
  </definedNames>
  <calcPr/>
</workbook>
</file>

<file path=xl/sharedStrings.xml><?xml version="1.0" encoding="utf-8"?>
<sst xmlns="http://schemas.openxmlformats.org/spreadsheetml/2006/main" count="69" uniqueCount="66">
  <si>
    <t>Hometable</t>
  </si>
  <si>
    <t>key</t>
  </si>
  <si>
    <t>Team</t>
  </si>
  <si>
    <t>Goals for</t>
  </si>
  <si>
    <t xml:space="preserve">Goals against </t>
  </si>
  <si>
    <t>Matches completed</t>
  </si>
  <si>
    <t>Ave G/F</t>
  </si>
  <si>
    <t>Ave G/A</t>
  </si>
  <si>
    <t>Attacking matrix</t>
  </si>
  <si>
    <t>Defedning matrix</t>
  </si>
  <si>
    <t>Home form (last 5 games)</t>
  </si>
  <si>
    <t>Form matrix</t>
  </si>
  <si>
    <t>Injury deduction</t>
  </si>
  <si>
    <t>first team</t>
  </si>
  <si>
    <t>Qatar</t>
  </si>
  <si>
    <t>sub</t>
  </si>
  <si>
    <t>Ecuador</t>
  </si>
  <si>
    <t>Senegal</t>
  </si>
  <si>
    <t>Netherlands</t>
  </si>
  <si>
    <t>England</t>
  </si>
  <si>
    <t>Iran</t>
  </si>
  <si>
    <t>USA</t>
  </si>
  <si>
    <t>Wales</t>
  </si>
  <si>
    <t>Argentina</t>
  </si>
  <si>
    <t>Saudi Arabia</t>
  </si>
  <si>
    <t>Mexcio</t>
  </si>
  <si>
    <t>Poland</t>
  </si>
  <si>
    <t>France</t>
  </si>
  <si>
    <t>Australia</t>
  </si>
  <si>
    <t>Denmark</t>
  </si>
  <si>
    <t>Tunisia</t>
  </si>
  <si>
    <t>Spain</t>
  </si>
  <si>
    <t>Costa Rica</t>
  </si>
  <si>
    <t>Germany</t>
  </si>
  <si>
    <t>Japan</t>
  </si>
  <si>
    <t>Belgium</t>
  </si>
  <si>
    <t>Cananda</t>
  </si>
  <si>
    <t>Morocco</t>
  </si>
  <si>
    <t>Croatia</t>
  </si>
  <si>
    <t>Brazil</t>
  </si>
  <si>
    <t>Serbia</t>
  </si>
  <si>
    <t>Switzerland</t>
  </si>
  <si>
    <t>Cameroon</t>
  </si>
  <si>
    <t>Portugal</t>
  </si>
  <si>
    <t>Ghana</t>
  </si>
  <si>
    <t>Urugay</t>
  </si>
  <si>
    <t>Korea</t>
  </si>
  <si>
    <t>Home team</t>
  </si>
  <si>
    <t>Away team</t>
  </si>
  <si>
    <t>Home</t>
  </si>
  <si>
    <t>Away</t>
  </si>
  <si>
    <t>Prob</t>
  </si>
  <si>
    <t>Odds</t>
  </si>
  <si>
    <t>Pick team</t>
  </si>
  <si>
    <t>Attacking martix</t>
  </si>
  <si>
    <t>Defending matrix</t>
  </si>
  <si>
    <t>Home/away AVE</t>
  </si>
  <si>
    <t>Injury dedution</t>
  </si>
  <si>
    <t>Goal expextency</t>
  </si>
  <si>
    <t>No. of goals</t>
  </si>
  <si>
    <t>Home goals</t>
  </si>
  <si>
    <t>Away goals</t>
  </si>
  <si>
    <t>Home win</t>
  </si>
  <si>
    <t>draw</t>
  </si>
  <si>
    <t>Home loss</t>
  </si>
  <si>
    <t>odds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</si>
</sst>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sz val="12.0"/>
      <color theme="1"/>
      <name val="Arial"/>
      <scheme val="minor"/>
    </font>
    <font>
      <color theme="7"/>
      <name val="Arial"/>
      <scheme val="minor"/>
    </font>
    <font>
      <sz val="12.0"/>
      <color rgb="FF000000"/>
      <name val="Arial"/>
    </font>
    <font>
      <sz val="12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sz val="11.0"/>
      <color rgb="FF000000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34A853"/>
        <bgColor rgb="FF34A853"/>
      </patternFill>
    </fill>
    <fill>
      <patternFill patternType="solid">
        <fgColor rgb="FFB7E1CD"/>
        <bgColor rgb="FFB7E1CD"/>
      </patternFill>
    </fill>
    <fill>
      <patternFill patternType="solid">
        <fgColor theme="7"/>
        <bgColor theme="7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5" fontId="4" numFmtId="0" xfId="0" applyFill="1" applyFont="1"/>
    <xf borderId="0" fillId="5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2" xfId="0" applyFont="1" applyNumberFormat="1"/>
    <xf borderId="0" fillId="0" fontId="5" numFmtId="2" xfId="0" applyFont="1" applyNumberFormat="1"/>
    <xf borderId="0" fillId="6" fontId="6" numFmtId="2" xfId="0" applyFill="1" applyFont="1" applyNumberFormat="1"/>
    <xf borderId="0" fillId="7" fontId="4" numFmtId="0" xfId="0" applyFill="1" applyFont="1"/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8" fontId="5" numFmtId="0" xfId="0" applyAlignment="1" applyFill="1" applyFont="1">
      <alignment readingOrder="0"/>
    </xf>
    <xf borderId="0" fillId="9" fontId="5" numFmtId="0" xfId="0" applyAlignment="1" applyFill="1" applyFont="1">
      <alignment readingOrder="0"/>
    </xf>
    <xf borderId="0" fillId="9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7" fontId="8" numFmtId="0" xfId="0" applyFont="1"/>
    <xf borderId="0" fillId="0" fontId="8" numFmtId="0" xfId="0" applyFont="1"/>
    <xf borderId="0" fillId="10" fontId="7" numFmtId="0" xfId="0" applyFill="1" applyFont="1"/>
    <xf borderId="0" fillId="10" fontId="9" numFmtId="2" xfId="0" applyFont="1" applyNumberFormat="1"/>
    <xf borderId="0" fillId="10" fontId="7" numFmtId="2" xfId="0" applyFont="1" applyNumberFormat="1"/>
    <xf borderId="0" fillId="10" fontId="7" numFmtId="1" xfId="0" applyFont="1" applyNumberFormat="1"/>
    <xf borderId="0" fillId="10" fontId="10" numFmtId="0" xfId="0" applyFont="1"/>
    <xf borderId="0" fillId="10" fontId="4" numFmtId="0" xfId="0" applyFont="1"/>
    <xf borderId="0" fillId="10" fontId="8" numFmtId="0" xfId="0" applyFont="1"/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1" numFmtId="0" xfId="0" applyAlignment="1" applyFont="1">
      <alignment horizontal="center" readingOrder="0" vertical="bottom"/>
    </xf>
    <xf borderId="0" fillId="0" fontId="12" numFmtId="0" xfId="0" applyAlignment="1" applyFont="1">
      <alignment vertical="bottom"/>
    </xf>
    <xf borderId="0" fillId="0" fontId="9" numFmtId="0" xfId="0" applyFont="1"/>
    <xf borderId="0" fillId="11" fontId="11" numFmtId="0" xfId="0" applyAlignment="1" applyFill="1" applyFont="1">
      <alignment vertical="bottom"/>
    </xf>
    <xf borderId="0" fillId="11" fontId="12" numFmtId="0" xfId="0" applyAlignment="1" applyFont="1">
      <alignment vertical="bottom"/>
    </xf>
    <xf borderId="0" fillId="11" fontId="7" numFmtId="0" xfId="0" applyAlignment="1" applyFont="1">
      <alignment readingOrder="0"/>
    </xf>
    <xf borderId="0" fillId="7" fontId="7" numFmtId="0" xfId="0" applyFont="1"/>
    <xf borderId="0" fillId="7" fontId="7" numFmtId="0" xfId="0" applyAlignment="1" applyFont="1">
      <alignment readingOrder="0"/>
    </xf>
    <xf borderId="0" fillId="6" fontId="9" numFmtId="9" xfId="0" applyFont="1" applyNumberFormat="1"/>
    <xf borderId="0" fillId="7" fontId="9" numFmtId="2" xfId="0" applyFont="1" applyNumberFormat="1"/>
    <xf borderId="0" fillId="0" fontId="9" numFmtId="2" xfId="0" applyFont="1" applyNumberFormat="1"/>
    <xf borderId="0" fillId="6" fontId="9" numFmtId="2" xfId="0" applyFont="1" applyNumberFormat="1"/>
    <xf borderId="0" fillId="6" fontId="9" numFmtId="2" xfId="0" applyFont="1" applyNumberFormat="1"/>
    <xf borderId="0" fillId="0" fontId="9" numFmtId="2" xfId="0" applyAlignment="1" applyFont="1" applyNumberFormat="1">
      <alignment vertical="bottom"/>
    </xf>
    <xf borderId="0" fillId="6" fontId="10" numFmtId="2" xfId="0" applyFont="1" applyNumberFormat="1"/>
    <xf borderId="0" fillId="11" fontId="12" numFmtId="0" xfId="0" applyAlignment="1" applyFont="1">
      <alignment readingOrder="0" vertical="bottom"/>
    </xf>
    <xf borderId="0" fillId="6" fontId="13" numFmtId="2" xfId="0" applyFont="1" applyNumberFormat="1"/>
    <xf borderId="0" fillId="5" fontId="12" numFmtId="2" xfId="0" applyAlignment="1" applyFont="1" applyNumberFormat="1">
      <alignment vertical="bottom"/>
    </xf>
    <xf borderId="0" fillId="7" fontId="9" numFmtId="0" xfId="0" applyFont="1"/>
    <xf borderId="0" fillId="7" fontId="12" numFmtId="2" xfId="0" applyFont="1" applyNumberFormat="1"/>
    <xf borderId="0" fillId="0" fontId="12" numFmtId="2" xfId="0" applyFont="1" applyNumberFormat="1"/>
    <xf borderId="0" fillId="0" fontId="7" numFmtId="0" xfId="0" applyFont="1"/>
    <xf borderId="0" fillId="11" fontId="2" numFmtId="0" xfId="0" applyAlignment="1" applyFont="1">
      <alignment readingOrder="0"/>
    </xf>
    <xf borderId="0" fillId="6" fontId="9" numFmtId="10" xfId="0" applyFont="1" applyNumberFormat="1"/>
    <xf borderId="0" fillId="6" fontId="10" numFmtId="10" xfId="0" applyFont="1" applyNumberFormat="1"/>
    <xf borderId="0" fillId="12" fontId="2" numFmtId="0" xfId="0" applyAlignment="1" applyFill="1" applyFont="1">
      <alignment readingOrder="0"/>
    </xf>
    <xf borderId="0" fillId="7" fontId="2" numFmtId="0" xfId="0" applyFont="1"/>
    <xf borderId="0" fillId="12" fontId="7" numFmtId="0" xfId="0" applyAlignment="1" applyFont="1">
      <alignment readingOrder="0"/>
    </xf>
    <xf borderId="0" fillId="13" fontId="4" numFmtId="4" xfId="0" applyFill="1" applyFont="1" applyNumberFormat="1"/>
    <xf borderId="0" fillId="0" fontId="4" numFmtId="4" xfId="0" applyFont="1" applyNumberFormat="1"/>
    <xf borderId="0" fillId="6" fontId="0" numFmtId="4" xfId="0" applyFont="1" applyNumberFormat="1"/>
    <xf borderId="0" fillId="0" fontId="4" numFmtId="2" xfId="0" applyFont="1" applyNumberFormat="1"/>
    <xf borderId="0" fillId="0" fontId="2" numFmtId="2" xfId="0" applyFont="1" applyNumberFormat="1"/>
    <xf borderId="0" fillId="14" fontId="2" numFmtId="0" xfId="0" applyAlignment="1" applyFill="1" applyFont="1">
      <alignment readingOrder="0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data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data!$E$18:$I$18</c:f>
            </c:strRef>
          </c:cat>
          <c:val>
            <c:numRef>
              <c:f>data!$E$19:$I$19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18</xdr:row>
      <xdr:rowOff>209550</xdr:rowOff>
    </xdr:from>
    <xdr:ext cx="3448050" cy="1876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I3:K11" displayName="Table_1" name="Table_1" id="1">
  <tableColumns count="3">
    <tableColumn name="Column1" id="1"/>
    <tableColumn name="Column2" id="2"/>
    <tableColumn name="Column3" id="3"/>
  </tableColumns>
  <tableStyleInfo name="da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ollapsed="1" customWidth="1" min="1" max="1" width="25.63"/>
    <col customWidth="1" hidden="1" min="2" max="2" width="25.75" outlineLevel="1"/>
    <col customWidth="1" hidden="1" min="3" max="3" width="25.88" outlineLevel="1"/>
    <col customWidth="1" min="4" max="4" width="25.63"/>
    <col min="5" max="6" width="12.63" outlineLevel="1"/>
    <col customWidth="1" min="7" max="8" width="25.63" outlineLevel="1"/>
    <col customWidth="1" min="9" max="9" width="13.25" outlineLevel="1"/>
    <col customWidth="1" min="10" max="10" width="25.75"/>
    <col customWidth="1" min="11" max="11" width="25.75" outlineLevel="1"/>
    <col min="12" max="12" width="12.63" outlineLevel="1"/>
    <col customWidth="1" min="13" max="13" width="25.75"/>
  </cols>
  <sheetData>
    <row r="1">
      <c r="A1" s="1" t="s">
        <v>0</v>
      </c>
      <c r="B1" s="2"/>
      <c r="C1" s="2"/>
      <c r="D1" s="2"/>
      <c r="N1" s="3" t="s">
        <v>1</v>
      </c>
      <c r="O1" s="3">
        <v>2.0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6"/>
      <c r="J2" s="5" t="s">
        <v>10</v>
      </c>
      <c r="K2" s="7" t="s">
        <v>11</v>
      </c>
      <c r="L2" s="6"/>
      <c r="M2" s="7" t="s">
        <v>12</v>
      </c>
      <c r="N2" s="3" t="s">
        <v>13</v>
      </c>
      <c r="O2" s="3">
        <v>1.0</v>
      </c>
    </row>
    <row r="3">
      <c r="A3" s="8" t="s">
        <v>14</v>
      </c>
      <c r="B3" s="8">
        <v>8.0</v>
      </c>
      <c r="C3" s="8">
        <v>10.0</v>
      </c>
      <c r="D3" s="8">
        <v>8.0</v>
      </c>
      <c r="E3" s="9">
        <f t="shared" ref="E3:E35" si="1">B3/D3</f>
        <v>1</v>
      </c>
      <c r="F3" s="10">
        <f t="shared" ref="F3:F35" si="2">C3/D3</f>
        <v>1.25</v>
      </c>
      <c r="G3" s="10">
        <f>E3/$E$35*0.9</f>
        <v>0.4601503759</v>
      </c>
      <c r="H3" s="11">
        <f>F3/$F$35*1.1</f>
        <v>2.077777778</v>
      </c>
      <c r="I3" s="12"/>
      <c r="J3" s="8">
        <v>10.0</v>
      </c>
      <c r="K3" s="10">
        <f t="shared" ref="K3:K35" si="3">J3/$J$35</f>
        <v>1.221374046</v>
      </c>
      <c r="L3" s="12"/>
      <c r="M3" s="13">
        <v>0.0</v>
      </c>
      <c r="N3" s="3" t="s">
        <v>15</v>
      </c>
      <c r="O3" s="3">
        <v>0.0</v>
      </c>
    </row>
    <row r="4">
      <c r="A4" s="8" t="s">
        <v>16</v>
      </c>
      <c r="B4" s="8">
        <v>29.0</v>
      </c>
      <c r="C4" s="8">
        <v>19.0</v>
      </c>
      <c r="D4" s="8">
        <v>19.0</v>
      </c>
      <c r="E4" s="11">
        <f t="shared" si="1"/>
        <v>1.526315789</v>
      </c>
      <c r="F4" s="10">
        <f t="shared" si="2"/>
        <v>1</v>
      </c>
      <c r="G4" s="10">
        <f>E4/$E$35</f>
        <v>0.7803719826</v>
      </c>
      <c r="H4" s="11">
        <f>F4/$F$35</f>
        <v>1.511111111</v>
      </c>
      <c r="I4" s="12"/>
      <c r="J4" s="8">
        <v>7.0</v>
      </c>
      <c r="K4" s="10">
        <f t="shared" si="3"/>
        <v>0.8549618321</v>
      </c>
      <c r="L4" s="12"/>
      <c r="M4" s="13">
        <v>0.0</v>
      </c>
    </row>
    <row r="5">
      <c r="A5" s="8" t="s">
        <v>17</v>
      </c>
      <c r="B5" s="8">
        <v>19.0</v>
      </c>
      <c r="C5" s="8">
        <v>8.0</v>
      </c>
      <c r="D5" s="8">
        <v>8.0</v>
      </c>
      <c r="E5" s="11">
        <f t="shared" si="1"/>
        <v>2.375</v>
      </c>
      <c r="F5" s="10">
        <f t="shared" si="2"/>
        <v>1</v>
      </c>
      <c r="G5" s="10">
        <f>E5/$E$35*0.9</f>
        <v>1.092857143</v>
      </c>
      <c r="H5" s="11">
        <f>F5/$F$35*1.1</f>
        <v>1.662222222</v>
      </c>
      <c r="I5" s="12"/>
      <c r="J5" s="8">
        <v>6.0</v>
      </c>
      <c r="K5" s="10">
        <f t="shared" si="3"/>
        <v>0.7328244275</v>
      </c>
      <c r="L5" s="12"/>
      <c r="M5" s="13">
        <v>2.0</v>
      </c>
    </row>
    <row r="6">
      <c r="A6" s="8" t="s">
        <v>18</v>
      </c>
      <c r="B6" s="8">
        <v>35.0</v>
      </c>
      <c r="C6" s="8">
        <v>8.0</v>
      </c>
      <c r="D6" s="8">
        <v>11.0</v>
      </c>
      <c r="E6" s="11">
        <f t="shared" si="1"/>
        <v>3.181818182</v>
      </c>
      <c r="F6" s="10">
        <f t="shared" si="2"/>
        <v>0.7272727273</v>
      </c>
      <c r="G6" s="10">
        <f t="shared" ref="G6:G7" si="4">E6/$E$35</f>
        <v>1.626794258</v>
      </c>
      <c r="H6" s="11">
        <f t="shared" ref="H6:H7" si="5">F6/$F$35</f>
        <v>1.098989899</v>
      </c>
      <c r="I6" s="12"/>
      <c r="J6" s="8">
        <v>13.0</v>
      </c>
      <c r="K6" s="10">
        <f t="shared" si="3"/>
        <v>1.58778626</v>
      </c>
      <c r="L6" s="12"/>
    </row>
    <row r="7">
      <c r="A7" s="8" t="s">
        <v>19</v>
      </c>
      <c r="B7" s="8">
        <v>45.0</v>
      </c>
      <c r="C7" s="8">
        <v>5.0</v>
      </c>
      <c r="D7" s="8">
        <v>11.0</v>
      </c>
      <c r="E7" s="11">
        <f t="shared" si="1"/>
        <v>4.090909091</v>
      </c>
      <c r="F7" s="10">
        <f t="shared" si="2"/>
        <v>0.4545454545</v>
      </c>
      <c r="G7" s="10">
        <f t="shared" si="4"/>
        <v>2.091592618</v>
      </c>
      <c r="H7" s="11">
        <f t="shared" si="5"/>
        <v>0.6868686869</v>
      </c>
      <c r="I7" s="12"/>
      <c r="J7" s="8">
        <v>6.0</v>
      </c>
      <c r="K7" s="10">
        <f t="shared" si="3"/>
        <v>0.7328244275</v>
      </c>
      <c r="L7" s="12"/>
    </row>
    <row r="8">
      <c r="A8" s="8" t="s">
        <v>20</v>
      </c>
      <c r="B8" s="8">
        <v>17.0</v>
      </c>
      <c r="C8" s="8">
        <v>10.0</v>
      </c>
      <c r="D8" s="8">
        <v>11.0</v>
      </c>
      <c r="E8" s="11">
        <f t="shared" si="1"/>
        <v>1.545454545</v>
      </c>
      <c r="F8" s="10">
        <f t="shared" si="2"/>
        <v>0.9090909091</v>
      </c>
      <c r="G8" s="10">
        <f>E8/$E$35*0.8</f>
        <v>0.632125769</v>
      </c>
      <c r="H8" s="11">
        <f>F8/$F$35*1.2</f>
        <v>1.648484848</v>
      </c>
      <c r="I8" s="12"/>
      <c r="J8" s="8">
        <v>6.0</v>
      </c>
      <c r="K8" s="10">
        <f t="shared" si="3"/>
        <v>0.7328244275</v>
      </c>
      <c r="L8" s="12"/>
    </row>
    <row r="9">
      <c r="A9" s="8" t="s">
        <v>21</v>
      </c>
      <c r="B9" s="8">
        <v>21.0</v>
      </c>
      <c r="C9" s="8">
        <v>10.0</v>
      </c>
      <c r="D9" s="8">
        <v>14.0</v>
      </c>
      <c r="E9" s="11">
        <f t="shared" si="1"/>
        <v>1.5</v>
      </c>
      <c r="F9" s="10">
        <f t="shared" si="2"/>
        <v>0.7142857143</v>
      </c>
      <c r="G9" s="10">
        <f>E9/$E$35*0.9</f>
        <v>0.6902255639</v>
      </c>
      <c r="H9" s="11">
        <f>F9/$F$35*1.1</f>
        <v>1.187301587</v>
      </c>
      <c r="I9" s="12"/>
      <c r="J9" s="8">
        <v>4.0</v>
      </c>
      <c r="K9" s="10">
        <f t="shared" si="3"/>
        <v>0.4885496183</v>
      </c>
      <c r="L9" s="12"/>
    </row>
    <row r="10">
      <c r="A10" s="8" t="s">
        <v>22</v>
      </c>
      <c r="B10" s="8">
        <v>14.0</v>
      </c>
      <c r="C10" s="8">
        <v>9.0</v>
      </c>
      <c r="D10" s="8">
        <v>8.0</v>
      </c>
      <c r="E10" s="11">
        <f t="shared" si="1"/>
        <v>1.75</v>
      </c>
      <c r="F10" s="10">
        <f t="shared" si="2"/>
        <v>1.125</v>
      </c>
      <c r="G10" s="10">
        <f t="shared" ref="G10:G11" si="6">E10/$E$35</f>
        <v>0.8947368421</v>
      </c>
      <c r="H10" s="11">
        <f t="shared" ref="H10:H11" si="7">F10/$F$35</f>
        <v>1.7</v>
      </c>
      <c r="I10" s="12"/>
      <c r="J10" s="8">
        <v>1.0</v>
      </c>
      <c r="K10" s="10">
        <f t="shared" si="3"/>
        <v>0.1221374046</v>
      </c>
      <c r="L10" s="12"/>
      <c r="M10" s="13">
        <v>0.0</v>
      </c>
    </row>
    <row r="11">
      <c r="A11" s="8" t="s">
        <v>23</v>
      </c>
      <c r="B11" s="8">
        <v>27.0</v>
      </c>
      <c r="C11" s="8">
        <v>8.0</v>
      </c>
      <c r="D11" s="8">
        <v>17.0</v>
      </c>
      <c r="E11" s="11">
        <f t="shared" si="1"/>
        <v>1.588235294</v>
      </c>
      <c r="F11" s="10">
        <f t="shared" si="2"/>
        <v>0.4705882353</v>
      </c>
      <c r="G11" s="10">
        <f t="shared" si="6"/>
        <v>0.8120300752</v>
      </c>
      <c r="H11" s="11">
        <f t="shared" si="7"/>
        <v>0.7111111111</v>
      </c>
      <c r="I11" s="12"/>
      <c r="J11" s="8">
        <v>13.0</v>
      </c>
      <c r="K11" s="10">
        <f t="shared" si="3"/>
        <v>1.58778626</v>
      </c>
      <c r="L11" s="12"/>
    </row>
    <row r="12">
      <c r="A12" s="8" t="s">
        <v>24</v>
      </c>
      <c r="B12" s="8">
        <v>12.0</v>
      </c>
      <c r="C12" s="8">
        <v>6.0</v>
      </c>
      <c r="D12" s="8">
        <v>10.0</v>
      </c>
      <c r="E12" s="11">
        <f t="shared" si="1"/>
        <v>1.2</v>
      </c>
      <c r="F12" s="10">
        <f t="shared" si="2"/>
        <v>0.6</v>
      </c>
      <c r="G12" s="10">
        <f>E12/$E$35*0.8</f>
        <v>0.4908270677</v>
      </c>
      <c r="H12" s="11">
        <f>F12/$F$35*1.2</f>
        <v>1.088</v>
      </c>
      <c r="I12" s="12"/>
      <c r="J12" s="8">
        <v>8.0</v>
      </c>
      <c r="K12" s="10">
        <f t="shared" si="3"/>
        <v>0.9770992366</v>
      </c>
      <c r="L12" s="12"/>
    </row>
    <row r="13">
      <c r="A13" s="14" t="s">
        <v>25</v>
      </c>
      <c r="B13" s="8">
        <v>17.0</v>
      </c>
      <c r="C13" s="8">
        <v>8.0</v>
      </c>
      <c r="D13" s="8">
        <v>14.0</v>
      </c>
      <c r="E13" s="11">
        <f t="shared" si="1"/>
        <v>1.214285714</v>
      </c>
      <c r="F13" s="10">
        <f t="shared" si="2"/>
        <v>0.5714285714</v>
      </c>
      <c r="G13" s="10">
        <f>E13/$E$35*0.9</f>
        <v>0.5587540279</v>
      </c>
      <c r="H13" s="11">
        <f>F13/$F$35*1.1</f>
        <v>0.9498412698</v>
      </c>
      <c r="I13" s="12"/>
      <c r="J13" s="8">
        <v>4.0</v>
      </c>
      <c r="K13" s="10">
        <f t="shared" si="3"/>
        <v>0.4885496183</v>
      </c>
      <c r="L13" s="12"/>
    </row>
    <row r="14">
      <c r="A14" s="8" t="s">
        <v>26</v>
      </c>
      <c r="B14" s="8">
        <v>30.0</v>
      </c>
      <c r="C14" s="8">
        <v>11.0</v>
      </c>
      <c r="D14" s="8">
        <v>10.0</v>
      </c>
      <c r="E14" s="11">
        <f t="shared" si="1"/>
        <v>3</v>
      </c>
      <c r="F14" s="10">
        <f t="shared" si="2"/>
        <v>1.1</v>
      </c>
      <c r="G14" s="10">
        <f t="shared" ref="G14:G15" si="8">E14/$E$35</f>
        <v>1.533834586</v>
      </c>
      <c r="H14" s="11">
        <f t="shared" ref="H14:H15" si="9">F14/$F$35</f>
        <v>1.662222222</v>
      </c>
      <c r="I14" s="12"/>
      <c r="J14" s="8">
        <v>7.0</v>
      </c>
      <c r="K14" s="10">
        <f t="shared" si="3"/>
        <v>0.8549618321</v>
      </c>
      <c r="L14" s="12"/>
    </row>
    <row r="15">
      <c r="A15" s="15" t="s">
        <v>27</v>
      </c>
      <c r="B15" s="8">
        <v>18.0</v>
      </c>
      <c r="C15" s="8">
        <v>3.0</v>
      </c>
      <c r="D15" s="8">
        <v>8.0</v>
      </c>
      <c r="E15" s="11">
        <f t="shared" si="1"/>
        <v>2.25</v>
      </c>
      <c r="F15" s="10">
        <f t="shared" si="2"/>
        <v>0.375</v>
      </c>
      <c r="G15" s="10">
        <f t="shared" si="8"/>
        <v>1.15037594</v>
      </c>
      <c r="H15" s="11">
        <f t="shared" si="9"/>
        <v>0.5666666667</v>
      </c>
      <c r="I15" s="12"/>
      <c r="J15" s="8">
        <v>5.0</v>
      </c>
      <c r="K15" s="10">
        <f t="shared" si="3"/>
        <v>0.6106870229</v>
      </c>
      <c r="L15" s="12"/>
    </row>
    <row r="16">
      <c r="A16" s="8" t="s">
        <v>28</v>
      </c>
      <c r="B16" s="8">
        <v>15.0</v>
      </c>
      <c r="C16" s="8">
        <v>9.0</v>
      </c>
      <c r="D16" s="8">
        <v>10.0</v>
      </c>
      <c r="E16" s="11">
        <f t="shared" si="1"/>
        <v>1.5</v>
      </c>
      <c r="F16" s="10">
        <f t="shared" si="2"/>
        <v>0.9</v>
      </c>
      <c r="G16" s="10">
        <f>E16/$E$35*0.8</f>
        <v>0.6135338346</v>
      </c>
      <c r="H16" s="11">
        <f>F16/$F$35*1.2</f>
        <v>1.632</v>
      </c>
      <c r="I16" s="12"/>
      <c r="J16" s="8">
        <v>7.0</v>
      </c>
      <c r="K16" s="10">
        <f t="shared" si="3"/>
        <v>0.8549618321</v>
      </c>
      <c r="L16" s="12"/>
    </row>
    <row r="17">
      <c r="A17" s="8" t="s">
        <v>29</v>
      </c>
      <c r="B17" s="8">
        <v>30.0</v>
      </c>
      <c r="C17" s="8">
        <v>3.0</v>
      </c>
      <c r="D17" s="8">
        <v>10.0</v>
      </c>
      <c r="E17" s="11">
        <f t="shared" si="1"/>
        <v>3</v>
      </c>
      <c r="F17" s="10">
        <f t="shared" si="2"/>
        <v>0.3</v>
      </c>
      <c r="G17" s="10">
        <f>E17/$E$35</f>
        <v>1.533834586</v>
      </c>
      <c r="H17" s="11">
        <f>F17/$F$35</f>
        <v>0.4533333333</v>
      </c>
      <c r="I17" s="12"/>
      <c r="J17" s="8">
        <v>9.0</v>
      </c>
      <c r="K17" s="10">
        <f t="shared" si="3"/>
        <v>1.099236641</v>
      </c>
      <c r="L17" s="12"/>
    </row>
    <row r="18">
      <c r="A18" s="8" t="s">
        <v>30</v>
      </c>
      <c r="B18" s="8">
        <v>12.0</v>
      </c>
      <c r="C18" s="8">
        <v>2.0</v>
      </c>
      <c r="D18" s="8">
        <v>7.0</v>
      </c>
      <c r="E18" s="11">
        <f t="shared" si="1"/>
        <v>1.714285714</v>
      </c>
      <c r="F18" s="10">
        <f t="shared" si="2"/>
        <v>0.2857142857</v>
      </c>
      <c r="G18" s="10">
        <f>E18/$E$35*0.9</f>
        <v>0.7888292159</v>
      </c>
      <c r="H18" s="11">
        <f>F18/$F$35*1.1</f>
        <v>0.4749206349</v>
      </c>
      <c r="I18" s="12"/>
      <c r="J18" s="8">
        <v>7.0</v>
      </c>
      <c r="K18" s="10">
        <f t="shared" si="3"/>
        <v>0.8549618321</v>
      </c>
      <c r="L18" s="12"/>
    </row>
    <row r="19">
      <c r="A19" s="8" t="s">
        <v>31</v>
      </c>
      <c r="B19" s="8">
        <v>15.0</v>
      </c>
      <c r="C19" s="8">
        <v>5.0</v>
      </c>
      <c r="D19" s="8">
        <v>8.0</v>
      </c>
      <c r="E19" s="11">
        <f t="shared" si="1"/>
        <v>1.875</v>
      </c>
      <c r="F19" s="10">
        <f t="shared" si="2"/>
        <v>0.625</v>
      </c>
      <c r="G19" s="10">
        <f>E19/$E$35</f>
        <v>0.9586466165</v>
      </c>
      <c r="H19" s="11">
        <f>F19/$F$35</f>
        <v>0.9444444444</v>
      </c>
      <c r="I19" s="12"/>
      <c r="J19" s="8">
        <v>10.0</v>
      </c>
      <c r="K19" s="10">
        <f t="shared" si="3"/>
        <v>1.221374046</v>
      </c>
      <c r="L19" s="12"/>
    </row>
    <row r="20">
      <c r="A20" s="8" t="s">
        <v>32</v>
      </c>
      <c r="B20" s="8">
        <v>13.0</v>
      </c>
      <c r="C20" s="8">
        <v>8.0</v>
      </c>
      <c r="D20" s="8">
        <v>14.0</v>
      </c>
      <c r="E20" s="11">
        <f t="shared" si="1"/>
        <v>0.9285714286</v>
      </c>
      <c r="F20" s="10">
        <f t="shared" si="2"/>
        <v>0.5714285714</v>
      </c>
      <c r="G20" s="10">
        <f>E20/$E$35*0.9</f>
        <v>0.4272824919</v>
      </c>
      <c r="H20" s="11">
        <f>F20/$F$35*1.1</f>
        <v>0.9498412698</v>
      </c>
      <c r="I20" s="12"/>
      <c r="J20" s="8">
        <v>9.0</v>
      </c>
      <c r="K20" s="10">
        <f t="shared" si="3"/>
        <v>1.099236641</v>
      </c>
      <c r="L20" s="12"/>
    </row>
    <row r="21">
      <c r="A21" s="8" t="s">
        <v>33</v>
      </c>
      <c r="B21" s="8">
        <v>36.0</v>
      </c>
      <c r="C21" s="8">
        <v>4.0</v>
      </c>
      <c r="D21" s="8">
        <v>10.0</v>
      </c>
      <c r="E21" s="11">
        <f t="shared" si="1"/>
        <v>3.6</v>
      </c>
      <c r="F21" s="10">
        <f t="shared" si="2"/>
        <v>0.4</v>
      </c>
      <c r="G21" s="10">
        <f>E21/$E$35</f>
        <v>1.840601504</v>
      </c>
      <c r="H21" s="11">
        <f>F21/$F$35</f>
        <v>0.6044444444</v>
      </c>
      <c r="I21" s="12"/>
      <c r="J21" s="8">
        <v>7.0</v>
      </c>
      <c r="K21" s="10">
        <f t="shared" si="3"/>
        <v>0.8549618321</v>
      </c>
      <c r="L21" s="12"/>
    </row>
    <row r="22">
      <c r="A22" s="16" t="s">
        <v>34</v>
      </c>
      <c r="B22" s="8">
        <v>12.0</v>
      </c>
      <c r="C22" s="8">
        <v>4.0</v>
      </c>
      <c r="D22" s="8">
        <v>10.0</v>
      </c>
      <c r="E22" s="11">
        <f t="shared" si="1"/>
        <v>1.2</v>
      </c>
      <c r="F22" s="10">
        <f t="shared" si="2"/>
        <v>0.4</v>
      </c>
      <c r="G22" s="10">
        <f>E22/$E$35*0.8</f>
        <v>0.4908270677</v>
      </c>
      <c r="H22" s="11">
        <f>F22/$F$35*1.2</f>
        <v>0.7253333333</v>
      </c>
      <c r="I22" s="12"/>
      <c r="J22" s="8">
        <v>8.0</v>
      </c>
      <c r="K22" s="10">
        <f t="shared" si="3"/>
        <v>0.9770992366</v>
      </c>
      <c r="L22" s="12"/>
    </row>
    <row r="23">
      <c r="A23" s="17" t="s">
        <v>35</v>
      </c>
      <c r="B23" s="18">
        <v>25.0</v>
      </c>
      <c r="C23" s="18">
        <v>6.0</v>
      </c>
      <c r="D23" s="18">
        <v>8.0</v>
      </c>
      <c r="E23" s="11">
        <f t="shared" si="1"/>
        <v>3.125</v>
      </c>
      <c r="F23" s="10">
        <f t="shared" si="2"/>
        <v>0.75</v>
      </c>
      <c r="G23" s="10">
        <f>E23/$E$35</f>
        <v>1.597744361</v>
      </c>
      <c r="H23" s="11">
        <f>F23/$F$35</f>
        <v>1.133333333</v>
      </c>
      <c r="I23" s="12"/>
      <c r="J23" s="18">
        <v>9.0</v>
      </c>
      <c r="K23" s="10">
        <f t="shared" si="3"/>
        <v>1.099236641</v>
      </c>
      <c r="L23" s="19"/>
      <c r="M23" s="20"/>
    </row>
    <row r="24">
      <c r="A24" s="17" t="s">
        <v>36</v>
      </c>
      <c r="B24" s="18">
        <v>23.0</v>
      </c>
      <c r="C24" s="18">
        <v>7.0</v>
      </c>
      <c r="D24" s="18">
        <v>14.0</v>
      </c>
      <c r="E24" s="11">
        <f t="shared" si="1"/>
        <v>1.642857143</v>
      </c>
      <c r="F24" s="10">
        <f t="shared" si="2"/>
        <v>0.5</v>
      </c>
      <c r="G24" s="10">
        <f t="shared" ref="G24:G25" si="10">E24/$E$35*0.9</f>
        <v>0.7559613319</v>
      </c>
      <c r="H24" s="9">
        <f t="shared" ref="H24:H25" si="11">F24/$F$35*1.1</f>
        <v>0.8311111111</v>
      </c>
      <c r="I24" s="12"/>
      <c r="J24" s="18">
        <v>6.0</v>
      </c>
      <c r="K24" s="10">
        <f t="shared" si="3"/>
        <v>0.7328244275</v>
      </c>
      <c r="L24" s="19"/>
      <c r="M24" s="20"/>
    </row>
    <row r="25">
      <c r="A25" s="17" t="s">
        <v>37</v>
      </c>
      <c r="B25" s="18">
        <v>25.0</v>
      </c>
      <c r="C25" s="18">
        <v>3.0</v>
      </c>
      <c r="D25" s="18">
        <v>7.0</v>
      </c>
      <c r="E25" s="11">
        <f t="shared" si="1"/>
        <v>3.571428571</v>
      </c>
      <c r="F25" s="10">
        <f t="shared" si="2"/>
        <v>0.4285714286</v>
      </c>
      <c r="G25" s="10">
        <f t="shared" si="10"/>
        <v>1.6433942</v>
      </c>
      <c r="H25" s="11">
        <f t="shared" si="11"/>
        <v>0.7123809524</v>
      </c>
      <c r="I25" s="12"/>
      <c r="J25" s="18">
        <v>12.0</v>
      </c>
      <c r="K25" s="10">
        <f t="shared" si="3"/>
        <v>1.465648855</v>
      </c>
      <c r="L25" s="19"/>
      <c r="M25" s="20"/>
    </row>
    <row r="26">
      <c r="A26" s="17" t="s">
        <v>38</v>
      </c>
      <c r="B26" s="18">
        <v>21.0</v>
      </c>
      <c r="C26" s="18">
        <v>4.0</v>
      </c>
      <c r="D26" s="18">
        <v>10.0</v>
      </c>
      <c r="E26" s="11">
        <f t="shared" si="1"/>
        <v>2.1</v>
      </c>
      <c r="F26" s="10">
        <f t="shared" si="2"/>
        <v>0.4</v>
      </c>
      <c r="G26" s="10">
        <f t="shared" ref="G26:G29" si="12">E26/$E$35</f>
        <v>1.073684211</v>
      </c>
      <c r="H26" s="11">
        <f t="shared" ref="H26:H29" si="13">F26/$F$35</f>
        <v>0.6044444444</v>
      </c>
      <c r="I26" s="12"/>
      <c r="J26" s="18">
        <v>13.0</v>
      </c>
      <c r="K26" s="10">
        <f t="shared" si="3"/>
        <v>1.58778626</v>
      </c>
      <c r="L26" s="19"/>
      <c r="M26" s="20"/>
    </row>
    <row r="27">
      <c r="A27" s="17" t="s">
        <v>39</v>
      </c>
      <c r="B27" s="18">
        <v>40.0</v>
      </c>
      <c r="C27" s="18">
        <v>5.0</v>
      </c>
      <c r="D27" s="18">
        <v>17.0</v>
      </c>
      <c r="E27" s="11">
        <f t="shared" si="1"/>
        <v>2.352941176</v>
      </c>
      <c r="F27" s="10">
        <f t="shared" si="2"/>
        <v>0.2941176471</v>
      </c>
      <c r="G27" s="10">
        <f t="shared" si="12"/>
        <v>1.203007519</v>
      </c>
      <c r="H27" s="11">
        <f t="shared" si="13"/>
        <v>0.4444444444</v>
      </c>
      <c r="I27" s="12"/>
      <c r="J27" s="18">
        <v>15.0</v>
      </c>
      <c r="K27" s="10">
        <f t="shared" si="3"/>
        <v>1.832061069</v>
      </c>
      <c r="L27" s="19"/>
      <c r="M27" s="20"/>
    </row>
    <row r="28">
      <c r="A28" s="17" t="s">
        <v>40</v>
      </c>
      <c r="B28" s="18">
        <v>18.0</v>
      </c>
      <c r="C28" s="18">
        <v>9.0</v>
      </c>
      <c r="D28" s="18">
        <v>8.0</v>
      </c>
      <c r="E28" s="11">
        <f t="shared" si="1"/>
        <v>2.25</v>
      </c>
      <c r="F28" s="10">
        <f t="shared" si="2"/>
        <v>1.125</v>
      </c>
      <c r="G28" s="10">
        <f t="shared" si="12"/>
        <v>1.15037594</v>
      </c>
      <c r="H28" s="11">
        <f t="shared" si="13"/>
        <v>1.7</v>
      </c>
      <c r="I28" s="12"/>
      <c r="J28" s="18">
        <v>13.0</v>
      </c>
      <c r="K28" s="10">
        <f t="shared" si="3"/>
        <v>1.58778626</v>
      </c>
      <c r="L28" s="19"/>
      <c r="M28" s="20"/>
    </row>
    <row r="29">
      <c r="A29" s="17" t="s">
        <v>41</v>
      </c>
      <c r="B29" s="18">
        <v>15.0</v>
      </c>
      <c r="C29" s="18">
        <v>2.0</v>
      </c>
      <c r="D29" s="18">
        <v>8.0</v>
      </c>
      <c r="E29" s="11">
        <f t="shared" si="1"/>
        <v>1.875</v>
      </c>
      <c r="F29" s="10">
        <f t="shared" si="2"/>
        <v>0.25</v>
      </c>
      <c r="G29" s="10">
        <f t="shared" si="12"/>
        <v>0.9586466165</v>
      </c>
      <c r="H29" s="11">
        <f t="shared" si="13"/>
        <v>0.3777777778</v>
      </c>
      <c r="I29" s="12"/>
      <c r="J29" s="18">
        <v>9.0</v>
      </c>
      <c r="K29" s="10">
        <f t="shared" si="3"/>
        <v>1.099236641</v>
      </c>
      <c r="L29" s="19"/>
      <c r="M29" s="20"/>
    </row>
    <row r="30">
      <c r="A30" s="17" t="s">
        <v>42</v>
      </c>
      <c r="B30" s="18">
        <v>13.0</v>
      </c>
      <c r="C30" s="18">
        <v>4.0</v>
      </c>
      <c r="D30" s="18">
        <v>7.0</v>
      </c>
      <c r="E30" s="11">
        <f t="shared" si="1"/>
        <v>1.857142857</v>
      </c>
      <c r="F30" s="10">
        <f t="shared" si="2"/>
        <v>0.5714285714</v>
      </c>
      <c r="G30" s="10">
        <f>E30/$E$35*0.9</f>
        <v>0.8545649839</v>
      </c>
      <c r="H30" s="11">
        <f>F30/$F$35*1.1</f>
        <v>0.9498412698</v>
      </c>
      <c r="I30" s="12"/>
      <c r="J30" s="18">
        <v>4.0</v>
      </c>
      <c r="K30" s="10">
        <f t="shared" si="3"/>
        <v>0.4885496183</v>
      </c>
      <c r="L30" s="19"/>
      <c r="M30" s="20"/>
    </row>
    <row r="31">
      <c r="A31" s="17" t="s">
        <v>43</v>
      </c>
      <c r="B31" s="18">
        <v>17.0</v>
      </c>
      <c r="C31" s="18">
        <v>6.0</v>
      </c>
      <c r="D31" s="18">
        <v>8.0</v>
      </c>
      <c r="E31" s="11">
        <f t="shared" si="1"/>
        <v>2.125</v>
      </c>
      <c r="F31" s="10">
        <f t="shared" si="2"/>
        <v>0.75</v>
      </c>
      <c r="G31" s="10">
        <f>E31/$E$35</f>
        <v>1.086466165</v>
      </c>
      <c r="H31" s="11">
        <f>F31/$F$35</f>
        <v>1.133333333</v>
      </c>
      <c r="I31" s="12"/>
      <c r="J31" s="18">
        <v>9.0</v>
      </c>
      <c r="K31" s="10">
        <f t="shared" si="3"/>
        <v>1.099236641</v>
      </c>
      <c r="L31" s="19"/>
      <c r="M31" s="20"/>
    </row>
    <row r="32">
      <c r="A32" s="17" t="s">
        <v>44</v>
      </c>
      <c r="B32" s="18">
        <v>8.0</v>
      </c>
      <c r="C32" s="18">
        <v>4.0</v>
      </c>
      <c r="D32" s="18">
        <v>7.0</v>
      </c>
      <c r="E32" s="11">
        <f t="shared" si="1"/>
        <v>1.142857143</v>
      </c>
      <c r="F32" s="10">
        <f t="shared" si="2"/>
        <v>0.5714285714</v>
      </c>
      <c r="G32" s="10">
        <f>E32/$E$35*0.9</f>
        <v>0.5258861439</v>
      </c>
      <c r="H32" s="11">
        <f>F32/$F$35*1.1</f>
        <v>0.9498412698</v>
      </c>
      <c r="I32" s="12"/>
      <c r="J32" s="18">
        <v>7.0</v>
      </c>
      <c r="K32" s="10">
        <f t="shared" si="3"/>
        <v>0.8549618321</v>
      </c>
      <c r="L32" s="19"/>
      <c r="M32" s="20"/>
    </row>
    <row r="33">
      <c r="A33" s="17" t="s">
        <v>45</v>
      </c>
      <c r="B33" s="18">
        <v>22.0</v>
      </c>
      <c r="C33" s="18">
        <v>22.0</v>
      </c>
      <c r="D33" s="18">
        <v>18.0</v>
      </c>
      <c r="E33" s="11">
        <f t="shared" si="1"/>
        <v>1.222222222</v>
      </c>
      <c r="F33" s="10">
        <f t="shared" si="2"/>
        <v>1.222222222</v>
      </c>
      <c r="G33" s="10">
        <f>E33/$E$35</f>
        <v>0.6248955723</v>
      </c>
      <c r="H33" s="11">
        <f>F33/$F$35</f>
        <v>1.84691358</v>
      </c>
      <c r="I33" s="12"/>
      <c r="J33" s="18">
        <v>10.0</v>
      </c>
      <c r="K33" s="10">
        <f t="shared" si="3"/>
        <v>1.221374046</v>
      </c>
      <c r="L33" s="19"/>
      <c r="M33" s="20"/>
    </row>
    <row r="34">
      <c r="A34" s="17" t="s">
        <v>46</v>
      </c>
      <c r="B34" s="18">
        <v>13.0</v>
      </c>
      <c r="C34" s="18">
        <v>3.0</v>
      </c>
      <c r="D34" s="18">
        <v>10.0</v>
      </c>
      <c r="E34" s="11">
        <f t="shared" si="1"/>
        <v>1.3</v>
      </c>
      <c r="F34" s="10">
        <f t="shared" si="2"/>
        <v>0.3</v>
      </c>
      <c r="G34" s="10">
        <f>E34/$E$35*0.8</f>
        <v>0.5317293233</v>
      </c>
      <c r="H34" s="11">
        <f>F34/$F$35*1.2</f>
        <v>0.544</v>
      </c>
      <c r="I34" s="12"/>
      <c r="J34" s="18">
        <v>8.0</v>
      </c>
      <c r="K34" s="10">
        <f t="shared" si="3"/>
        <v>0.9770992366</v>
      </c>
      <c r="L34" s="19"/>
      <c r="M34" s="20"/>
    </row>
    <row r="35">
      <c r="B35" s="21">
        <f t="shared" ref="B35:D35" si="14">sum(B3:B34)</f>
        <v>665</v>
      </c>
      <c r="C35" s="21">
        <f t="shared" si="14"/>
        <v>225</v>
      </c>
      <c r="D35" s="21">
        <f t="shared" si="14"/>
        <v>340</v>
      </c>
      <c r="E35" s="22">
        <f t="shared" si="1"/>
        <v>1.955882353</v>
      </c>
      <c r="F35" s="23">
        <f t="shared" si="2"/>
        <v>0.6617647059</v>
      </c>
      <c r="G35" s="24">
        <f>E35/$E$35</f>
        <v>1</v>
      </c>
      <c r="H35" s="25">
        <f>F35/$F$35</f>
        <v>1</v>
      </c>
      <c r="I35" s="26"/>
      <c r="J35" s="23">
        <f>average(J3:J34)</f>
        <v>8.1875</v>
      </c>
      <c r="K35" s="21">
        <f t="shared" si="3"/>
        <v>1</v>
      </c>
      <c r="L35" s="27"/>
      <c r="M35" s="27"/>
    </row>
    <row r="41">
      <c r="A41" s="28"/>
      <c r="B41" s="28"/>
      <c r="C41" s="28"/>
    </row>
    <row r="42">
      <c r="A42" s="29"/>
      <c r="B42" s="30"/>
      <c r="C42" s="28"/>
    </row>
    <row r="43">
      <c r="A43" s="31"/>
      <c r="B43" s="32"/>
      <c r="C43" s="28"/>
    </row>
    <row r="44">
      <c r="A44" s="31"/>
      <c r="B44" s="28"/>
      <c r="C44" s="28"/>
    </row>
    <row r="45">
      <c r="A45" s="31"/>
      <c r="B45" s="28"/>
      <c r="C45" s="28"/>
    </row>
    <row r="46">
      <c r="A46" s="31"/>
      <c r="B46" s="28"/>
      <c r="C46" s="28"/>
    </row>
  </sheetData>
  <conditionalFormatting sqref="A3:A22">
    <cfRule type="notContainsBlanks" dxfId="0" priority="1">
      <formula>LEN(TRIM(A3))&gt;0</formula>
    </cfRule>
  </conditionalFormatting>
  <dataValidations>
    <dataValidation type="list" allowBlank="1" sqref="B42">
      <formula1>"Arsenal,Aston villa"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6.0"/>
    <col customWidth="1" min="3" max="3" width="25.25"/>
    <col customWidth="1" min="6" max="6" width="3.63"/>
    <col customWidth="1" min="8" max="8" width="3.5"/>
    <col customWidth="1" min="10" max="10" width="4.13"/>
  </cols>
  <sheetData>
    <row r="1">
      <c r="A1" s="28"/>
      <c r="B1" s="28"/>
      <c r="C1" s="28"/>
    </row>
    <row r="2">
      <c r="A2" s="33"/>
      <c r="B2" s="34" t="s">
        <v>47</v>
      </c>
      <c r="C2" s="34" t="s">
        <v>48</v>
      </c>
      <c r="E2" s="35" t="s">
        <v>49</v>
      </c>
      <c r="F2" s="36"/>
      <c r="G2" s="35" t="s">
        <v>50</v>
      </c>
      <c r="H2" s="37"/>
      <c r="I2" s="35" t="s">
        <v>51</v>
      </c>
      <c r="J2" s="37"/>
      <c r="K2" s="35" t="s">
        <v>52</v>
      </c>
    </row>
    <row r="3">
      <c r="A3" s="34" t="s">
        <v>53</v>
      </c>
      <c r="B3" s="29" t="s">
        <v>33</v>
      </c>
      <c r="C3" s="29" t="s">
        <v>34</v>
      </c>
      <c r="E3" s="18">
        <v>1.0</v>
      </c>
      <c r="F3" s="36"/>
      <c r="G3" s="18">
        <v>1.0</v>
      </c>
      <c r="H3" s="36"/>
      <c r="I3" s="38">
        <f t="shared" ref="I3:I16" si="1">INDEX(B$13:B$21,MATCH(E3,A$13:A$21,0))*INDEX(C$13:C$21,MATCH(G3,A$13:A$21,0))</f>
        <v>0.1004864036</v>
      </c>
      <c r="J3" s="39"/>
      <c r="K3" s="40">
        <f t="shared" ref="K3:K16" si="2">1/I3</f>
        <v>9.95159508</v>
      </c>
    </row>
    <row r="4">
      <c r="A4" s="34" t="s">
        <v>54</v>
      </c>
      <c r="B4" s="41">
        <f t="array" ref="B4">INDEX(dash!$G$3:$G$34,MATCH(data!$B3,dash!$A$3:$A$34,0))</f>
        <v>1.840601504</v>
      </c>
      <c r="C4" s="42">
        <f t="array" ref="C4">INDEX(dash!$G$3:$G$34,MATCH(data!$C3,dash!$A$3:$A$34,0))</f>
        <v>0.4908270677</v>
      </c>
      <c r="E4" s="18">
        <v>1.0</v>
      </c>
      <c r="F4" s="36"/>
      <c r="G4" s="18">
        <v>0.0</v>
      </c>
      <c r="H4" s="36"/>
      <c r="I4" s="38">
        <f t="shared" si="1"/>
        <v>0.204200174</v>
      </c>
      <c r="J4" s="39"/>
      <c r="K4" s="40">
        <f t="shared" si="2"/>
        <v>4.897155473</v>
      </c>
    </row>
    <row r="5">
      <c r="A5" s="34" t="s">
        <v>55</v>
      </c>
      <c r="B5" s="42">
        <f t="array" ref="B5">INDEX(dash!$H$3:$H$34,MATCH(data!$B3,dash!$A$3:$A$34,0))</f>
        <v>0.6044444444</v>
      </c>
      <c r="C5" s="42">
        <f t="array" ref="C5">INDEX(dash!$H$3:$H$34,MATCH(data!$C3,dash!$A$3:$A$34,0))</f>
        <v>0.7253333333</v>
      </c>
      <c r="E5" s="18">
        <v>2.0</v>
      </c>
      <c r="F5" s="36"/>
      <c r="G5" s="18">
        <v>1.0</v>
      </c>
      <c r="H5" s="36"/>
      <c r="I5" s="38">
        <f t="shared" si="1"/>
        <v>0.07566837167</v>
      </c>
      <c r="J5" s="39"/>
      <c r="K5" s="40">
        <f t="shared" si="2"/>
        <v>13.21556124</v>
      </c>
    </row>
    <row r="6">
      <c r="A6" s="34" t="s">
        <v>56</v>
      </c>
      <c r="B6" s="43">
        <f>dash!$E$35</f>
        <v>1.955882353</v>
      </c>
      <c r="C6" s="44">
        <f>dash!$F$35</f>
        <v>0.6617647059</v>
      </c>
      <c r="E6" s="18">
        <v>0.0</v>
      </c>
      <c r="F6" s="36"/>
      <c r="G6" s="18">
        <v>1.0</v>
      </c>
      <c r="H6" s="36"/>
      <c r="I6" s="38">
        <f t="shared" si="1"/>
        <v>0.06672217924</v>
      </c>
      <c r="J6" s="39"/>
      <c r="K6" s="40">
        <f t="shared" si="2"/>
        <v>14.98752006</v>
      </c>
    </row>
    <row r="7">
      <c r="A7" s="45" t="s">
        <v>11</v>
      </c>
      <c r="B7" s="42">
        <f t="array" ref="B7">INDEX(dash!$K$3:$K$34,MATCH(data!$B3,dash!$A$3:$A$34,0))*0.2</f>
        <v>0.1709923664</v>
      </c>
      <c r="C7" s="44">
        <f t="array" ref="C7">INDEX(dash!$K$3:$K$34,MATCH(data!$C3,dash!$A$3:$A$34,0))*0.2</f>
        <v>0.1954198473</v>
      </c>
      <c r="E7" s="18">
        <v>1.0</v>
      </c>
      <c r="F7" s="36"/>
      <c r="G7" s="18">
        <v>2.0</v>
      </c>
      <c r="H7" s="36"/>
      <c r="I7" s="38">
        <f t="shared" si="1"/>
        <v>0.02472455609</v>
      </c>
      <c r="J7" s="39"/>
      <c r="K7" s="40">
        <f t="shared" si="2"/>
        <v>40.44561998</v>
      </c>
    </row>
    <row r="8">
      <c r="A8" s="45" t="s">
        <v>57</v>
      </c>
      <c r="B8" s="46">
        <f t="array" ref="B8">INDEX(dash!$M$3:$M$34,MATCH(data!$B3,dash!$A$3:$A$34,0))*0.15</f>
        <v>0</v>
      </c>
      <c r="C8" s="46">
        <f t="array" ref="C8">INDEX(dash!$M$3:$M$34,MATCH(data!$C3,dash!$A$3:$A$34,0))*0.15</f>
        <v>0</v>
      </c>
      <c r="E8" s="18">
        <v>2.0</v>
      </c>
      <c r="F8" s="36"/>
      <c r="G8" s="18">
        <v>0.0</v>
      </c>
      <c r="H8" s="36"/>
      <c r="I8" s="38">
        <f t="shared" si="1"/>
        <v>0.1537670183</v>
      </c>
      <c r="J8" s="39"/>
      <c r="K8" s="40">
        <f t="shared" si="2"/>
        <v>6.503345198</v>
      </c>
    </row>
    <row r="9">
      <c r="A9" s="34" t="s">
        <v>58</v>
      </c>
      <c r="B9" s="47">
        <f>B4*C5+B7-B8</f>
        <v>1.50604199</v>
      </c>
      <c r="C9" s="47">
        <f>C4*B5+C7-C8</f>
        <v>0.4920975416</v>
      </c>
      <c r="E9" s="18">
        <v>0.0</v>
      </c>
      <c r="F9" s="36"/>
      <c r="G9" s="18">
        <v>0.0</v>
      </c>
      <c r="H9" s="48"/>
      <c r="I9" s="38">
        <f t="shared" si="1"/>
        <v>0.1355873046</v>
      </c>
      <c r="J9" s="49"/>
      <c r="K9" s="50">
        <f t="shared" si="2"/>
        <v>7.375321777</v>
      </c>
    </row>
    <row r="10">
      <c r="E10" s="18">
        <v>2.0</v>
      </c>
      <c r="F10" s="36"/>
      <c r="G10" s="18">
        <v>2.0</v>
      </c>
      <c r="H10" s="12"/>
      <c r="I10" s="38">
        <f t="shared" si="1"/>
        <v>0.01861810984</v>
      </c>
      <c r="J10" s="12"/>
      <c r="K10" s="40">
        <f t="shared" si="2"/>
        <v>53.71114516</v>
      </c>
    </row>
    <row r="11">
      <c r="E11" s="18">
        <v>0.0</v>
      </c>
      <c r="F11" s="36"/>
      <c r="G11" s="18">
        <v>2.0</v>
      </c>
      <c r="H11" s="36"/>
      <c r="I11" s="38">
        <f t="shared" si="1"/>
        <v>0.01641691019</v>
      </c>
      <c r="J11" s="39"/>
      <c r="K11" s="40">
        <f t="shared" si="2"/>
        <v>60.91280202</v>
      </c>
    </row>
    <row r="12">
      <c r="A12" s="35" t="s">
        <v>59</v>
      </c>
      <c r="B12" s="35" t="s">
        <v>60</v>
      </c>
      <c r="C12" s="35" t="s">
        <v>61</v>
      </c>
      <c r="E12" s="18">
        <v>3.0</v>
      </c>
      <c r="F12" s="36"/>
      <c r="G12" s="18">
        <v>1.0</v>
      </c>
      <c r="H12" s="36"/>
      <c r="I12" s="38">
        <f t="shared" si="1"/>
        <v>0.0379865817</v>
      </c>
      <c r="J12" s="39"/>
      <c r="K12" s="40">
        <f t="shared" si="2"/>
        <v>26.32508521</v>
      </c>
      <c r="L12" s="51"/>
    </row>
    <row r="13">
      <c r="A13" s="52">
        <v>0.0</v>
      </c>
      <c r="B13" s="53">
        <f t="shared" ref="B13:B21" si="3">_xlfn.POISSON.DIST(A13,$B$9,FALSE)</f>
        <v>0.2217860744</v>
      </c>
      <c r="C13" s="54">
        <f t="shared" ref="C13:C21" si="4">_xlfn.POISSON.DIST(A13,$C$9,FALSE)</f>
        <v>0.6113427316</v>
      </c>
      <c r="E13" s="18">
        <v>3.0</v>
      </c>
      <c r="F13" s="36"/>
      <c r="G13" s="18">
        <v>0.0</v>
      </c>
      <c r="H13" s="12"/>
      <c r="I13" s="38">
        <f t="shared" si="1"/>
        <v>0.07719319543</v>
      </c>
      <c r="J13" s="12"/>
      <c r="K13" s="40">
        <f t="shared" si="2"/>
        <v>12.95450971</v>
      </c>
      <c r="L13" s="51"/>
    </row>
    <row r="14">
      <c r="A14" s="52">
        <v>1.0</v>
      </c>
      <c r="B14" s="53">
        <f t="shared" si="3"/>
        <v>0.334019141</v>
      </c>
      <c r="C14" s="54">
        <f t="shared" si="4"/>
        <v>0.3008402553</v>
      </c>
      <c r="E14" s="18">
        <v>1.0</v>
      </c>
      <c r="F14" s="36"/>
      <c r="G14" s="18">
        <v>3.0</v>
      </c>
      <c r="H14" s="12"/>
      <c r="I14" s="38">
        <f t="shared" si="1"/>
        <v>0.00405563109</v>
      </c>
      <c r="J14" s="12"/>
      <c r="K14" s="40">
        <f t="shared" si="2"/>
        <v>246.5707501</v>
      </c>
      <c r="L14" s="51"/>
    </row>
    <row r="15">
      <c r="A15" s="52">
        <v>2.0</v>
      </c>
      <c r="B15" s="53">
        <f t="shared" si="3"/>
        <v>0.251523426</v>
      </c>
      <c r="C15" s="54">
        <f t="shared" si="4"/>
        <v>0.07402137501</v>
      </c>
      <c r="E15" s="18">
        <v>3.0</v>
      </c>
      <c r="F15" s="36"/>
      <c r="G15" s="18">
        <v>2.0</v>
      </c>
      <c r="H15" s="12"/>
      <c r="I15" s="38">
        <f t="shared" si="1"/>
        <v>0.009346551733</v>
      </c>
      <c r="J15" s="12"/>
      <c r="K15" s="40">
        <f t="shared" si="2"/>
        <v>106.9913299</v>
      </c>
      <c r="L15" s="51"/>
    </row>
    <row r="16">
      <c r="A16" s="52">
        <v>3.0</v>
      </c>
      <c r="B16" s="53">
        <f t="shared" si="3"/>
        <v>0.1262682804</v>
      </c>
      <c r="C16" s="54">
        <f t="shared" si="4"/>
        <v>0.01214191222</v>
      </c>
      <c r="E16" s="18">
        <v>0.0</v>
      </c>
      <c r="F16" s="36"/>
      <c r="G16" s="18">
        <v>3.0</v>
      </c>
      <c r="H16" s="12"/>
      <c r="I16" s="38">
        <f t="shared" si="1"/>
        <v>0.002692907048</v>
      </c>
      <c r="J16" s="12"/>
      <c r="K16" s="40">
        <f t="shared" si="2"/>
        <v>371.3459033</v>
      </c>
      <c r="L16" s="51"/>
    </row>
    <row r="17">
      <c r="A17" s="52">
        <v>4.0</v>
      </c>
      <c r="B17" s="53">
        <f t="shared" si="3"/>
        <v>0.04754133307</v>
      </c>
      <c r="C17" s="54">
        <f t="shared" si="4"/>
        <v>0.001493751289</v>
      </c>
      <c r="L17" s="51"/>
    </row>
    <row r="18">
      <c r="A18" s="52">
        <v>5.0</v>
      </c>
      <c r="B18" s="53">
        <f t="shared" si="3"/>
        <v>0.01431984878</v>
      </c>
      <c r="C18" s="54">
        <f t="shared" si="4"/>
        <v>0.0001470142674</v>
      </c>
      <c r="E18" s="55" t="s">
        <v>62</v>
      </c>
      <c r="F18" s="12"/>
      <c r="G18" s="55" t="s">
        <v>63</v>
      </c>
      <c r="H18" s="56"/>
      <c r="I18" s="57" t="s">
        <v>64</v>
      </c>
      <c r="L18" s="51"/>
    </row>
    <row r="19">
      <c r="A19" s="52">
        <v>6.0</v>
      </c>
      <c r="B19" s="53">
        <f t="shared" si="3"/>
        <v>0.003594382259</v>
      </c>
      <c r="C19" s="54">
        <f t="shared" si="4"/>
        <v>0.00001205755992</v>
      </c>
      <c r="E19" s="58">
        <f>sum(I4,I5,I8,I12,I13,I15) / sum(I3:I16)  </f>
        <v>0.6018139278</v>
      </c>
      <c r="F19" s="12"/>
      <c r="G19" s="59">
        <f>sum(I3,I9, I10) /sum(I3:I16)</f>
        <v>0.2746104407</v>
      </c>
      <c r="H19" s="12"/>
      <c r="I19" s="60">
        <f>sum(I6,I7,I11,I14,I16) /sum(I3:I16)</f>
        <v>0.1235756315</v>
      </c>
      <c r="K19" s="61"/>
      <c r="L19" s="61"/>
      <c r="M19" s="61"/>
    </row>
    <row r="20">
      <c r="A20" s="52">
        <v>7.0</v>
      </c>
      <c r="B20" s="53">
        <f t="shared" si="3"/>
        <v>0.0007733272304</v>
      </c>
      <c r="C20" s="54">
        <f t="shared" si="4"/>
        <v>0.000000847642228</v>
      </c>
      <c r="K20" s="61"/>
      <c r="L20" s="61"/>
      <c r="M20" s="61"/>
    </row>
    <row r="21">
      <c r="A21" s="52">
        <v>8.0</v>
      </c>
      <c r="B21" s="53">
        <f t="shared" si="3"/>
        <v>0.0001455829102</v>
      </c>
      <c r="C21" s="54">
        <f t="shared" si="4"/>
        <v>0.00000005214033207</v>
      </c>
      <c r="K21" s="62">
        <f>1/E19</f>
        <v>1.661643166</v>
      </c>
      <c r="L21" s="62">
        <f>1/G19</f>
        <v>3.641522141</v>
      </c>
      <c r="M21" s="62">
        <f>1/I19</f>
        <v>8.092210312</v>
      </c>
    </row>
    <row r="22">
      <c r="K22" s="63" t="s">
        <v>65</v>
      </c>
    </row>
    <row r="23">
      <c r="K23" s="61">
        <f>E19/(1-E19)</f>
        <v>1.511388694</v>
      </c>
      <c r="L23" s="61">
        <f>G19/(1-G19)</f>
        <v>0.3785696074</v>
      </c>
      <c r="M23" s="61">
        <f>I19/(1-I19)</f>
        <v>0.1409997668</v>
      </c>
    </row>
  </sheetData>
  <conditionalFormatting sqref="B13:C21">
    <cfRule type="colorScale" priority="1">
      <colorScale>
        <cfvo type="min"/>
        <cfvo type="percentile" val="50"/>
        <cfvo type="max"/>
        <color rgb="FFEA4335"/>
        <color rgb="FFFFD666"/>
        <color rgb="FF34A853"/>
      </colorScale>
    </cfRule>
  </conditionalFormatting>
  <conditionalFormatting sqref="I3:I16">
    <cfRule type="colorScale" priority="2">
      <colorScale>
        <cfvo type="min"/>
        <cfvo type="percentile" val="50"/>
        <cfvo type="max"/>
        <color rgb="FFEA4335"/>
        <color rgb="FFF7981D"/>
        <color rgb="FF34A853"/>
      </colorScale>
    </cfRule>
  </conditionalFormatting>
  <conditionalFormatting sqref="J3:J11 K3:K16">
    <cfRule type="colorScale" priority="3">
      <colorScale>
        <cfvo type="min"/>
        <cfvo type="percentile" val="50"/>
        <cfvo type="max"/>
        <color rgb="FF34A853"/>
        <color rgb="FFFF6D01"/>
        <color rgb="FFEA4335"/>
      </colorScale>
    </cfRule>
  </conditionalFormatting>
  <conditionalFormatting sqref="E19">
    <cfRule type="notContainsBlanks" dxfId="0" priority="4">
      <formula>LEN(TRIM(E19))&gt;0</formula>
    </cfRule>
  </conditionalFormatting>
  <conditionalFormatting sqref="B3">
    <cfRule type="colorScale" priority="5">
      <colorScale>
        <cfvo type="min"/>
        <cfvo type="max"/>
        <color rgb="FF57BB8A"/>
        <color rgb="FFFFFFFF"/>
      </colorScale>
    </cfRule>
  </conditionalFormatting>
  <dataValidations>
    <dataValidation type="list" allowBlank="1" sqref="B3:C3">
      <formula1>dash!$A$3:$A$34</formula1>
    </dataValidation>
  </dataValidations>
  <drawing r:id="rId1"/>
  <tableParts count="1">
    <tablePart r:id="rId3"/>
  </tableParts>
</worksheet>
</file>